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04BF388A-D752-485A-9C99-7A2874EA295D}" xr6:coauthVersionLast="47" xr6:coauthVersionMax="47" xr10:uidLastSave="{00000000-0000-0000-0000-000000000000}"/>
  <bookViews>
    <workbookView xWindow="-120" yWindow="-120" windowWidth="21840" windowHeight="1314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结果表" sheetId="9" r:id="rId20"/>
    <sheet name="成本法 (元)" sheetId="69" state="hidden" r:id="rId21"/>
    <sheet name="假设开发法" sheetId="12" state="hidden" r:id="rId22"/>
    <sheet name="土地比较法-住宅、综合" sheetId="39" state="hidden" r:id="rId23"/>
    <sheet name="土地案例" sheetId="92" state="hidden" r:id="rId24"/>
    <sheet name="比较法-别墅" sheetId="96" r:id="rId25"/>
    <sheet name="收益法-别墅"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案例" sheetId="90" r:id="rId48"/>
    <sheet name="一房一价表" sheetId="93" r:id="rId49"/>
    <sheet name="抵押情况" sheetId="89" r:id="rId50"/>
    <sheet name="政策" sheetId="99" r:id="rId51"/>
  </sheets>
  <definedNames>
    <definedName name="_xlnm._FilterDatabase" localSheetId="30" hidden="1">'比较法-办公'!$A$1:$L$50</definedName>
    <definedName name="_xlnm._FilterDatabase" localSheetId="24" hidden="1">'比较法-别墅'!$A$1:$L$49</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3" hidden="1">房源清单!$A$2:$P$37</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4">'比较法-别墅'!$A$1:$K$54,'比较法-别墅'!$A$57:$M$131</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46">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'收益法-别墅'!$A$1:$F$43,'收益法-别墅'!$H$3:$M$29,'收益法-别墅'!$A$46:$F$71,'收益法-别墅'!$I$46:$N$65</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'比较法-别墅'!$B$88:$M$88</definedName>
    <definedName name="住宅朝向">#REF!</definedName>
    <definedName name="住宅房型" localSheetId="24">'比较法-别墅'!$B$118:$M$118</definedName>
    <definedName name="住宅房型">#REF!</definedName>
    <definedName name="住宅公共部分装修" localSheetId="24">'比较法-别墅'!$B$109:$M$109</definedName>
    <definedName name="住宅公共部分装修">#REF!</definedName>
    <definedName name="住宅基础设施水平" localSheetId="24">'比较法-别墅'!$B$116:$M$116</definedName>
    <definedName name="住宅基础设施水平">#REF!</definedName>
    <definedName name="住宅建筑结构" localSheetId="24">'比较法-别墅'!$B$105:$M$105</definedName>
    <definedName name="住宅建筑结构">#REF!</definedName>
    <definedName name="住宅建筑类型" localSheetId="24">'比较法-别墅'!$B$100:$M$100</definedName>
    <definedName name="住宅建筑类型">#REF!</definedName>
    <definedName name="住宅建筑品质" localSheetId="24">'比较法-别墅'!$B$107:$M$107</definedName>
    <definedName name="住宅建筑品质">#REF!</definedName>
    <definedName name="住宅交易情况" localSheetId="24">'比较法-别墅'!$A$61:$M$61</definedName>
    <definedName name="住宅交易情况">#REF!</definedName>
    <definedName name="住宅楼层" localSheetId="24">'比较法-别墅'!$B$86:$M$86</definedName>
    <definedName name="住宅楼层">#REF!</definedName>
    <definedName name="住宅内部装修" localSheetId="24">'比较法-别墅'!$B$122:$M$122</definedName>
    <definedName name="住宅内部装修">#REF!</definedName>
    <definedName name="住宅物业管理" localSheetId="24">'比较法-别墅'!$B$114:$M$114</definedName>
    <definedName name="住宅物业管理">#REF!</definedName>
    <definedName name="住宅用途" localSheetId="24">'比较法-别墅'!$B$63:$M$63</definedName>
    <definedName name="住宅用途">#REF!</definedName>
    <definedName name="住宅主力户型面积" localSheetId="24">'比较法-别墅'!$B$120:$M$120</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H111" i="96" l="1"/>
  <c r="C111" i="96"/>
  <c r="D111" i="96"/>
  <c r="E111" i="96"/>
  <c r="F111" i="96"/>
  <c r="G111" i="96"/>
  <c r="N6" i="1"/>
  <c r="J41" i="15" l="1"/>
  <c r="K39" i="15"/>
  <c r="K4" i="100"/>
  <c r="I4" i="100"/>
  <c r="G47" i="96"/>
  <c r="E47" i="96"/>
  <c r="L32" i="100" l="1"/>
  <c r="I47" i="96"/>
  <c r="P64" i="91"/>
  <c r="P63" i="91"/>
  <c r="G65" i="91"/>
  <c r="G64" i="91"/>
  <c r="G63" i="91"/>
  <c r="N63" i="91"/>
  <c r="N64" i="91"/>
  <c r="M65" i="91"/>
  <c r="L19" i="100"/>
  <c r="Y4" i="100"/>
  <c r="Y5" i="100" s="1"/>
  <c r="Y6" i="100" s="1"/>
  <c r="Y7" i="100" s="1"/>
  <c r="Y8" i="100" s="1"/>
  <c r="Y9" i="100" s="1"/>
  <c r="S4" i="100"/>
  <c r="S5" i="100" s="1"/>
  <c r="S6" i="100" s="1"/>
  <c r="S7" i="100" s="1"/>
  <c r="M26" i="9" l="1"/>
  <c r="M25" i="9"/>
  <c r="K25" i="9"/>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O64" i="91"/>
  <c r="O63" i="91" s="1"/>
  <c r="F65" i="91"/>
  <c r="E65" i="91"/>
  <c r="J69" i="91" l="1"/>
  <c r="J65" i="91"/>
  <c r="N65" i="91"/>
  <c r="R27" i="91" l="1"/>
  <c r="R36" i="91"/>
  <c r="Q63" i="91" l="1"/>
  <c r="R63" i="91"/>
  <c r="I43" i="15"/>
  <c r="Q49" i="93"/>
  <c r="Q59" i="93"/>
  <c r="H40" i="15" l="1"/>
  <c r="O65" i="91" l="1"/>
  <c r="J37" i="91"/>
  <c r="G46" i="39" l="1"/>
  <c r="I46" i="39"/>
  <c r="E104" i="90"/>
  <c r="C41" i="96" l="1"/>
  <c r="H53" i="91" l="1"/>
  <c r="C145" i="96"/>
  <c r="K139" i="96" s="1"/>
  <c r="K143"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H23" i="96"/>
  <c r="AB23" i="96" s="1"/>
  <c r="F23" i="96"/>
  <c r="AA23" i="96" s="1"/>
  <c r="C23" i="96"/>
  <c r="Q21" i="96"/>
  <c r="Z21" i="96" s="1"/>
  <c r="J21" i="96"/>
  <c r="AC21" i="96" s="1"/>
  <c r="H21" i="96"/>
  <c r="AB21" i="96" s="1"/>
  <c r="F21" i="96"/>
  <c r="AA21" i="96" s="1"/>
  <c r="C21" i="96"/>
  <c r="Q19" i="96"/>
  <c r="Z19" i="96" s="1"/>
  <c r="J19" i="96"/>
  <c r="AC19" i="96" s="1"/>
  <c r="H19" i="96"/>
  <c r="AB19" i="96" s="1"/>
  <c r="F19" i="96"/>
  <c r="AA19" i="96" s="1"/>
  <c r="C19" i="96"/>
  <c r="Q17" i="96"/>
  <c r="Z17" i="96" s="1"/>
  <c r="J17" i="96"/>
  <c r="AC17" i="96" s="1"/>
  <c r="H17" i="96"/>
  <c r="AB17" i="96" s="1"/>
  <c r="F17" i="96"/>
  <c r="AA17" i="96" s="1"/>
  <c r="C17" i="96"/>
  <c r="Q15" i="96"/>
  <c r="Z15" i="96" s="1"/>
  <c r="H15" i="96"/>
  <c r="AB15" i="96" s="1"/>
  <c r="F15" i="96"/>
  <c r="AA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J10" i="96"/>
  <c r="AC10" i="96" s="1"/>
  <c r="Q9" i="96"/>
  <c r="Z9" i="96" s="1"/>
  <c r="H9" i="96"/>
  <c r="AB9" i="96" s="1"/>
  <c r="F9" i="96"/>
  <c r="AA9" i="96" s="1"/>
  <c r="J8" i="96"/>
  <c r="W8" i="96" s="1"/>
  <c r="H8" i="96"/>
  <c r="AB8" i="96" s="1"/>
  <c r="F8" i="96"/>
  <c r="S8" i="96" s="1"/>
  <c r="I6" i="39"/>
  <c r="G6" i="39"/>
  <c r="E6" i="39"/>
  <c r="E46" i="39"/>
  <c r="N8" i="1"/>
  <c r="N9" i="1"/>
  <c r="N10" i="1"/>
  <c r="N11" i="1"/>
  <c r="N12" i="1"/>
  <c r="N13" i="1"/>
  <c r="D2" i="96"/>
  <c r="H10" i="96" l="1"/>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5" i="96"/>
  <c r="W15" i="96"/>
  <c r="S17" i="96"/>
  <c r="S21" i="96"/>
  <c r="S9" i="96"/>
  <c r="W9" i="96"/>
  <c r="S11" i="96"/>
  <c r="W11" i="96"/>
  <c r="U12" i="96"/>
  <c r="S13" i="96"/>
  <c r="W13" i="96"/>
  <c r="U14" i="96"/>
  <c r="U15" i="96"/>
  <c r="W17" i="96"/>
  <c r="S19" i="96"/>
  <c r="W21" i="96"/>
  <c r="S23"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U23" i="96"/>
  <c r="S25" i="96"/>
  <c r="W25" i="96"/>
  <c r="U26" i="96"/>
  <c r="S27" i="96"/>
  <c r="W27" i="96"/>
  <c r="U28" i="96"/>
  <c r="S29" i="96"/>
  <c r="W29" i="96"/>
  <c r="U30" i="96"/>
  <c r="S31" i="96"/>
  <c r="W31" i="96"/>
  <c r="U32" i="96"/>
  <c r="U34" i="96"/>
  <c r="S35" i="96"/>
  <c r="W35" i="96"/>
  <c r="U36" i="96"/>
  <c r="U38" i="96"/>
  <c r="S39" i="96"/>
  <c r="W39" i="96"/>
  <c r="U40" i="96"/>
  <c r="S41" i="96"/>
  <c r="W41" i="96"/>
  <c r="U42" i="96"/>
  <c r="W43" i="96"/>
  <c r="U44" i="96"/>
  <c r="S45" i="96"/>
  <c r="W45" i="96"/>
  <c r="U46" i="96"/>
  <c r="K141" i="96"/>
  <c r="K144" i="96"/>
  <c r="G37" i="91"/>
  <c r="H37" i="91"/>
  <c r="F37" i="91"/>
  <c r="I13" i="3" s="1"/>
  <c r="P100" i="92"/>
  <c r="N101" i="92"/>
  <c r="O102" i="92"/>
  <c r="O101" i="92"/>
  <c r="R46" i="39"/>
  <c r="E7" i="39"/>
  <c r="E38" i="39"/>
  <c r="F38" i="39"/>
  <c r="AA38" i="39" s="1"/>
  <c r="T46" i="39"/>
  <c r="G7" i="39"/>
  <c r="G38" i="39"/>
  <c r="H38" i="39" s="1"/>
  <c r="V46" i="39"/>
  <c r="I7" i="39"/>
  <c r="I38" i="39"/>
  <c r="J38" i="39" s="1"/>
  <c r="I5" i="39"/>
  <c r="G5" i="39"/>
  <c r="E5" i="39"/>
  <c r="E39" i="89"/>
  <c r="D3" i="4"/>
  <c r="B2" i="1" s="1"/>
  <c r="C37" i="89"/>
  <c r="E71" i="39"/>
  <c r="F71" i="39" s="1"/>
  <c r="G71" i="39" s="1"/>
  <c r="H71" i="39"/>
  <c r="I71" i="39" s="1"/>
  <c r="J71" i="39" s="1"/>
  <c r="K71" i="39" s="1"/>
  <c r="L71" i="39" s="1"/>
  <c r="M71" i="39" s="1"/>
  <c r="N71" i="39" s="1"/>
  <c r="O71" i="39" s="1"/>
  <c r="D71" i="39"/>
  <c r="C36" i="33"/>
  <c r="E36" i="33" s="1"/>
  <c r="A6" i="1"/>
  <c r="F19" i="6"/>
  <c r="E19" i="6" s="1"/>
  <c r="D3" i="96" s="1"/>
  <c r="BB13" i="3"/>
  <c r="BQ17" i="3"/>
  <c r="BQ16" i="3"/>
  <c r="BQ15" i="3"/>
  <c r="BQ14" i="3"/>
  <c r="BS17" i="3"/>
  <c r="BS16" i="3"/>
  <c r="BS15" i="3"/>
  <c r="BS14" i="3"/>
  <c r="BM17" i="3"/>
  <c r="BM16" i="3"/>
  <c r="BM15" i="3"/>
  <c r="BM14" i="3"/>
  <c r="BO17" i="3"/>
  <c r="BO16" i="3"/>
  <c r="BO15" i="3"/>
  <c r="BL15" i="3" s="1"/>
  <c r="AZ15" i="3" s="1"/>
  <c r="BO14" i="3"/>
  <c r="A10" i="1"/>
  <c r="K10" i="1"/>
  <c r="M10" i="1" s="1"/>
  <c r="B22" i="1"/>
  <c r="E1" i="73"/>
  <c r="K1" i="73" s="1"/>
  <c r="L22" i="6"/>
  <c r="E23" i="6"/>
  <c r="E22" i="6"/>
  <c r="E21" i="6"/>
  <c r="E20" i="6"/>
  <c r="BR17" i="3"/>
  <c r="BR16" i="3"/>
  <c r="BL16" i="3" s="1"/>
  <c r="BR15" i="3"/>
  <c r="BR14" i="3"/>
  <c r="BT17" i="3"/>
  <c r="BT16" i="3"/>
  <c r="BT15" i="3"/>
  <c r="BT14" i="3"/>
  <c r="H13" i="3"/>
  <c r="A9" i="1"/>
  <c r="R10" i="1"/>
  <c r="AE9" i="1"/>
  <c r="AE10" i="1"/>
  <c r="B24" i="1"/>
  <c r="L21" i="6"/>
  <c r="A8" i="1"/>
  <c r="AE8" i="1"/>
  <c r="L20" i="6"/>
  <c r="A7" i="1"/>
  <c r="L19" i="6"/>
  <c r="E15" i="4"/>
  <c r="F6" i="1" s="1"/>
  <c r="G6" i="1" s="1"/>
  <c r="D15" i="4"/>
  <c r="J50" i="15"/>
  <c r="M47" i="15"/>
  <c r="R47" i="33"/>
  <c r="V47" i="33"/>
  <c r="B25" i="31"/>
  <c r="B26" i="31"/>
  <c r="B27" i="31"/>
  <c r="B28" i="31"/>
  <c r="B24" i="31"/>
  <c r="E59" i="33"/>
  <c r="F59" i="33" s="1"/>
  <c r="G59" i="33" s="1"/>
  <c r="H59" i="33" s="1"/>
  <c r="I59" i="33" s="1"/>
  <c r="J59" i="33" s="1"/>
  <c r="K59" i="33" s="1"/>
  <c r="L59" i="33" s="1"/>
  <c r="M59" i="33" s="1"/>
  <c r="D59" i="33"/>
  <c r="Y6" i="1"/>
  <c r="E20" i="43"/>
  <c r="AH5" i="71"/>
  <c r="AG5" i="71"/>
  <c r="AE5" i="71"/>
  <c r="AF5" i="71" s="1"/>
  <c r="AD5" i="71"/>
  <c r="Q5" i="71"/>
  <c r="P5" i="71"/>
  <c r="O5" i="71"/>
  <c r="N5" i="71"/>
  <c r="AH6" i="71"/>
  <c r="AG6" i="71"/>
  <c r="AE6" i="71"/>
  <c r="AF6" i="7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40" i="69" s="1"/>
  <c r="F20" i="69"/>
  <c r="F39" i="69" s="1"/>
  <c r="F30" i="68"/>
  <c r="F48" i="68"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c r="K3" i="71"/>
  <c r="AG3" i="7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O13" i="3"/>
  <c r="BP13" i="3"/>
  <c r="BQ13" i="3"/>
  <c r="BR13" i="3"/>
  <c r="BS13" i="3"/>
  <c r="BT13" i="3"/>
  <c r="BL13" i="3"/>
  <c r="BB14" i="3"/>
  <c r="BA14" i="3" s="1"/>
  <c r="BC14" i="3"/>
  <c r="BD14" i="3"/>
  <c r="BE14" i="3"/>
  <c r="BF14" i="3"/>
  <c r="BG14" i="3"/>
  <c r="BH14" i="3"/>
  <c r="BI14" i="3"/>
  <c r="BJ14" i="3"/>
  <c r="BK14" i="3"/>
  <c r="BN14" i="3"/>
  <c r="BP14" i="3"/>
  <c r="BL14" i="3"/>
  <c r="BB15" i="3"/>
  <c r="BC15" i="3"/>
  <c r="BD15" i="3"/>
  <c r="BE15" i="3"/>
  <c r="BF15" i="3"/>
  <c r="BG15" i="3"/>
  <c r="BH15" i="3"/>
  <c r="BI15" i="3"/>
  <c r="BJ15" i="3"/>
  <c r="BK15" i="3"/>
  <c r="BA15" i="3"/>
  <c r="BN15" i="3"/>
  <c r="BP15" i="3"/>
  <c r="BB16" i="3"/>
  <c r="BC16" i="3"/>
  <c r="BD16" i="3"/>
  <c r="BE16" i="3"/>
  <c r="BF16" i="3"/>
  <c r="BG16" i="3"/>
  <c r="BH16" i="3"/>
  <c r="BI16" i="3"/>
  <c r="BJ16" i="3"/>
  <c r="BK16" i="3"/>
  <c r="BN16" i="3"/>
  <c r="BP16" i="3"/>
  <c r="BB17" i="3"/>
  <c r="BC17" i="3"/>
  <c r="BD17" i="3"/>
  <c r="BE17" i="3"/>
  <c r="BF17" i="3"/>
  <c r="BG17" i="3"/>
  <c r="BH17" i="3"/>
  <c r="BI17" i="3"/>
  <c r="BJ17" i="3"/>
  <c r="BK17" i="3"/>
  <c r="BA17" i="3"/>
  <c r="BN17" i="3"/>
  <c r="BP17" i="3"/>
  <c r="H14" i="3"/>
  <c r="H15" i="3"/>
  <c r="H16" i="3"/>
  <c r="H17" i="3"/>
  <c r="AD18" i="71"/>
  <c r="AG18" i="71"/>
  <c r="AH18" i="71"/>
  <c r="AE18" i="71"/>
  <c r="AF18" i="71" s="1"/>
  <c r="N18" i="71"/>
  <c r="Q18" i="71"/>
  <c r="P18" i="71"/>
  <c r="O18" i="71"/>
  <c r="Q19" i="71"/>
  <c r="F18" i="71"/>
  <c r="F17" i="71" s="1"/>
  <c r="F16" i="71" s="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F12" i="43" s="1"/>
  <c r="AE9" i="43"/>
  <c r="AD9" i="43"/>
  <c r="AC9" i="43"/>
  <c r="AC12" i="43"/>
  <c r="AB9" i="43"/>
  <c r="AB12" i="43" s="1"/>
  <c r="AA9" i="43"/>
  <c r="Z9" i="43"/>
  <c r="AC10" i="43"/>
  <c r="AB10" i="43"/>
  <c r="AF10" i="43"/>
  <c r="AH10" i="43"/>
  <c r="AJ10" i="43"/>
  <c r="K49" i="9"/>
  <c r="E107" i="9"/>
  <c r="A122" i="9"/>
  <c r="A8" i="52" s="1"/>
  <c r="B54" i="72" s="1"/>
  <c r="E111" i="9"/>
  <c r="A126" i="9"/>
  <c r="E109" i="9"/>
  <c r="A124" i="9"/>
  <c r="B44" i="72"/>
  <c r="B42" i="72"/>
  <c r="B69" i="72"/>
  <c r="B68" i="72"/>
  <c r="B63" i="72"/>
  <c r="B62" i="72"/>
  <c r="B16" i="72"/>
  <c r="B65" i="72"/>
  <c r="B60" i="72"/>
  <c r="B66" i="72"/>
  <c r="B10" i="72"/>
  <c r="B51" i="10"/>
  <c r="A18" i="51"/>
  <c r="B13" i="72" s="1"/>
  <c r="C8" i="68"/>
  <c r="B49" i="48"/>
  <c r="B5" i="72"/>
  <c r="I19" i="43"/>
  <c r="D83" i="71"/>
  <c r="F82" i="71"/>
  <c r="E82" i="71"/>
  <c r="E81" i="71" s="1"/>
  <c r="E80" i="71" s="1"/>
  <c r="C82" i="71"/>
  <c r="D82" i="71"/>
  <c r="B82" i="71"/>
  <c r="F81" i="71"/>
  <c r="F80" i="71" s="1"/>
  <c r="B81" i="71"/>
  <c r="B80" i="71"/>
  <c r="D79" i="71"/>
  <c r="F78" i="71"/>
  <c r="E78" i="71"/>
  <c r="E77" i="71"/>
  <c r="E76" i="71" s="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B66" i="71"/>
  <c r="S66" i="71"/>
  <c r="Q65" i="71"/>
  <c r="P65" i="71"/>
  <c r="O65" i="71"/>
  <c r="N65" i="71"/>
  <c r="B65" i="71"/>
  <c r="B64" i="71"/>
  <c r="Q64" i="71"/>
  <c r="P64" i="71"/>
  <c r="O64" i="71"/>
  <c r="N64" i="71"/>
  <c r="Q63" i="71"/>
  <c r="P63" i="71"/>
  <c r="O63" i="71"/>
  <c r="N63" i="71"/>
  <c r="D63" i="71"/>
  <c r="F62" i="71"/>
  <c r="V62" i="71" s="1"/>
  <c r="E62" i="71"/>
  <c r="C62" i="71"/>
  <c r="B62" i="71"/>
  <c r="S62" i="71"/>
  <c r="F61" i="71"/>
  <c r="F60" i="71"/>
  <c r="B61" i="71"/>
  <c r="D59" i="71"/>
  <c r="Q58" i="71"/>
  <c r="P58" i="71"/>
  <c r="O58" i="71"/>
  <c r="N58" i="71"/>
  <c r="Q57" i="71"/>
  <c r="P57" i="71"/>
  <c r="O57" i="71"/>
  <c r="N57" i="71"/>
  <c r="Q56" i="71"/>
  <c r="P56" i="71"/>
  <c r="O56" i="71"/>
  <c r="N56" i="71"/>
  <c r="Q55" i="71"/>
  <c r="F56" i="71" s="1"/>
  <c r="F57" i="71"/>
  <c r="F58" i="71" s="1"/>
  <c r="V58" i="71"/>
  <c r="P55" i="71"/>
  <c r="E56" i="71"/>
  <c r="O55" i="71"/>
  <c r="C56" i="7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B41" i="71" s="1"/>
  <c r="B42" i="71"/>
  <c r="S42" i="71" s="1"/>
  <c r="D39" i="71"/>
  <c r="Q38" i="71"/>
  <c r="P38" i="71"/>
  <c r="O38" i="71"/>
  <c r="N38" i="71"/>
  <c r="Q37" i="71"/>
  <c r="P37" i="71"/>
  <c r="O37" i="71"/>
  <c r="N37" i="71"/>
  <c r="Q36" i="71"/>
  <c r="P36" i="71"/>
  <c r="O36" i="71"/>
  <c r="N36" i="71"/>
  <c r="V38" i="71"/>
  <c r="Q35" i="71"/>
  <c r="F36" i="71" s="1"/>
  <c r="F37" i="71" s="1"/>
  <c r="F38" i="71" s="1"/>
  <c r="P35" i="71"/>
  <c r="E36" i="71" s="1"/>
  <c r="E37" i="71" s="1"/>
  <c r="E38" i="71"/>
  <c r="U38" i="71" s="1"/>
  <c r="O35" i="71"/>
  <c r="C36" i="71"/>
  <c r="N35" i="71"/>
  <c r="B36" i="71" s="1"/>
  <c r="B37" i="71" s="1"/>
  <c r="B38" i="71" s="1"/>
  <c r="S38" i="71" s="1"/>
  <c r="D35" i="71"/>
  <c r="Q34" i="71"/>
  <c r="P34" i="71"/>
  <c r="O34" i="71"/>
  <c r="N34" i="71"/>
  <c r="Q33" i="71"/>
  <c r="AB33" i="71" s="1"/>
  <c r="P33" i="71"/>
  <c r="AA33" i="71" s="1"/>
  <c r="O33" i="71"/>
  <c r="Y33" i="71"/>
  <c r="Z33" i="71" s="1"/>
  <c r="N33" i="71"/>
  <c r="X33" i="71" s="1"/>
  <c r="Q32" i="71"/>
  <c r="AB31" i="71" s="1"/>
  <c r="P32" i="71"/>
  <c r="AA32" i="71" s="1"/>
  <c r="O32" i="71"/>
  <c r="Y32" i="71"/>
  <c r="Z32" i="71" s="1"/>
  <c r="N32" i="71"/>
  <c r="Q31" i="71"/>
  <c r="F32" i="71" s="1"/>
  <c r="P31" i="71"/>
  <c r="O31" i="71"/>
  <c r="N31" i="71"/>
  <c r="D31" i="71"/>
  <c r="Q30" i="71"/>
  <c r="P30" i="71"/>
  <c r="AA20" i="71" s="1"/>
  <c r="O30" i="71"/>
  <c r="N30" i="71"/>
  <c r="Q29" i="71"/>
  <c r="P29" i="71"/>
  <c r="O29" i="71"/>
  <c r="N29" i="71"/>
  <c r="Q28" i="71"/>
  <c r="P28" i="71"/>
  <c r="O28" i="71"/>
  <c r="N28" i="71"/>
  <c r="F28" i="71"/>
  <c r="F29" i="71" s="1"/>
  <c r="F30" i="71" s="1"/>
  <c r="V30" i="71" s="1"/>
  <c r="Q27" i="71"/>
  <c r="P27" i="71"/>
  <c r="O27" i="71"/>
  <c r="N27" i="71"/>
  <c r="D27" i="71"/>
  <c r="Q26" i="71"/>
  <c r="P26" i="71"/>
  <c r="O26" i="71"/>
  <c r="N26" i="71"/>
  <c r="Q25" i="71"/>
  <c r="P25" i="71"/>
  <c r="O25" i="71"/>
  <c r="Y24" i="71" s="1"/>
  <c r="Z24" i="71" s="1"/>
  <c r="N25" i="71"/>
  <c r="Q24" i="71"/>
  <c r="P24" i="71"/>
  <c r="O24" i="71"/>
  <c r="N24" i="71"/>
  <c r="F25" i="71"/>
  <c r="F26" i="71" s="1"/>
  <c r="V26" i="71" s="1"/>
  <c r="Q23" i="71"/>
  <c r="F24" i="71" s="1"/>
  <c r="P23" i="71"/>
  <c r="O23" i="71"/>
  <c r="N23" i="71"/>
  <c r="D23" i="71"/>
  <c r="O22" i="71"/>
  <c r="N22" i="71"/>
  <c r="B24" i="71"/>
  <c r="B25" i="71" s="1"/>
  <c r="B26" i="71" s="1"/>
  <c r="S26" i="71" s="1"/>
  <c r="B28" i="71"/>
  <c r="X31" i="71"/>
  <c r="E32" i="71"/>
  <c r="E33" i="71" s="1"/>
  <c r="E34" i="71" s="1"/>
  <c r="U34" i="71" s="1"/>
  <c r="AA31" i="71"/>
  <c r="N62" i="71"/>
  <c r="X26" i="71"/>
  <c r="C28" i="71"/>
  <c r="Y27" i="71"/>
  <c r="Z27" i="71"/>
  <c r="X32" i="71"/>
  <c r="Y20" i="71"/>
  <c r="Z20" i="71" s="1"/>
  <c r="X21" i="71"/>
  <c r="D28" i="71"/>
  <c r="C37" i="71"/>
  <c r="D36" i="71"/>
  <c r="C45" i="71"/>
  <c r="D45" i="71" s="1"/>
  <c r="P22" i="71"/>
  <c r="E49" i="71"/>
  <c r="E50" i="71" s="1"/>
  <c r="U50" i="71" s="1"/>
  <c r="U54" i="71"/>
  <c r="E57" i="71"/>
  <c r="E58" i="71" s="1"/>
  <c r="U58" i="71" s="1"/>
  <c r="U62" i="71"/>
  <c r="Q22" i="71"/>
  <c r="C49" i="71"/>
  <c r="D48" i="71"/>
  <c r="D52" i="71"/>
  <c r="N61" i="71"/>
  <c r="B60" i="71"/>
  <c r="Q61" i="71"/>
  <c r="C61" i="71"/>
  <c r="Q62" i="71"/>
  <c r="E65" i="71"/>
  <c r="E64" i="71" s="1"/>
  <c r="D66" i="71"/>
  <c r="C69" i="71"/>
  <c r="D70" i="71"/>
  <c r="C73" i="71"/>
  <c r="E73" i="71"/>
  <c r="E72" i="71" s="1"/>
  <c r="D74" i="71"/>
  <c r="C77" i="71"/>
  <c r="C81" i="71"/>
  <c r="C80" i="71" s="1"/>
  <c r="D80" i="71" s="1"/>
  <c r="F22" i="71"/>
  <c r="E22" i="71"/>
  <c r="E21" i="71"/>
  <c r="E20" i="71"/>
  <c r="C60" i="71"/>
  <c r="D77" i="71"/>
  <c r="C76" i="71"/>
  <c r="D76" i="71"/>
  <c r="D69" i="71"/>
  <c r="C68" i="71"/>
  <c r="D68" i="71" s="1"/>
  <c r="D81" i="71"/>
  <c r="D73" i="71"/>
  <c r="C72" i="71"/>
  <c r="D72" i="71" s="1"/>
  <c r="C54" i="71"/>
  <c r="D53" i="71"/>
  <c r="C50" i="71"/>
  <c r="D49" i="71"/>
  <c r="C46" i="71"/>
  <c r="V22" i="71"/>
  <c r="T54" i="71"/>
  <c r="D54"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S9" i="1"/>
  <c r="AR9" i="1" s="1"/>
  <c r="A10" i="70"/>
  <c r="E10" i="70" s="1"/>
  <c r="S10" i="1"/>
  <c r="A11" i="70"/>
  <c r="E11" i="70" s="1"/>
  <c r="A12" i="70"/>
  <c r="E12" i="70" s="1"/>
  <c r="A13" i="70"/>
  <c r="E13" i="70" s="1"/>
  <c r="A6" i="70"/>
  <c r="Q25" i="40"/>
  <c r="Z25" i="40"/>
  <c r="D94" i="40"/>
  <c r="E94" i="40" s="1"/>
  <c r="F94" i="40" s="1"/>
  <c r="F25" i="40"/>
  <c r="AA25" i="40"/>
  <c r="Z29" i="39"/>
  <c r="Q29" i="39"/>
  <c r="D103" i="39"/>
  <c r="E103" i="39"/>
  <c r="F103" i="39" s="1"/>
  <c r="F29" i="39"/>
  <c r="Q18" i="36"/>
  <c r="Z18" i="36"/>
  <c r="D66" i="36"/>
  <c r="E66" i="36" s="1"/>
  <c r="F66" i="36" s="1"/>
  <c r="G66" i="36" s="1"/>
  <c r="H18" i="36"/>
  <c r="F18" i="36"/>
  <c r="AA18" i="36" s="1"/>
  <c r="C18" i="36"/>
  <c r="Z18" i="35"/>
  <c r="Q18" i="35"/>
  <c r="D68" i="35"/>
  <c r="E68" i="35"/>
  <c r="F18" i="35"/>
  <c r="C18" i="35"/>
  <c r="Q21" i="37"/>
  <c r="Z21" i="37" s="1"/>
  <c r="D77" i="37"/>
  <c r="E77" i="37" s="1"/>
  <c r="C21" i="37"/>
  <c r="Q21" i="34"/>
  <c r="Z21" i="34" s="1"/>
  <c r="D84" i="34"/>
  <c r="E84" i="34"/>
  <c r="F21" i="34"/>
  <c r="AA21" i="34"/>
  <c r="C21" i="34"/>
  <c r="Q21" i="33"/>
  <c r="Z21" i="33" s="1"/>
  <c r="D83" i="33"/>
  <c r="E83" i="33" s="1"/>
  <c r="F83" i="33" s="1"/>
  <c r="G83" i="33" s="1"/>
  <c r="C21" i="33"/>
  <c r="G20" i="20"/>
  <c r="B86" i="43" s="1"/>
  <c r="C22" i="20"/>
  <c r="B66" i="43" s="1"/>
  <c r="B75" i="43"/>
  <c r="C25" i="40"/>
  <c r="C29" i="39"/>
  <c r="S25" i="40"/>
  <c r="S18" i="36"/>
  <c r="S21" i="34"/>
  <c r="H25" i="40"/>
  <c r="G94" i="40"/>
  <c r="J25" i="40"/>
  <c r="H29" i="39"/>
  <c r="G103" i="39"/>
  <c r="J29" i="39"/>
  <c r="AC29" i="39" s="1"/>
  <c r="J18" i="36"/>
  <c r="F68" i="35"/>
  <c r="G68" i="35" s="1"/>
  <c r="H18" i="35"/>
  <c r="J18" i="35"/>
  <c r="F77" i="37"/>
  <c r="G77" i="37" s="1"/>
  <c r="H21" i="37"/>
  <c r="F21" i="37"/>
  <c r="F84" i="34"/>
  <c r="H21" i="34"/>
  <c r="AB21" i="34" s="1"/>
  <c r="H21" i="33"/>
  <c r="F21" i="33"/>
  <c r="H1" i="69"/>
  <c r="AC25" i="40"/>
  <c r="W25" i="40"/>
  <c r="AB29" i="39"/>
  <c r="U29" i="39"/>
  <c r="W29" i="39"/>
  <c r="AC18" i="36"/>
  <c r="W18" i="36"/>
  <c r="AB21" i="37"/>
  <c r="U21" i="37"/>
  <c r="AA21" i="37"/>
  <c r="S21" i="37"/>
  <c r="U21" i="34"/>
  <c r="AA21" i="33"/>
  <c r="S21" i="33"/>
  <c r="AC18" i="35"/>
  <c r="W18" i="35"/>
  <c r="J21" i="37"/>
  <c r="AC21" i="37" s="1"/>
  <c r="G84" i="34"/>
  <c r="J21" i="34"/>
  <c r="AC21" i="34" s="1"/>
  <c r="J21" i="33"/>
  <c r="AC21" i="33" s="1"/>
  <c r="F38" i="69"/>
  <c r="E37" i="69"/>
  <c r="F36" i="69"/>
  <c r="F35" i="69"/>
  <c r="C21" i="69"/>
  <c r="E10" i="69"/>
  <c r="E9" i="69"/>
  <c r="W21" i="37"/>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20" i="66" s="1"/>
  <c r="I18" i="66"/>
  <c r="I17" i="66"/>
  <c r="E15" i="66"/>
  <c r="I14" i="66"/>
  <c r="I13" i="66"/>
  <c r="I12" i="66"/>
  <c r="I15" i="66"/>
  <c r="I9" i="66"/>
  <c r="I8" i="66"/>
  <c r="I7" i="66"/>
  <c r="I6" i="66"/>
  <c r="I5" i="66"/>
  <c r="I4" i="66"/>
  <c r="I3" i="66"/>
  <c r="I10" i="66"/>
  <c r="I21" i="66" s="1"/>
  <c r="D1" i="43"/>
  <c r="F113" i="43"/>
  <c r="N99" i="43"/>
  <c r="N108" i="43" s="1"/>
  <c r="D99" i="43"/>
  <c r="D100" i="43" s="1"/>
  <c r="D108" i="43"/>
  <c r="E99" i="43"/>
  <c r="F99" i="43"/>
  <c r="F108" i="43"/>
  <c r="G99" i="43"/>
  <c r="G108" i="43" s="1"/>
  <c r="H99" i="43"/>
  <c r="H108" i="43"/>
  <c r="I99" i="43"/>
  <c r="J99" i="43"/>
  <c r="J108" i="43"/>
  <c r="K99" i="43"/>
  <c r="L99" i="43"/>
  <c r="L108" i="43"/>
  <c r="M99" i="43"/>
  <c r="C99" i="43"/>
  <c r="C108" i="43"/>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c r="O6" i="31" s="1"/>
  <c r="P6" i="31" s="1"/>
  <c r="Q6" i="31" s="1"/>
  <c r="R6" i="31" s="1"/>
  <c r="S6" i="31" s="1"/>
  <c r="F15" i="4"/>
  <c r="F8" i="1"/>
  <c r="F9" i="1"/>
  <c r="F10" i="1"/>
  <c r="F11" i="1"/>
  <c r="F12" i="1"/>
  <c r="F13" i="1"/>
  <c r="G13" i="1" s="1"/>
  <c r="D6" i="1"/>
  <c r="D9" i="1"/>
  <c r="D10" i="1"/>
  <c r="D11" i="1"/>
  <c r="D12" i="1"/>
  <c r="D13" i="1"/>
  <c r="D7" i="1"/>
  <c r="D8" i="1"/>
  <c r="B8" i="1"/>
  <c r="E8" i="1" s="1"/>
  <c r="A11" i="1"/>
  <c r="F3" i="35" s="1"/>
  <c r="A12" i="1"/>
  <c r="A13" i="1"/>
  <c r="B11" i="1"/>
  <c r="E11" i="1"/>
  <c r="B7" i="1"/>
  <c r="E7" i="1" s="1"/>
  <c r="B13" i="1"/>
  <c r="E13" i="1"/>
  <c r="K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Z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c r="C59" i="40" s="1"/>
  <c r="H58" i="40"/>
  <c r="I58" i="40" s="1"/>
  <c r="C58" i="40" s="1"/>
  <c r="H57" i="40"/>
  <c r="I57" i="40"/>
  <c r="C57" i="40" s="1"/>
  <c r="H56" i="40"/>
  <c r="I56" i="40" s="1"/>
  <c r="C56" i="40"/>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c r="H58" i="39"/>
  <c r="I58" i="39"/>
  <c r="C58" i="39" s="1"/>
  <c r="H57" i="39"/>
  <c r="I57" i="39" s="1"/>
  <c r="C57" i="39" s="1"/>
  <c r="H61" i="39"/>
  <c r="I61" i="39"/>
  <c r="C61" i="39" s="1"/>
  <c r="H63" i="39"/>
  <c r="I63" i="39" s="1"/>
  <c r="C63" i="39" s="1"/>
  <c r="H62" i="39"/>
  <c r="I62" i="39"/>
  <c r="C62" i="39" s="1"/>
  <c r="G2" i="43"/>
  <c r="X7" i="43" s="1"/>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1" i="1"/>
  <c r="I15" i="4"/>
  <c r="H15" i="4"/>
  <c r="G15" i="4"/>
  <c r="F7" i="1"/>
  <c r="G7" i="1" s="1"/>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318" i="31"/>
  <c r="S306" i="31"/>
  <c r="S286" i="31"/>
  <c r="S274" i="31"/>
  <c r="S254" i="31"/>
  <c r="S247" i="31"/>
  <c r="S231" i="31"/>
  <c r="S226" i="31"/>
  <c r="S220" i="31"/>
  <c r="S215" i="31"/>
  <c r="S210" i="31"/>
  <c r="S202" i="31"/>
  <c r="S200" i="31"/>
  <c r="S199" i="31"/>
  <c r="S183" i="31"/>
  <c r="S182" i="31"/>
  <c r="S174" i="31"/>
  <c r="S167" i="31"/>
  <c r="S151" i="31"/>
  <c r="S146" i="31"/>
  <c r="S138" i="31"/>
  <c r="S135" i="31"/>
  <c r="S443" i="31"/>
  <c r="S439" i="31"/>
  <c r="S435" i="31"/>
  <c r="S431" i="31"/>
  <c r="S454" i="31"/>
  <c r="S52" i="31"/>
  <c r="S43" i="31"/>
  <c r="S38" i="31"/>
  <c r="S76" i="31"/>
  <c r="S67" i="31"/>
  <c r="S62" i="31"/>
  <c r="S96" i="31"/>
  <c r="S83" i="31"/>
  <c r="S82" i="31"/>
  <c r="S100" i="31"/>
  <c r="S102" i="31"/>
  <c r="S507" i="31"/>
  <c r="S511"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c r="I112" i="34" s="1"/>
  <c r="J112" i="34" s="1"/>
  <c r="K112" i="34" s="1"/>
  <c r="L112" i="34" s="1"/>
  <c r="M112" i="34" s="1"/>
  <c r="F40" i="33"/>
  <c r="J41" i="33"/>
  <c r="W41" i="33" s="1"/>
  <c r="D113" i="33"/>
  <c r="F37" i="33"/>
  <c r="D111" i="33"/>
  <c r="E111" i="33"/>
  <c r="F111" i="33" s="1"/>
  <c r="D81" i="39"/>
  <c r="E81" i="39"/>
  <c r="F81" i="39" s="1"/>
  <c r="G81" i="39" s="1"/>
  <c r="H81" i="39" s="1"/>
  <c r="I81" i="39" s="1"/>
  <c r="J81" i="39" s="1"/>
  <c r="K81" i="39" s="1"/>
  <c r="L81" i="39" s="1"/>
  <c r="M81" i="39" s="1"/>
  <c r="D76" i="40"/>
  <c r="E76" i="40"/>
  <c r="F76" i="40"/>
  <c r="G76" i="40"/>
  <c r="H76" i="40" s="1"/>
  <c r="I76" i="40" s="1"/>
  <c r="J76" i="40" s="1"/>
  <c r="K76" i="40" s="1"/>
  <c r="L76" i="40" s="1"/>
  <c r="M76" i="40" s="1"/>
  <c r="B120" i="40"/>
  <c r="H40" i="40" s="1"/>
  <c r="AB40" i="40" s="1"/>
  <c r="B118" i="40"/>
  <c r="J39" i="40" s="1"/>
  <c r="B116" i="40"/>
  <c r="F38" i="40"/>
  <c r="AA38" i="40"/>
  <c r="D115" i="40"/>
  <c r="E115" i="40"/>
  <c r="F115" i="40"/>
  <c r="G115" i="40"/>
  <c r="H115" i="40" s="1"/>
  <c r="I115" i="40" s="1"/>
  <c r="J115" i="40"/>
  <c r="K115" i="40" s="1"/>
  <c r="L115" i="40" s="1"/>
  <c r="M115" i="40" s="1"/>
  <c r="D113" i="40"/>
  <c r="E113" i="40"/>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s="1"/>
  <c r="J9" i="40"/>
  <c r="W9" i="40" s="1"/>
  <c r="H9" i="40"/>
  <c r="AB9" i="40" s="1"/>
  <c r="F9" i="40"/>
  <c r="S9" i="40" s="1"/>
  <c r="J8" i="40"/>
  <c r="AC8" i="40" s="1"/>
  <c r="H8" i="40"/>
  <c r="AB8" i="40"/>
  <c r="F8" i="40"/>
  <c r="AA8" i="40" s="1"/>
  <c r="D124" i="39"/>
  <c r="E124" i="39"/>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F44" i="39" s="1"/>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H35" i="39"/>
  <c r="AB35" i="39"/>
  <c r="B104" i="39"/>
  <c r="D97" i="39"/>
  <c r="J23" i="39"/>
  <c r="AC23" i="39"/>
  <c r="D95" i="39"/>
  <c r="E95" i="39" s="1"/>
  <c r="F95" i="39" s="1"/>
  <c r="D93" i="39"/>
  <c r="E93" i="39" s="1"/>
  <c r="F93" i="39" s="1"/>
  <c r="G93" i="39"/>
  <c r="D91" i="39"/>
  <c r="E91" i="39" s="1"/>
  <c r="D89" i="39"/>
  <c r="E89" i="39"/>
  <c r="F89" i="39" s="1"/>
  <c r="G89" i="39" s="1"/>
  <c r="B86" i="39"/>
  <c r="B84" i="39"/>
  <c r="B82" i="39"/>
  <c r="J12" i="39"/>
  <c r="M79" i="39"/>
  <c r="L79" i="39"/>
  <c r="K79" i="39"/>
  <c r="J79" i="39"/>
  <c r="I79" i="39"/>
  <c r="H79" i="39"/>
  <c r="G79" i="39"/>
  <c r="F79" i="39"/>
  <c r="E79" i="39"/>
  <c r="D79" i="39"/>
  <c r="C79" i="39"/>
  <c r="P48" i="39"/>
  <c r="P47" i="39"/>
  <c r="P46" i="39"/>
  <c r="AA44"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H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s="1"/>
  <c r="F10" i="34"/>
  <c r="AA10" i="34"/>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J9" i="33"/>
  <c r="AC9" i="33"/>
  <c r="H9" i="33"/>
  <c r="AB9" i="33" s="1"/>
  <c r="F9" i="33"/>
  <c r="AA9" i="33"/>
  <c r="J8" i="33"/>
  <c r="AC8" i="33" s="1"/>
  <c r="H8" i="33"/>
  <c r="AB8" i="33"/>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45" i="39"/>
  <c r="S45" i="39" s="1"/>
  <c r="J45" i="39"/>
  <c r="W45" i="39"/>
  <c r="J44" i="39"/>
  <c r="AC44" i="39" s="1"/>
  <c r="F36" i="39"/>
  <c r="S36" i="39"/>
  <c r="H36" i="39"/>
  <c r="AB36" i="39" s="1"/>
  <c r="J35" i="39"/>
  <c r="AC35" i="39"/>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c r="W8"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C25" i="39"/>
  <c r="C27" i="39"/>
  <c r="C21" i="39"/>
  <c r="H11" i="39"/>
  <c r="S40" i="39"/>
  <c r="C15" i="39"/>
  <c r="H32" i="33"/>
  <c r="AB32" i="33"/>
  <c r="H37" i="40"/>
  <c r="U37" i="40"/>
  <c r="H36" i="40"/>
  <c r="AB36" i="40"/>
  <c r="F35" i="40"/>
  <c r="AA35" i="40"/>
  <c r="H23" i="40"/>
  <c r="AB23" i="40" s="1"/>
  <c r="H17" i="40"/>
  <c r="U17" i="40"/>
  <c r="J15" i="40"/>
  <c r="W15" i="40" s="1"/>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F44" i="34"/>
  <c r="AA44" i="34" s="1"/>
  <c r="J10" i="35"/>
  <c r="W10" i="35"/>
  <c r="BL587" i="3"/>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c r="F28" i="36"/>
  <c r="AA28" i="36" s="1"/>
  <c r="F27" i="33"/>
  <c r="AA27" i="33" s="1"/>
  <c r="J13" i="33"/>
  <c r="H13" i="33"/>
  <c r="AB13" i="33" s="1"/>
  <c r="F13" i="33"/>
  <c r="S13" i="33" s="1"/>
  <c r="J29" i="33"/>
  <c r="AC29" i="33" s="1"/>
  <c r="H29" i="33"/>
  <c r="U29" i="33" s="1"/>
  <c r="F29" i="33"/>
  <c r="S29" i="33"/>
  <c r="J31" i="33"/>
  <c r="W31" i="33" s="1"/>
  <c r="H31" i="33"/>
  <c r="AB31" i="33" s="1"/>
  <c r="F31" i="33"/>
  <c r="H45" i="33"/>
  <c r="U45" i="33" s="1"/>
  <c r="J45" i="33"/>
  <c r="W45" i="33"/>
  <c r="F45" i="33"/>
  <c r="AA45" i="33" s="1"/>
  <c r="J14" i="34"/>
  <c r="W14" i="34" s="1"/>
  <c r="F14" i="34"/>
  <c r="S14" i="34" s="1"/>
  <c r="H14" i="34"/>
  <c r="H30" i="34"/>
  <c r="F30" i="34"/>
  <c r="S30" i="34" s="1"/>
  <c r="J30" i="34"/>
  <c r="AC30" i="34" s="1"/>
  <c r="H32" i="34"/>
  <c r="F32" i="34"/>
  <c r="J32" i="34"/>
  <c r="W32" i="34" s="1"/>
  <c r="H46" i="34"/>
  <c r="U46" i="34" s="1"/>
  <c r="F46" i="34"/>
  <c r="J46" i="34"/>
  <c r="H11" i="35"/>
  <c r="U11" i="35" s="1"/>
  <c r="J11" i="35"/>
  <c r="AC11" i="35" s="1"/>
  <c r="F11" i="35"/>
  <c r="S11" i="35" s="1"/>
  <c r="J26" i="36"/>
  <c r="W26" i="36"/>
  <c r="H28" i="36"/>
  <c r="U28" i="36" s="1"/>
  <c r="H32" i="36"/>
  <c r="AB32" i="36"/>
  <c r="J32" i="36"/>
  <c r="W32" i="36" s="1"/>
  <c r="J11" i="36"/>
  <c r="AC11" i="36"/>
  <c r="H11" i="36"/>
  <c r="U11" i="36" s="1"/>
  <c r="F11" i="36"/>
  <c r="S11" i="36" s="1"/>
  <c r="H13" i="36"/>
  <c r="AB13" i="36" s="1"/>
  <c r="J13" i="36"/>
  <c r="F13" i="36"/>
  <c r="S13" i="36" s="1"/>
  <c r="E89" i="37"/>
  <c r="F89" i="37"/>
  <c r="G89" i="37"/>
  <c r="H89" i="37" s="1"/>
  <c r="I89" i="37" s="1"/>
  <c r="J89" i="37"/>
  <c r="K89" i="37" s="1"/>
  <c r="L89" i="37" s="1"/>
  <c r="M89" i="37" s="1"/>
  <c r="J29" i="37"/>
  <c r="W29" i="37" s="1"/>
  <c r="F29" i="37"/>
  <c r="S29" i="37" s="1"/>
  <c r="F105" i="37"/>
  <c r="H36" i="37"/>
  <c r="AB36" i="37" s="1"/>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s="1"/>
  <c r="J13" i="34"/>
  <c r="W13" i="34" s="1"/>
  <c r="F13" i="34"/>
  <c r="AA13" i="34"/>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c r="H13" i="39"/>
  <c r="H14" i="40"/>
  <c r="AB14" i="40"/>
  <c r="J14" i="40"/>
  <c r="W14" i="40" s="1"/>
  <c r="F14" i="40"/>
  <c r="AA14" i="40"/>
  <c r="J14" i="37"/>
  <c r="AC14" i="37" s="1"/>
  <c r="J27" i="37"/>
  <c r="AC27" i="37"/>
  <c r="AA44" i="33"/>
  <c r="U46" i="33"/>
  <c r="AA14" i="33"/>
  <c r="J36" i="37"/>
  <c r="AC36" i="37" s="1"/>
  <c r="G105" i="37"/>
  <c r="AB11" i="36"/>
  <c r="AB11" i="35"/>
  <c r="J10" i="36"/>
  <c r="AC10" i="36"/>
  <c r="AB26" i="33"/>
  <c r="AA14" i="37"/>
  <c r="W31" i="34"/>
  <c r="AC13" i="36"/>
  <c r="W13" i="36"/>
  <c r="W11" i="36"/>
  <c r="AB46" i="34"/>
  <c r="AA14" i="34"/>
  <c r="S45" i="33"/>
  <c r="AB45" i="33"/>
  <c r="U31" i="33"/>
  <c r="W29"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BL516" i="3"/>
  <c r="BL512" i="3"/>
  <c r="BL506" i="3"/>
  <c r="BL502" i="3"/>
  <c r="BL498" i="3"/>
  <c r="BL494" i="3"/>
  <c r="BL582" i="3"/>
  <c r="BL578" i="3"/>
  <c r="BL574" i="3"/>
  <c r="AZ574" i="3" s="1"/>
  <c r="BL570" i="3"/>
  <c r="BL566" i="3"/>
  <c r="BL562" i="3"/>
  <c r="BL556" i="3"/>
  <c r="BL552" i="3"/>
  <c r="BL544" i="3"/>
  <c r="BL540" i="3"/>
  <c r="BL536" i="3"/>
  <c r="G533" i="3"/>
  <c r="BL532" i="3"/>
  <c r="G529" i="3"/>
  <c r="BL528" i="3"/>
  <c r="AZ528" i="3" s="1"/>
  <c r="G525" i="3"/>
  <c r="BL524" i="3"/>
  <c r="BL518" i="3"/>
  <c r="AZ518" i="3" s="1"/>
  <c r="BL514" i="3"/>
  <c r="BL510" i="3"/>
  <c r="BL504" i="3"/>
  <c r="BL500" i="3"/>
  <c r="BL496" i="3"/>
  <c r="G493" i="3"/>
  <c r="BA584" i="3"/>
  <c r="BA582" i="3"/>
  <c r="AZ582" i="3"/>
  <c r="BA580" i="3"/>
  <c r="AZ580" i="3" s="1"/>
  <c r="BA578" i="3"/>
  <c r="AZ578" i="3"/>
  <c r="BA576" i="3"/>
  <c r="AZ576" i="3" s="1"/>
  <c r="BA574" i="3"/>
  <c r="BA572" i="3"/>
  <c r="BA570" i="3"/>
  <c r="AZ570" i="3" s="1"/>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BA536" i="3"/>
  <c r="AZ536" i="3"/>
  <c r="BA534" i="3"/>
  <c r="BA532" i="3"/>
  <c r="AZ532" i="3"/>
  <c r="BA530" i="3"/>
  <c r="BA528" i="3"/>
  <c r="BA526" i="3"/>
  <c r="AZ526" i="3" s="1"/>
  <c r="BA524" i="3"/>
  <c r="AZ524" i="3"/>
  <c r="BA522" i="3"/>
  <c r="BA520" i="3"/>
  <c r="BA518" i="3"/>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AZ533" i="3" s="1"/>
  <c r="BA531" i="3"/>
  <c r="BA529" i="3"/>
  <c r="BA527" i="3"/>
  <c r="BA525" i="3"/>
  <c r="AZ525" i="3" s="1"/>
  <c r="BA523" i="3"/>
  <c r="BA519" i="3"/>
  <c r="BA517" i="3"/>
  <c r="BA515" i="3"/>
  <c r="AZ515" i="3" s="1"/>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c r="BQ579" i="3"/>
  <c r="BL579" i="3" s="1"/>
  <c r="BQ577" i="3"/>
  <c r="BL577" i="3"/>
  <c r="BQ575" i="3"/>
  <c r="BL575" i="3"/>
  <c r="AZ575" i="3"/>
  <c r="BQ573" i="3"/>
  <c r="BL573" i="3"/>
  <c r="AZ573" i="3"/>
  <c r="BQ571" i="3"/>
  <c r="BL571" i="3" s="1"/>
  <c r="BQ569" i="3"/>
  <c r="BL569" i="3"/>
  <c r="BQ567" i="3"/>
  <c r="BL567" i="3"/>
  <c r="AZ567" i="3"/>
  <c r="BQ565" i="3"/>
  <c r="BL565" i="3"/>
  <c r="AZ565" i="3"/>
  <c r="BQ563" i="3"/>
  <c r="BL563" i="3" s="1"/>
  <c r="AZ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AZ551" i="3" s="1"/>
  <c r="BQ549" i="3"/>
  <c r="BQ547" i="3"/>
  <c r="BL547" i="3"/>
  <c r="AZ547" i="3" s="1"/>
  <c r="BQ545" i="3"/>
  <c r="BL545" i="3"/>
  <c r="AZ545" i="3"/>
  <c r="BQ543" i="3"/>
  <c r="BL543" i="3"/>
  <c r="AZ543" i="3"/>
  <c r="BQ541" i="3"/>
  <c r="BL541" i="3" s="1"/>
  <c r="BQ539" i="3"/>
  <c r="BL539" i="3"/>
  <c r="AZ539" i="3" s="1"/>
  <c r="BQ537" i="3"/>
  <c r="BL537" i="3"/>
  <c r="AZ537" i="3"/>
  <c r="BQ535" i="3"/>
  <c r="BL535" i="3"/>
  <c r="AZ535" i="3"/>
  <c r="BQ533" i="3"/>
  <c r="BL533" i="3" s="1"/>
  <c r="BQ531" i="3"/>
  <c r="BL531" i="3"/>
  <c r="AZ531" i="3" s="1"/>
  <c r="BQ529" i="3"/>
  <c r="BL529" i="3"/>
  <c r="AZ529" i="3"/>
  <c r="BQ527" i="3"/>
  <c r="BL527" i="3"/>
  <c r="AZ527" i="3"/>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c r="BQ513" i="3"/>
  <c r="BL513" i="3" s="1"/>
  <c r="AZ513" i="3" s="1"/>
  <c r="BQ511" i="3"/>
  <c r="BL511" i="3"/>
  <c r="AZ511" i="3" s="1"/>
  <c r="BA509" i="3"/>
  <c r="AC509" i="3"/>
  <c r="BQ509" i="3"/>
  <c r="BL509" i="3" s="1"/>
  <c r="AZ509" i="3" s="1"/>
  <c r="BL508" i="3"/>
  <c r="AZ508" i="3"/>
  <c r="G507" i="3"/>
  <c r="G505" i="3"/>
  <c r="G503" i="3"/>
  <c r="G501" i="3"/>
  <c r="G499" i="3"/>
  <c r="G497" i="3"/>
  <c r="G495" i="3"/>
  <c r="BQ507" i="3"/>
  <c r="BL507" i="3"/>
  <c r="BQ505" i="3"/>
  <c r="BL505" i="3"/>
  <c r="AZ505" i="3"/>
  <c r="BQ503" i="3"/>
  <c r="BL503" i="3"/>
  <c r="AZ503" i="3"/>
  <c r="BQ501" i="3"/>
  <c r="BL501" i="3" s="1"/>
  <c r="AZ501" i="3" s="1"/>
  <c r="BQ499" i="3"/>
  <c r="BL499" i="3"/>
  <c r="BQ497" i="3"/>
  <c r="BL497" i="3" s="1"/>
  <c r="AZ497" i="3" s="1"/>
  <c r="BQ495" i="3"/>
  <c r="BL495" i="3"/>
  <c r="AZ495" i="3"/>
  <c r="BQ493" i="3"/>
  <c r="AZ584" i="3"/>
  <c r="S499" i="31"/>
  <c r="O27" i="31"/>
  <c r="O28" i="31"/>
  <c r="O26" i="31"/>
  <c r="M27" i="31"/>
  <c r="M28" i="31"/>
  <c r="M26" i="31"/>
  <c r="I26" i="31"/>
  <c r="I25" i="31"/>
  <c r="K26" i="31"/>
  <c r="I27" i="31"/>
  <c r="K27" i="31"/>
  <c r="I28" i="31"/>
  <c r="K28" i="31"/>
  <c r="AC28" i="34"/>
  <c r="S21" i="40"/>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W37" i="34"/>
  <c r="AB37" i="34"/>
  <c r="AC36" i="34"/>
  <c r="AA13" i="33"/>
  <c r="AC31" i="33"/>
  <c r="AC45" i="33"/>
  <c r="W44" i="33"/>
  <c r="U11" i="33"/>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K5" i="4" s="1"/>
  <c r="B47" i="48" s="1"/>
  <c r="I4" i="4"/>
  <c r="A2" i="9"/>
  <c r="F59" i="43"/>
  <c r="H62"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G197" i="3"/>
  <c r="BA199" i="3"/>
  <c r="AZ199" i="3" s="1"/>
  <c r="BL200" i="3"/>
  <c r="AZ200" i="3" s="1"/>
  <c r="G201" i="3"/>
  <c r="BA203" i="3"/>
  <c r="AZ203" i="3" s="1"/>
  <c r="BL204" i="3"/>
  <c r="AZ204" i="3" s="1"/>
  <c r="AZ39" i="3"/>
  <c r="AZ47" i="3"/>
  <c r="AZ55" i="3"/>
  <c r="AZ63" i="3"/>
  <c r="AZ71" i="3"/>
  <c r="AZ83" i="3"/>
  <c r="AZ152" i="3"/>
  <c r="AZ176" i="3"/>
  <c r="AZ184" i="3"/>
  <c r="AZ85" i="3"/>
  <c r="AZ93" i="3"/>
  <c r="AZ105" i="3"/>
  <c r="AZ120"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6" i="3"/>
  <c r="AZ150" i="3"/>
  <c r="AZ154" i="3"/>
  <c r="AZ158" i="3"/>
  <c r="AZ162" i="3"/>
  <c r="AZ166" i="3"/>
  <c r="AZ178" i="3"/>
  <c r="AZ186" i="3"/>
  <c r="AZ190"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5"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N5" i="3"/>
  <c r="BK5" i="3"/>
  <c r="BI5" i="3"/>
  <c r="BG5" i="3"/>
  <c r="BE5" i="3"/>
  <c r="BC5" i="3"/>
  <c r="AZ350" i="3"/>
  <c r="AZ352" i="3"/>
  <c r="AZ368" i="3"/>
  <c r="AZ392" i="3"/>
  <c r="AZ396" i="3"/>
  <c r="AZ499" i="3"/>
  <c r="G509" i="3"/>
  <c r="BL493" i="3"/>
  <c r="AZ493" i="3" s="1"/>
  <c r="AZ491" i="3"/>
  <c r="AZ376" i="3"/>
  <c r="AZ382" i="3"/>
  <c r="U36" i="40"/>
  <c r="F36" i="43"/>
  <c r="F81" i="43"/>
  <c r="H83" i="43" s="1"/>
  <c r="H113" i="43"/>
  <c r="F48" i="43"/>
  <c r="H52" i="43"/>
  <c r="F70" i="43"/>
  <c r="H73" i="43"/>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AZ353" i="3"/>
  <c r="AZ354" i="3"/>
  <c r="AZ386" i="3"/>
  <c r="C40" i="11"/>
  <c r="AZ215" i="3"/>
  <c r="AZ223" i="3"/>
  <c r="AZ227" i="3"/>
  <c r="AZ232" i="3"/>
  <c r="AZ235" i="3"/>
  <c r="AZ240" i="3"/>
  <c r="AZ243" i="3"/>
  <c r="AZ248" i="3"/>
  <c r="AZ259" i="3"/>
  <c r="AZ268" i="3"/>
  <c r="AZ271" i="3"/>
  <c r="AZ288" i="3"/>
  <c r="AZ296" i="3"/>
  <c r="AZ114" i="3"/>
  <c r="AZ130" i="3"/>
  <c r="AZ133" i="3"/>
  <c r="AZ21" i="3"/>
  <c r="AZ37" i="3"/>
  <c r="AZ42" i="3"/>
  <c r="AZ50" i="3"/>
  <c r="AZ58" i="3"/>
  <c r="AZ66" i="3"/>
  <c r="AZ102" i="3"/>
  <c r="AZ110" i="3"/>
  <c r="H75" i="43"/>
  <c r="H50" i="43"/>
  <c r="I20" i="43"/>
  <c r="F23" i="39"/>
  <c r="AA23" i="39" s="1"/>
  <c r="H27" i="36"/>
  <c r="U27" i="36" s="1"/>
  <c r="F27" i="36"/>
  <c r="AA27" i="36" s="1"/>
  <c r="H33" i="34"/>
  <c r="U33" i="34" s="1"/>
  <c r="F32" i="37"/>
  <c r="AA32" i="37" s="1"/>
  <c r="F20" i="36"/>
  <c r="AA20" i="36"/>
  <c r="J33" i="34"/>
  <c r="AC33" i="34"/>
  <c r="H23" i="39"/>
  <c r="U23" i="39"/>
  <c r="H86" i="43"/>
  <c r="H82" i="43"/>
  <c r="H87" i="43"/>
  <c r="O9" i="1"/>
  <c r="P9" i="1"/>
  <c r="D93" i="9"/>
  <c r="K6" i="1"/>
  <c r="G29" i="6"/>
  <c r="AC26" i="33"/>
  <c r="W26" i="33"/>
  <c r="W27" i="34"/>
  <c r="AC27" i="34"/>
  <c r="AB34" i="36"/>
  <c r="U34" i="36"/>
  <c r="AB33" i="36"/>
  <c r="U33" i="36"/>
  <c r="AC12" i="39"/>
  <c r="W12" i="39"/>
  <c r="AC39" i="40"/>
  <c r="W39" i="40"/>
  <c r="AZ401" i="3"/>
  <c r="AZ417" i="3"/>
  <c r="AZ428"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73" i="3"/>
  <c r="AZ181" i="3"/>
  <c r="AZ197" i="3"/>
  <c r="AZ19" i="3"/>
  <c r="AZ35" i="3"/>
  <c r="S12" i="1"/>
  <c r="AR12" i="1" s="1"/>
  <c r="R12" i="1"/>
  <c r="B12" i="1"/>
  <c r="E12" i="1" s="1"/>
  <c r="AQ10" i="1"/>
  <c r="B10" i="1"/>
  <c r="E10" i="1" s="1"/>
  <c r="D1" i="66"/>
  <c r="E10" i="66" s="1"/>
  <c r="AZ88" i="3"/>
  <c r="AZ107" i="3"/>
  <c r="K12" i="1"/>
  <c r="M12" i="1" s="1"/>
  <c r="O12" i="1"/>
  <c r="P12" i="1"/>
  <c r="S13" i="1"/>
  <c r="AR13" i="1" s="1"/>
  <c r="R13" i="1"/>
  <c r="S11" i="1"/>
  <c r="AQ11" i="1" s="1"/>
  <c r="R11" i="1"/>
  <c r="J51" i="67"/>
  <c r="C42" i="1"/>
  <c r="F31" i="12"/>
  <c r="H100" i="43"/>
  <c r="C30"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S25" i="39"/>
  <c r="J21" i="39"/>
  <c r="F21" i="39"/>
  <c r="AA21" i="39" s="1"/>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S25" i="33" s="1"/>
  <c r="J23" i="33"/>
  <c r="F85" i="33"/>
  <c r="H23" i="33"/>
  <c r="F81" i="33"/>
  <c r="G81" i="33" s="1"/>
  <c r="F19" i="33"/>
  <c r="S19" i="33" s="1"/>
  <c r="W19" i="33"/>
  <c r="J17" i="33"/>
  <c r="W17" i="33" s="1"/>
  <c r="F79" i="33"/>
  <c r="S15" i="33"/>
  <c r="W15" i="33"/>
  <c r="U9" i="33"/>
  <c r="I66" i="33"/>
  <c r="J10" i="33"/>
  <c r="H10" i="33"/>
  <c r="AA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H72" i="43"/>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W30" i="40"/>
  <c r="C19" i="39"/>
  <c r="C15" i="40"/>
  <c r="C17" i="40"/>
  <c r="C23" i="40"/>
  <c r="C21" i="40"/>
  <c r="U30" i="40"/>
  <c r="B54" i="43"/>
  <c r="B65" i="43"/>
  <c r="B49" i="43"/>
  <c r="B52" i="43"/>
  <c r="B56" i="43"/>
  <c r="B60" i="43"/>
  <c r="B63" i="43"/>
  <c r="B67" i="43"/>
  <c r="D23" i="15"/>
  <c r="D22" i="15"/>
  <c r="M6" i="1"/>
  <c r="O6" i="1"/>
  <c r="P6" i="1"/>
  <c r="F30" i="11"/>
  <c r="C48" i="11"/>
  <c r="F28" i="67"/>
  <c r="C28" i="67" s="1"/>
  <c r="F52" i="9"/>
  <c r="M18" i="67"/>
  <c r="F32" i="67"/>
  <c r="F60" i="67" s="1"/>
  <c r="F32" i="15"/>
  <c r="F60" i="15" s="1"/>
  <c r="M18" i="15"/>
  <c r="F28" i="15"/>
  <c r="C28" i="15" s="1"/>
  <c r="AA39" i="40"/>
  <c r="S39" i="40"/>
  <c r="S12" i="33"/>
  <c r="AA12" i="33"/>
  <c r="D68" i="9"/>
  <c r="F54" i="9"/>
  <c r="J32" i="39"/>
  <c r="H107" i="39"/>
  <c r="I107" i="39"/>
  <c r="J107" i="39" s="1"/>
  <c r="K107" i="39" s="1"/>
  <c r="L107" i="39" s="1"/>
  <c r="M107" i="39" s="1"/>
  <c r="H32" i="39"/>
  <c r="AA32" i="39"/>
  <c r="S32" i="39"/>
  <c r="AB21" i="39"/>
  <c r="U21" i="39"/>
  <c r="AC21" i="39"/>
  <c r="W21" i="39"/>
  <c r="S26" i="35"/>
  <c r="U9" i="35"/>
  <c r="AB9" i="35"/>
  <c r="AA9" i="35"/>
  <c r="S9" i="35"/>
  <c r="AC26" i="35"/>
  <c r="W26" i="35"/>
  <c r="AB26" i="35"/>
  <c r="U26" i="35"/>
  <c r="AC17" i="37"/>
  <c r="S17" i="37"/>
  <c r="J19" i="37"/>
  <c r="S19" i="37"/>
  <c r="AA19" i="37"/>
  <c r="AA23" i="37"/>
  <c r="J23" i="37"/>
  <c r="G79" i="37"/>
  <c r="J10" i="37"/>
  <c r="I60" i="37"/>
  <c r="G63" i="37"/>
  <c r="H11" i="37"/>
  <c r="AB10" i="37"/>
  <c r="G70" i="34"/>
  <c r="H11" i="34"/>
  <c r="AB10" i="34"/>
  <c r="U10" i="34"/>
  <c r="J10" i="34"/>
  <c r="I67" i="34"/>
  <c r="AB41" i="33"/>
  <c r="U41" i="33"/>
  <c r="H111" i="33"/>
  <c r="I111" i="33" s="1"/>
  <c r="J111" i="33" s="1"/>
  <c r="K111" i="33" s="1"/>
  <c r="L111" i="33"/>
  <c r="M111" i="33" s="1"/>
  <c r="W32"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C23" i="33"/>
  <c r="W23" i="33"/>
  <c r="AA19" i="33"/>
  <c r="H19" i="33"/>
  <c r="U19" i="33" s="1"/>
  <c r="G79" i="33"/>
  <c r="H17" i="33"/>
  <c r="U17" i="33" s="1"/>
  <c r="F17" i="33"/>
  <c r="AC17" i="33"/>
  <c r="U10" i="33"/>
  <c r="AB10" i="33"/>
  <c r="AC10" i="33"/>
  <c r="W10" i="33"/>
  <c r="D6" i="52"/>
  <c r="O14" i="1"/>
  <c r="P14" i="1"/>
  <c r="AP7" i="1"/>
  <c r="O7" i="1"/>
  <c r="C30" i="11"/>
  <c r="K120" i="9"/>
  <c r="A18" i="62"/>
  <c r="B64" i="72" s="1"/>
  <c r="D3" i="33"/>
  <c r="U32" i="39"/>
  <c r="AB32" i="39"/>
  <c r="AC32" i="39"/>
  <c r="W32" i="39"/>
  <c r="W19" i="37"/>
  <c r="AC19" i="37"/>
  <c r="W23" i="37"/>
  <c r="AC23" i="37"/>
  <c r="AB11" i="37"/>
  <c r="U11" i="37"/>
  <c r="H63" i="37"/>
  <c r="I63" i="37" s="1"/>
  <c r="J63" i="37"/>
  <c r="K63" i="37" s="1"/>
  <c r="L63" i="37" s="1"/>
  <c r="M63" i="37" s="1"/>
  <c r="J11" i="37"/>
  <c r="W11" i="37" s="1"/>
  <c r="U11" i="34"/>
  <c r="AB11" i="34"/>
  <c r="AC10" i="34"/>
  <c r="W10" i="34"/>
  <c r="H70" i="34"/>
  <c r="I70" i="34"/>
  <c r="J70" i="34" s="1"/>
  <c r="K70" i="34" s="1"/>
  <c r="L70" i="34" s="1"/>
  <c r="M70" i="34"/>
  <c r="J11" i="34"/>
  <c r="W11" i="34" s="1"/>
  <c r="W27" i="33"/>
  <c r="AC27" i="33"/>
  <c r="W25" i="33"/>
  <c r="AC25" i="33"/>
  <c r="AA23" i="33"/>
  <c r="S23" i="33"/>
  <c r="AB19" i="33"/>
  <c r="AA17" i="33"/>
  <c r="S17" i="33"/>
  <c r="P7" i="1"/>
  <c r="AC11" i="37"/>
  <c r="F34" i="11"/>
  <c r="C36" i="11" s="1"/>
  <c r="F11" i="12"/>
  <c r="F34" i="68"/>
  <c r="AG6" i="1"/>
  <c r="H109" i="9"/>
  <c r="H112" i="9"/>
  <c r="D21" i="53" s="1"/>
  <c r="B39" i="72" s="1"/>
  <c r="H111" i="9"/>
  <c r="D126" i="9"/>
  <c r="D19" i="53"/>
  <c r="D20" i="53" s="1"/>
  <c r="B38" i="72"/>
  <c r="B40" i="72"/>
  <c r="AD3" i="7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24" i="12"/>
  <c r="AB16" i="71"/>
  <c r="X14" i="71"/>
  <c r="X13" i="71"/>
  <c r="AA14" i="71"/>
  <c r="AA13" i="71"/>
  <c r="X17" i="71"/>
  <c r="Y13" i="71"/>
  <c r="Z13" i="71" s="1"/>
  <c r="AB14" i="71"/>
  <c r="AB13" i="71"/>
  <c r="F15" i="71"/>
  <c r="F14" i="71" s="1"/>
  <c r="F13" i="71" s="1"/>
  <c r="F12" i="71" s="1"/>
  <c r="F11" i="71" s="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c r="F10" i="71"/>
  <c r="F9" i="71" s="1"/>
  <c r="F8" i="71" s="1"/>
  <c r="F7" i="71" s="1"/>
  <c r="F6" i="71" s="1"/>
  <c r="F5" i="71" s="1"/>
  <c r="AF3" i="71"/>
  <c r="P22" i="43" s="1"/>
  <c r="F59" i="67"/>
  <c r="M17" i="67"/>
  <c r="M17" i="15"/>
  <c r="F59" i="15"/>
  <c r="P24" i="43"/>
  <c r="B66" i="40" s="1"/>
  <c r="M28" i="43"/>
  <c r="N28" i="43"/>
  <c r="O28" i="43"/>
  <c r="P28" i="43"/>
  <c r="L47" i="67"/>
  <c r="F20" i="31"/>
  <c r="B12" i="76"/>
  <c r="F16" i="67"/>
  <c r="F40" i="67"/>
  <c r="E9" i="76"/>
  <c r="J15" i="67"/>
  <c r="AO12" i="1"/>
  <c r="L48" i="67"/>
  <c r="F26" i="67"/>
  <c r="F37" i="67"/>
  <c r="M9" i="67"/>
  <c r="B9" i="76"/>
  <c r="M27" i="67"/>
  <c r="M28" i="67"/>
  <c r="D2" i="35"/>
  <c r="M22" i="67"/>
  <c r="F13" i="67"/>
  <c r="F6" i="67"/>
  <c r="C76" i="67"/>
  <c r="M8" i="67"/>
  <c r="M6" i="67"/>
  <c r="E12" i="76"/>
  <c r="E2" i="68"/>
  <c r="E11" i="76"/>
  <c r="B13" i="76"/>
  <c r="E8" i="76"/>
  <c r="E10" i="76"/>
  <c r="F8" i="67"/>
  <c r="M23" i="67"/>
  <c r="D2" i="37"/>
  <c r="D2" i="36"/>
  <c r="AO11" i="1"/>
  <c r="M26" i="67"/>
  <c r="AO9" i="1"/>
  <c r="E13" i="76"/>
  <c r="AO13" i="1"/>
  <c r="D2" i="34"/>
  <c r="B11" i="76"/>
  <c r="AO8" i="1"/>
  <c r="F9" i="67"/>
  <c r="E2" i="69"/>
  <c r="F36" i="67"/>
  <c r="B10" i="76"/>
  <c r="B8" i="76"/>
  <c r="M24" i="67"/>
  <c r="D2" i="33"/>
  <c r="F42" i="67"/>
  <c r="B7" i="76"/>
  <c r="F38" i="67"/>
  <c r="AO10" i="1"/>
  <c r="E7" i="76"/>
  <c r="S43" i="96" l="1"/>
  <c r="U10" i="96"/>
  <c r="S10" i="96"/>
  <c r="U43" i="96"/>
  <c r="W14" i="96"/>
  <c r="C48" i="68"/>
  <c r="C30" i="68"/>
  <c r="F48" i="69"/>
  <c r="C30" i="69"/>
  <c r="D68" i="39"/>
  <c r="D70" i="39" s="1"/>
  <c r="C70" i="39"/>
  <c r="C36" i="68"/>
  <c r="C31" i="12"/>
  <c r="C19" i="43"/>
  <c r="C40" i="69"/>
  <c r="I36" i="33"/>
  <c r="J36" i="33" s="1"/>
  <c r="G36" i="33"/>
  <c r="C33" i="96"/>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AZ579" i="3"/>
  <c r="E46" i="36"/>
  <c r="AC11" i="34"/>
  <c r="AB17" i="33"/>
  <c r="AC35" i="33"/>
  <c r="S21" i="39"/>
  <c r="AZ581" i="3"/>
  <c r="W11" i="35"/>
  <c r="AC9" i="34"/>
  <c r="W9" i="34"/>
  <c r="AC31" i="40"/>
  <c r="W31" i="40"/>
  <c r="E68" i="39"/>
  <c r="AA25" i="33"/>
  <c r="C48" i="69"/>
  <c r="AA11" i="39"/>
  <c r="AB13" i="34"/>
  <c r="AA11" i="36"/>
  <c r="C23" i="12"/>
  <c r="U34" i="35"/>
  <c r="AB34" i="35"/>
  <c r="C20" i="43"/>
  <c r="AZ516" i="3"/>
  <c r="AZ572" i="3"/>
  <c r="S13" i="35"/>
  <c r="AA13" i="35"/>
  <c r="AB31" i="34"/>
  <c r="U31" i="34"/>
  <c r="W30" i="34"/>
  <c r="U12" i="35"/>
  <c r="AB12" i="35"/>
  <c r="H39" i="40"/>
  <c r="G582" i="3"/>
  <c r="G552" i="3"/>
  <c r="J36" i="35"/>
  <c r="H44" i="39"/>
  <c r="AZ422" i="3"/>
  <c r="F26" i="37"/>
  <c r="H17" i="39"/>
  <c r="F17" i="39"/>
  <c r="F91" i="39"/>
  <c r="J40" i="40"/>
  <c r="AZ442" i="3"/>
  <c r="AZ398" i="3"/>
  <c r="AZ403" i="3"/>
  <c r="AZ404" i="3"/>
  <c r="BA409" i="3"/>
  <c r="AZ409" i="3" s="1"/>
  <c r="AZ410" i="3"/>
  <c r="BA412" i="3"/>
  <c r="AZ412" i="3" s="1"/>
  <c r="AZ413" i="3"/>
  <c r="BA416" i="3"/>
  <c r="AZ416" i="3" s="1"/>
  <c r="AZ420" i="3"/>
  <c r="BA430" i="3"/>
  <c r="AZ430" i="3" s="1"/>
  <c r="AZ431" i="3"/>
  <c r="BA433" i="3"/>
  <c r="AZ433" i="3" s="1"/>
  <c r="AZ434" i="3"/>
  <c r="AZ436" i="3"/>
  <c r="AZ438" i="3"/>
  <c r="BL439" i="3"/>
  <c r="BL442" i="3"/>
  <c r="AZ449" i="3"/>
  <c r="AZ452" i="3"/>
  <c r="AZ462" i="3"/>
  <c r="AZ486" i="3"/>
  <c r="AZ332" i="3"/>
  <c r="AZ397" i="3"/>
  <c r="AZ212" i="3"/>
  <c r="AZ226" i="3"/>
  <c r="AZ228" i="3"/>
  <c r="BL398" i="3"/>
  <c r="BL405" i="3"/>
  <c r="AZ405" i="3" s="1"/>
  <c r="BL446" i="3"/>
  <c r="AZ446" i="3" s="1"/>
  <c r="AZ458" i="3"/>
  <c r="AZ483" i="3"/>
  <c r="AZ406" i="3"/>
  <c r="BL418" i="3"/>
  <c r="AZ418" i="3" s="1"/>
  <c r="AZ425" i="3"/>
  <c r="AZ444" i="3"/>
  <c r="BL450" i="3"/>
  <c r="AZ450" i="3" s="1"/>
  <c r="AZ459" i="3"/>
  <c r="AZ460" i="3"/>
  <c r="AZ461" i="3"/>
  <c r="AZ464" i="3"/>
  <c r="AZ467" i="3"/>
  <c r="AZ471" i="3"/>
  <c r="AZ472" i="3"/>
  <c r="AZ489" i="3"/>
  <c r="BL422" i="3"/>
  <c r="BL426" i="3"/>
  <c r="AZ426" i="3" s="1"/>
  <c r="AZ439" i="3"/>
  <c r="BL454" i="3"/>
  <c r="AZ454" i="3" s="1"/>
  <c r="BL461" i="3"/>
  <c r="BL468" i="3"/>
  <c r="AZ468" i="3" s="1"/>
  <c r="AZ477" i="3"/>
  <c r="AZ485" i="3"/>
  <c r="AZ487" i="3"/>
  <c r="AZ385" i="3"/>
  <c r="AZ221" i="3"/>
  <c r="AZ225" i="3"/>
  <c r="AZ126" i="3"/>
  <c r="AZ137" i="3"/>
  <c r="AZ177" i="3"/>
  <c r="AB18" i="35"/>
  <c r="U18" i="35"/>
  <c r="AB25" i="40"/>
  <c r="U25" i="40"/>
  <c r="AZ290" i="3"/>
  <c r="AZ292" i="3"/>
  <c r="AZ300" i="3"/>
  <c r="AZ302" i="3"/>
  <c r="AZ129" i="3"/>
  <c r="AZ145" i="3"/>
  <c r="AZ205" i="3"/>
  <c r="I108" i="43"/>
  <c r="I100" i="43"/>
  <c r="AZ293" i="3"/>
  <c r="AZ301" i="3"/>
  <c r="AZ118" i="3"/>
  <c r="AZ121" i="3"/>
  <c r="BL177" i="3"/>
  <c r="G178" i="3"/>
  <c r="BA182" i="3"/>
  <c r="AZ182" i="3" s="1"/>
  <c r="BA185" i="3"/>
  <c r="AZ185" i="3" s="1"/>
  <c r="BL189" i="3"/>
  <c r="AZ189" i="3" s="1"/>
  <c r="BL194" i="3"/>
  <c r="AZ194" i="3" s="1"/>
  <c r="BA196" i="3"/>
  <c r="AZ196" i="3" s="1"/>
  <c r="BA202" i="3"/>
  <c r="AZ202" i="3" s="1"/>
  <c r="BL18" i="3"/>
  <c r="AZ18" i="3" s="1"/>
  <c r="BL20" i="3"/>
  <c r="AZ20" i="3" s="1"/>
  <c r="AZ30" i="3"/>
  <c r="AZ76" i="3"/>
  <c r="E59" i="43"/>
  <c r="B57" i="43" s="1"/>
  <c r="N59" i="71"/>
  <c r="N60" i="71"/>
  <c r="BA244" i="3"/>
  <c r="AZ244" i="3" s="1"/>
  <c r="BL246" i="3"/>
  <c r="AZ246" i="3" s="1"/>
  <c r="BL247" i="3"/>
  <c r="AZ247" i="3" s="1"/>
  <c r="G248" i="3"/>
  <c r="BA251" i="3"/>
  <c r="AZ251" i="3" s="1"/>
  <c r="BA252" i="3"/>
  <c r="AZ252" i="3" s="1"/>
  <c r="G255" i="3"/>
  <c r="BA256" i="3"/>
  <c r="AZ256" i="3" s="1"/>
  <c r="AZ258" i="3"/>
  <c r="BL261" i="3"/>
  <c r="AZ261" i="3" s="1"/>
  <c r="BA267" i="3"/>
  <c r="AZ267" i="3" s="1"/>
  <c r="BA269" i="3"/>
  <c r="AZ269" i="3" s="1"/>
  <c r="BA272" i="3"/>
  <c r="AZ272" i="3" s="1"/>
  <c r="AZ274" i="3"/>
  <c r="AZ276" i="3"/>
  <c r="BA278" i="3"/>
  <c r="AZ278" i="3" s="1"/>
  <c r="BA280" i="3"/>
  <c r="AZ280" i="3" s="1"/>
  <c r="AZ282" i="3"/>
  <c r="AZ284" i="3"/>
  <c r="BL290" i="3"/>
  <c r="G295" i="3"/>
  <c r="G297" i="3"/>
  <c r="BL298" i="3"/>
  <c r="AZ298" i="3" s="1"/>
  <c r="G115" i="3"/>
  <c r="BA117" i="3"/>
  <c r="AZ117" i="3" s="1"/>
  <c r="AZ122" i="3"/>
  <c r="BL125" i="3"/>
  <c r="AZ125" i="3" s="1"/>
  <c r="BL126" i="3"/>
  <c r="BA128" i="3"/>
  <c r="AZ128" i="3" s="1"/>
  <c r="G130" i="3"/>
  <c r="BA134" i="3"/>
  <c r="AZ134" i="3" s="1"/>
  <c r="BL137" i="3"/>
  <c r="AZ141" i="3"/>
  <c r="BL142" i="3"/>
  <c r="AZ142" i="3" s="1"/>
  <c r="BA144" i="3"/>
  <c r="AZ144" i="3" s="1"/>
  <c r="G146" i="3"/>
  <c r="G158" i="3"/>
  <c r="G163" i="3"/>
  <c r="BA165" i="3"/>
  <c r="AZ165" i="3" s="1"/>
  <c r="BA170" i="3"/>
  <c r="AZ170" i="3" s="1"/>
  <c r="BA174" i="3"/>
  <c r="AZ174" i="3" s="1"/>
  <c r="AZ193" i="3"/>
  <c r="BL198" i="3"/>
  <c r="AZ198" i="3" s="1"/>
  <c r="AZ201" i="3"/>
  <c r="BL205" i="3"/>
  <c r="G206" i="3"/>
  <c r="BL207" i="3"/>
  <c r="AZ207" i="3" s="1"/>
  <c r="BA28" i="3"/>
  <c r="AZ28" i="3" s="1"/>
  <c r="BA31" i="3"/>
  <c r="AZ38" i="3"/>
  <c r="AB28" i="71"/>
  <c r="AB21" i="71"/>
  <c r="BT5" i="3"/>
  <c r="BA27" i="3"/>
  <c r="AZ27" i="3" s="1"/>
  <c r="BL31" i="3"/>
  <c r="BA33" i="3"/>
  <c r="AZ33" i="3" s="1"/>
  <c r="BA34" i="3"/>
  <c r="AZ34" i="3" s="1"/>
  <c r="BL41" i="3"/>
  <c r="G42" i="3"/>
  <c r="BA46" i="3"/>
  <c r="BL48" i="3"/>
  <c r="AZ48" i="3" s="1"/>
  <c r="BL49" i="3"/>
  <c r="G50" i="3"/>
  <c r="BA54" i="3"/>
  <c r="BL56" i="3"/>
  <c r="AZ56" i="3" s="1"/>
  <c r="BL57" i="3"/>
  <c r="G58" i="3"/>
  <c r="BA62" i="3"/>
  <c r="AZ62" i="3" s="1"/>
  <c r="BL64" i="3"/>
  <c r="AZ64" i="3" s="1"/>
  <c r="BL65" i="3"/>
  <c r="G66" i="3"/>
  <c r="BA70" i="3"/>
  <c r="AZ70" i="3" s="1"/>
  <c r="G74" i="3"/>
  <c r="BL74" i="3"/>
  <c r="AZ74" i="3" s="1"/>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AZ59" i="3" s="1"/>
  <c r="G60" i="3"/>
  <c r="BL67" i="3"/>
  <c r="AZ67" i="3" s="1"/>
  <c r="G68" i="3"/>
  <c r="BA72" i="3"/>
  <c r="AZ72" i="3" s="1"/>
  <c r="BA73" i="3"/>
  <c r="AZ73" i="3" s="1"/>
  <c r="G76" i="3"/>
  <c r="BA77" i="3"/>
  <c r="AZ77" i="3" s="1"/>
  <c r="BA78" i="3"/>
  <c r="AZ78" i="3" s="1"/>
  <c r="G81" i="3"/>
  <c r="BA82" i="3"/>
  <c r="AZ82" i="3" s="1"/>
  <c r="BA87" i="3"/>
  <c r="AZ87" i="3" s="1"/>
  <c r="BA89" i="3"/>
  <c r="AZ89" i="3" s="1"/>
  <c r="BL92" i="3"/>
  <c r="AZ92" i="3" s="1"/>
  <c r="BL94" i="3"/>
  <c r="AZ94" i="3" s="1"/>
  <c r="BL97" i="3"/>
  <c r="AZ97" i="3" s="1"/>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L5" i="3" s="1"/>
  <c r="BQ5" i="3"/>
  <c r="F28" i="6" s="1"/>
  <c r="BM5" i="3"/>
  <c r="AB15" i="71"/>
  <c r="AA15" i="71"/>
  <c r="X12" i="71"/>
  <c r="AA12" i="71"/>
  <c r="Y8" i="71"/>
  <c r="Z8" i="71" s="1"/>
  <c r="X6" i="71"/>
  <c r="R9" i="1"/>
  <c r="K9" i="1"/>
  <c r="M9" i="1" s="1"/>
  <c r="W37" i="96"/>
  <c r="AC37" i="96"/>
  <c r="BA13" i="3"/>
  <c r="AZ13" i="3" s="1"/>
  <c r="Y11" i="71"/>
  <c r="Z11" i="71" s="1"/>
  <c r="AB11" i="71"/>
  <c r="X7" i="71"/>
  <c r="B22" i="31"/>
  <c r="G13" i="3"/>
  <c r="G5" i="3" s="1"/>
  <c r="B3" i="3" s="1"/>
  <c r="G1" i="15"/>
  <c r="R64" i="91"/>
  <c r="Q64" i="91"/>
  <c r="U37" i="96"/>
  <c r="B14" i="74"/>
  <c r="AA37" i="96"/>
  <c r="M56" i="9"/>
  <c r="BB5" i="3"/>
  <c r="E8" i="6" s="1"/>
  <c r="H33" i="96"/>
  <c r="J33" i="96"/>
  <c r="F33" i="96"/>
  <c r="C18" i="9"/>
  <c r="D18" i="9" s="1"/>
  <c r="L27" i="6"/>
  <c r="T9" i="1"/>
  <c r="AQ9" i="1"/>
  <c r="M20" i="15"/>
  <c r="AC38" i="39"/>
  <c r="W38" i="39"/>
  <c r="G17" i="43"/>
  <c r="C16" i="43" s="1"/>
  <c r="C5" i="43" s="1"/>
  <c r="U25" i="39"/>
  <c r="AB38" i="39"/>
  <c r="U38" i="39"/>
  <c r="D5" i="43"/>
  <c r="C39" i="43" s="1"/>
  <c r="O16" i="1"/>
  <c r="C34" i="43"/>
  <c r="G34" i="43" s="1"/>
  <c r="I34" i="43" s="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F7" i="67"/>
  <c r="M29" i="67"/>
  <c r="F43" i="67"/>
  <c r="S37" i="96" l="1"/>
  <c r="BA5" i="3"/>
  <c r="E15" i="6"/>
  <c r="E65" i="39" s="1"/>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E12" i="6"/>
  <c r="E10" i="6"/>
  <c r="E11" i="6"/>
  <c r="E13" i="6"/>
  <c r="E14" i="6"/>
  <c r="E5" i="6"/>
  <c r="I3" i="6"/>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AZ5" i="3" s="1"/>
  <c r="E3" i="6" s="1"/>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Q16" i="1"/>
  <c r="G16" i="1"/>
  <c r="H16" i="1"/>
  <c r="E60" i="40"/>
  <c r="F27" i="6"/>
  <c r="F31" i="6" s="1"/>
  <c r="E56" i="39"/>
  <c r="E51" i="40"/>
  <c r="C4" i="4"/>
  <c r="D6" i="49"/>
  <c r="Q73" i="67"/>
  <c r="Q60" i="67"/>
  <c r="Q52" i="67"/>
  <c r="F1" i="67"/>
  <c r="D11" i="49"/>
  <c r="E4" i="4"/>
  <c r="B5" i="62" s="1"/>
  <c r="B73" i="72" s="1"/>
  <c r="Q74" i="67"/>
  <c r="Q61" i="67"/>
  <c r="AE7" i="1"/>
  <c r="D6" i="73"/>
  <c r="D3" i="73"/>
  <c r="M28" i="15"/>
  <c r="F26" i="15"/>
  <c r="F9" i="15"/>
  <c r="D5" i="73"/>
  <c r="F43" i="15"/>
  <c r="F13" i="15"/>
  <c r="C16" i="67"/>
  <c r="F37" i="15"/>
  <c r="M29" i="15"/>
  <c r="F7" i="15"/>
  <c r="J15" i="15"/>
  <c r="F42" i="15"/>
  <c r="M22" i="15"/>
  <c r="F8" i="15"/>
  <c r="F4" i="73"/>
  <c r="M24" i="15"/>
  <c r="D7" i="73"/>
  <c r="F41" i="67"/>
  <c r="F6" i="15"/>
  <c r="F7" i="73"/>
  <c r="L47" i="15"/>
  <c r="D4" i="73"/>
  <c r="F5" i="73"/>
  <c r="C76" i="15"/>
  <c r="M26" i="15"/>
  <c r="F3" i="73"/>
  <c r="F6" i="73"/>
  <c r="M27" i="15"/>
  <c r="M6" i="15"/>
  <c r="F16" i="15"/>
  <c r="L48" i="15"/>
  <c r="M8" i="15"/>
  <c r="M23" i="15"/>
  <c r="M9" i="15"/>
  <c r="F36" i="15"/>
  <c r="F38" i="15"/>
  <c r="F40" i="15"/>
  <c r="J43" i="15" l="1"/>
  <c r="F7" i="37"/>
  <c r="AB7" i="35"/>
  <c r="T38" i="35" s="1"/>
  <c r="G38" i="35" s="1"/>
  <c r="E16" i="6"/>
  <c r="F69" i="67"/>
  <c r="I1" i="73"/>
  <c r="B39" i="1" s="1"/>
  <c r="H7" i="96"/>
  <c r="E38" i="43"/>
  <c r="F63" i="40"/>
  <c r="E65" i="40"/>
  <c r="J7" i="36"/>
  <c r="J42" i="15"/>
  <c r="F71" i="15"/>
  <c r="J60" i="15"/>
  <c r="Q48" i="15" s="1"/>
  <c r="J59" i="15"/>
  <c r="I54" i="15"/>
  <c r="J53" i="15"/>
  <c r="L57" i="15"/>
  <c r="J57" i="15"/>
  <c r="J55" i="15" s="1"/>
  <c r="J58" i="15" s="1"/>
  <c r="Q50" i="15" s="1"/>
  <c r="L60" i="15"/>
  <c r="L56" i="15"/>
  <c r="L58" i="15"/>
  <c r="M59" i="15"/>
  <c r="N59" i="15"/>
  <c r="L59" i="15"/>
  <c r="F68" i="15"/>
  <c r="H39" i="15"/>
  <c r="F50" i="15"/>
  <c r="M7" i="15"/>
  <c r="J6" i="15" s="1"/>
  <c r="J18" i="15" s="1"/>
  <c r="I40" i="15"/>
  <c r="K40" i="15" s="1"/>
  <c r="C27" i="15"/>
  <c r="C6" i="15"/>
  <c r="I39" i="15" s="1"/>
  <c r="F65" i="15"/>
  <c r="F64" i="15"/>
  <c r="F51" i="15"/>
  <c r="Q71" i="15"/>
  <c r="F66" i="15"/>
  <c r="E6" i="6"/>
  <c r="D19" i="11"/>
  <c r="C19" i="11" s="1"/>
  <c r="D3" i="34"/>
  <c r="M18" i="9"/>
  <c r="B118" i="9" s="1"/>
  <c r="B1" i="74" s="1"/>
  <c r="L18" i="9"/>
  <c r="D37" i="11"/>
  <c r="C37" i="11" s="1"/>
  <c r="D3" i="37"/>
  <c r="D14" i="12"/>
  <c r="D17" i="12" s="1"/>
  <c r="C17" i="12" s="1"/>
  <c r="C17" i="4"/>
  <c r="B4" i="52" s="1"/>
  <c r="B43" i="72" s="1"/>
  <c r="W7" i="35"/>
  <c r="AC7" i="35"/>
  <c r="V38" i="35" s="1"/>
  <c r="I38" i="35" s="1"/>
  <c r="AC17" i="39"/>
  <c r="W17" i="39"/>
  <c r="H7" i="33"/>
  <c r="E61" i="39"/>
  <c r="E56" i="40"/>
  <c r="H7" i="37"/>
  <c r="D33" i="71"/>
  <c r="C34" i="71"/>
  <c r="F7" i="96"/>
  <c r="F7" i="36"/>
  <c r="E13" i="71"/>
  <c r="E12" i="71" s="1"/>
  <c r="E11" i="71" s="1"/>
  <c r="E10" i="71" s="1"/>
  <c r="V14" i="71"/>
  <c r="AC7" i="37"/>
  <c r="V42" i="37" s="1"/>
  <c r="I42" i="37" s="1"/>
  <c r="W7" i="37"/>
  <c r="D9" i="11"/>
  <c r="C9" i="11" s="1"/>
  <c r="D19" i="12"/>
  <c r="C19" i="12" s="1"/>
  <c r="D9" i="68"/>
  <c r="C9" i="68" s="1"/>
  <c r="D9" i="69"/>
  <c r="C9" i="69" s="1"/>
  <c r="S7" i="37"/>
  <c r="AA7" i="37"/>
  <c r="R42" i="37" s="1"/>
  <c r="G68" i="39"/>
  <c r="F70" i="39"/>
  <c r="U7" i="96"/>
  <c r="AB7" i="96"/>
  <c r="T48" i="96" s="1"/>
  <c r="G48" i="96" s="1"/>
  <c r="P59" i="71"/>
  <c r="P60" i="71"/>
  <c r="E33" i="43"/>
  <c r="D25" i="71"/>
  <c r="C26" i="71"/>
  <c r="F7" i="33"/>
  <c r="E64" i="39"/>
  <c r="E59" i="40"/>
  <c r="E57" i="40"/>
  <c r="E62" i="39"/>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AY6" i="3"/>
  <c r="I4" i="6"/>
  <c r="G3" i="43" s="1"/>
  <c r="C20" i="71"/>
  <c r="D20" i="71" s="1"/>
  <c r="D21" i="71"/>
  <c r="J7" i="33"/>
  <c r="E58" i="40"/>
  <c r="E63" i="39"/>
  <c r="E66" i="39" s="1"/>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F27" i="69"/>
  <c r="F27" i="68"/>
  <c r="F27" i="11"/>
  <c r="F28" i="12"/>
  <c r="C29" i="12" s="1"/>
  <c r="D28" i="12" s="1"/>
  <c r="F10" i="39"/>
  <c r="F10" i="40"/>
  <c r="J10" i="40"/>
  <c r="H10" i="40"/>
  <c r="H10" i="39"/>
  <c r="J10" i="39"/>
  <c r="E27" i="6"/>
  <c r="D10" i="11"/>
  <c r="C10" i="11" s="1"/>
  <c r="D20" i="12"/>
  <c r="C20" i="12" s="1"/>
  <c r="D10" i="69"/>
  <c r="D10" i="68"/>
  <c r="C20" i="11"/>
  <c r="C7" i="74"/>
  <c r="C8" i="74"/>
  <c r="J19" i="9"/>
  <c r="K4" i="4"/>
  <c r="B46" i="48" s="1"/>
  <c r="B4" i="72" s="1"/>
  <c r="B4" i="62"/>
  <c r="B71" i="72" s="1"/>
  <c r="G1" i="73"/>
  <c r="C16" i="15"/>
  <c r="B40" i="1" l="1"/>
  <c r="F22" i="11" s="1"/>
  <c r="C25" i="11" s="1"/>
  <c r="C28" i="11"/>
  <c r="C27" i="11" s="1"/>
  <c r="F11" i="15"/>
  <c r="C53" i="15" s="1"/>
  <c r="F11" i="67"/>
  <c r="M11" i="67"/>
  <c r="J10" i="67" s="1"/>
  <c r="J5" i="67" s="1"/>
  <c r="M11" i="15"/>
  <c r="J10" i="15" s="1"/>
  <c r="J5" i="15" s="1"/>
  <c r="G63" i="40"/>
  <c r="F65" i="40"/>
  <c r="L46" i="15"/>
  <c r="C14" i="12"/>
  <c r="C16" i="12" s="1"/>
  <c r="C18" i="12"/>
  <c r="C49"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Y87" i="3"/>
  <c r="AY34" i="3"/>
  <c r="AY144" i="3"/>
  <c r="AY95" i="3"/>
  <c r="AY152" i="3"/>
  <c r="AY111" i="3"/>
  <c r="AY253" i="3"/>
  <c r="AY382" i="3"/>
  <c r="AY303" i="3"/>
  <c r="AY460" i="3"/>
  <c r="AY529" i="3"/>
  <c r="AY300" i="3"/>
  <c r="AY217" i="3"/>
  <c r="AY327" i="3"/>
  <c r="AY463" i="3"/>
  <c r="AY401" i="3"/>
  <c r="AY544" i="3"/>
  <c r="BE6" i="3"/>
  <c r="AY82" i="3"/>
  <c r="AY191" i="3"/>
  <c r="AY132" i="3"/>
  <c r="AY31" i="3"/>
  <c r="AY292" i="3"/>
  <c r="AY147" i="3"/>
  <c r="AY220" i="3"/>
  <c r="AY350" i="3"/>
  <c r="AY486" i="3"/>
  <c r="AY425" i="3"/>
  <c r="AY199" i="3"/>
  <c r="AY244" i="3"/>
  <c r="AY355" i="3"/>
  <c r="AY478" i="3"/>
  <c r="AY57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110" i="3"/>
  <c r="AY30" i="3"/>
  <c r="AY535"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142" i="3"/>
  <c r="AY298" i="3"/>
  <c r="AY218" i="3"/>
  <c r="AY352" i="3"/>
  <c r="AY336" i="3"/>
  <c r="AY492" i="3"/>
  <c r="AY431" i="3"/>
  <c r="AY17" i="3"/>
  <c r="BR6" i="3"/>
  <c r="AY78" i="3"/>
  <c r="AY120" i="3"/>
  <c r="AY330" i="3"/>
  <c r="AY576" i="3"/>
  <c r="AY195" i="3"/>
  <c r="AY375" i="3"/>
  <c r="AY15" i="3"/>
  <c r="AY280" i="3"/>
  <c r="AY466" i="3"/>
  <c r="AY86" i="3"/>
  <c r="AY213" i="3"/>
  <c r="AY550" i="3"/>
  <c r="AY471" i="3"/>
  <c r="AY577" i="3"/>
  <c r="AY399" i="3"/>
  <c r="AY35" i="3"/>
  <c r="AY216" i="3"/>
  <c r="AY482" i="3"/>
  <c r="AY528" i="3"/>
  <c r="AY175" i="3"/>
  <c r="AY474" i="3"/>
  <c r="AY187" i="3"/>
  <c r="AY376" i="3"/>
  <c r="AY587" i="3"/>
  <c r="AY119" i="3"/>
  <c r="AY306" i="3"/>
  <c r="AY498" i="3"/>
  <c r="AY83" i="3"/>
  <c r="AY23" i="3"/>
  <c r="AY155" i="3"/>
  <c r="AY59" i="3"/>
  <c r="AY131" i="3"/>
  <c r="AY58" i="3"/>
  <c r="AY268" i="3"/>
  <c r="AY371" i="3"/>
  <c r="AY318" i="3"/>
  <c r="AY428" i="3"/>
  <c r="AY106" i="3"/>
  <c r="AY245" i="3"/>
  <c r="AY395" i="3"/>
  <c r="AY342" i="3"/>
  <c r="AY452" i="3"/>
  <c r="AY513" i="3"/>
  <c r="AY569" i="3"/>
  <c r="AY103" i="3"/>
  <c r="AY50" i="3"/>
  <c r="AY160" i="3"/>
  <c r="AY289" i="3"/>
  <c r="AY183" i="3"/>
  <c r="AY261" i="3"/>
  <c r="AY284" i="3"/>
  <c r="AY209" i="3"/>
  <c r="AY319" i="3"/>
  <c r="AY455" i="3"/>
  <c r="AY497" i="3"/>
  <c r="AY116" i="3"/>
  <c r="AY212" i="3"/>
  <c r="AY343" i="3"/>
  <c r="AY436" i="3"/>
  <c r="AY540"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481" i="3"/>
  <c r="AY562"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72" i="3"/>
  <c r="AY301" i="3"/>
  <c r="AY248" i="3"/>
  <c r="AY359" i="3"/>
  <c r="AY485" i="3"/>
  <c r="AY408" i="3"/>
  <c r="AY547" i="3"/>
  <c r="AY107" i="3"/>
  <c r="AY54" i="3"/>
  <c r="AY164" i="3"/>
  <c r="AY293" i="3"/>
  <c r="AY240" i="3"/>
  <c r="AY351" i="3"/>
  <c r="AY477" i="3"/>
  <c r="AY400" i="3"/>
  <c r="AY566" i="3"/>
  <c r="AY192" i="3"/>
  <c r="AY135" i="3"/>
  <c r="AY249" i="3"/>
  <c r="AY378" i="3"/>
  <c r="AY346" i="3"/>
  <c r="AY456" i="3"/>
  <c r="AY558" i="3"/>
  <c r="BL6" i="3"/>
  <c r="AY55" i="3"/>
  <c r="AY184" i="3"/>
  <c r="AY128" i="3"/>
  <c r="AY241" i="3"/>
  <c r="AY391" i="3"/>
  <c r="AY338" i="3"/>
  <c r="AY448" i="3"/>
  <c r="BD6" i="3"/>
  <c r="AY586" i="3"/>
  <c r="AY237" i="3"/>
  <c r="AY311" i="3"/>
  <c r="AY92" i="3"/>
  <c r="AY33" i="3"/>
  <c r="AY165" i="3"/>
  <c r="AY125" i="3"/>
  <c r="AY262" i="3"/>
  <c r="AY219" i="3"/>
  <c r="AY374" i="3"/>
  <c r="AY73" i="3"/>
  <c r="AY202" i="3"/>
  <c r="AY145" i="3"/>
  <c r="AY259" i="3"/>
  <c r="AY333" i="3"/>
  <c r="AY316" i="3"/>
  <c r="AY472" i="3"/>
  <c r="AY430" i="3"/>
  <c r="AY585" i="3"/>
  <c r="BG6" i="3"/>
  <c r="AY494" i="3"/>
  <c r="AY48" i="3"/>
  <c r="AY158" i="3"/>
  <c r="AY287" i="3"/>
  <c r="AY234" i="3"/>
  <c r="AY364" i="3"/>
  <c r="AY458" i="3"/>
  <c r="AY439" i="3"/>
  <c r="AY506" i="3"/>
  <c r="AY530" i="3"/>
  <c r="AY563" i="3"/>
  <c r="AY47" i="3"/>
  <c r="AY447" i="3"/>
  <c r="AY89" i="3"/>
  <c r="AY53" i="3"/>
  <c r="AY36" i="3"/>
  <c r="AY182" i="3"/>
  <c r="AY126" i="3"/>
  <c r="AY302" i="3"/>
  <c r="AY239" i="3"/>
  <c r="AY222" i="3"/>
  <c r="BS6" i="3"/>
  <c r="AY93" i="3"/>
  <c r="AY40" i="3"/>
  <c r="AY150" i="3"/>
  <c r="AY279" i="3"/>
  <c r="AY356" i="3"/>
  <c r="AY340" i="3"/>
  <c r="AY454" i="3"/>
  <c r="AY525" i="3"/>
  <c r="BN6" i="3"/>
  <c r="AY518" i="3"/>
  <c r="AY508" i="3"/>
  <c r="AY205" i="3"/>
  <c r="AY235" i="3"/>
  <c r="AY385" i="3"/>
  <c r="AY304" i="3"/>
  <c r="AY564" i="3"/>
  <c r="AY531" i="3"/>
  <c r="AY140" i="3"/>
  <c r="AY421" i="3"/>
  <c r="AY22" i="3"/>
  <c r="AY208" i="3"/>
  <c r="AY413" i="3"/>
  <c r="AY127" i="3"/>
  <c r="AY314" i="3"/>
  <c r="AY70" i="3"/>
  <c r="AY367" i="3"/>
  <c r="AY51" i="3"/>
  <c r="AY207" i="3"/>
  <c r="AY124" i="3"/>
  <c r="AY42" i="3"/>
  <c r="AY281" i="3"/>
  <c r="AY168" i="3"/>
  <c r="AY236" i="3"/>
  <c r="AY366" i="3"/>
  <c r="AY473" i="3"/>
  <c r="AY441" i="3"/>
  <c r="AY26" i="3"/>
  <c r="AY260" i="3"/>
  <c r="AY372" i="3"/>
  <c r="AY310" i="3"/>
  <c r="AY420" i="3"/>
  <c r="AY549" i="3"/>
  <c r="AY533" i="3"/>
  <c r="AY98" i="3"/>
  <c r="AY18" i="3"/>
  <c r="AY171" i="3"/>
  <c r="AY90" i="3"/>
  <c r="AY163" i="3"/>
  <c r="AY75" i="3"/>
  <c r="AY387" i="3"/>
  <c r="AY334" i="3"/>
  <c r="AY444" i="3"/>
  <c r="AY526" i="3"/>
  <c r="AY269" i="3"/>
  <c r="AY390" i="3"/>
  <c r="AY417" i="3"/>
  <c r="AY539" i="3"/>
  <c r="AY76" i="3"/>
  <c r="AY185" i="3"/>
  <c r="AY278" i="3"/>
  <c r="BH6" i="3"/>
  <c r="AY388" i="3"/>
  <c r="AY411" i="3"/>
  <c r="AY101" i="3"/>
  <c r="AY344" i="3"/>
  <c r="AY575" i="3"/>
  <c r="AY574" i="3"/>
  <c r="AY146" i="3"/>
  <c r="AY389" i="3"/>
  <c r="AY226" i="3"/>
  <c r="AY435" i="3"/>
  <c r="AY49" i="3"/>
  <c r="AY461" i="3"/>
  <c r="AY296" i="3"/>
  <c r="AY288" i="3"/>
  <c r="AY424" i="3"/>
  <c r="BC6" i="3"/>
  <c r="D3" i="6"/>
  <c r="AY66" i="3"/>
  <c r="AY176" i="3"/>
  <c r="AY115" i="3"/>
  <c r="AY188" i="3"/>
  <c r="AY276" i="3"/>
  <c r="AY297" i="3"/>
  <c r="AY225" i="3"/>
  <c r="AY335" i="3"/>
  <c r="AY470" i="3"/>
  <c r="AY409" i="3"/>
  <c r="AY180" i="3"/>
  <c r="AY228" i="3"/>
  <c r="AY358" i="3"/>
  <c r="AY465" i="3"/>
  <c r="AY433" i="3"/>
  <c r="BK6" i="3"/>
  <c r="AY541" i="3"/>
  <c r="AY67" i="3"/>
  <c r="AY196" i="3"/>
  <c r="AY139" i="3"/>
  <c r="AY74" i="3"/>
  <c r="AY123" i="3"/>
  <c r="AY204" i="3"/>
  <c r="AY252" i="3"/>
  <c r="AY363" i="3"/>
  <c r="AY489" i="3"/>
  <c r="AY412" i="3"/>
  <c r="AY43" i="3"/>
  <c r="AY229" i="3"/>
  <c r="AY379" i="3"/>
  <c r="AY326" i="3"/>
  <c r="AY557"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404" i="3"/>
  <c r="BO6"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 i="3"/>
  <c r="AY151" i="3"/>
  <c r="AY265" i="3"/>
  <c r="AY394" i="3"/>
  <c r="AY315" i="3"/>
  <c r="AY451" i="3"/>
  <c r="AY500" i="3"/>
  <c r="AY568" i="3"/>
  <c r="AY71" i="3"/>
  <c r="AY200" i="3"/>
  <c r="AY143" i="3"/>
  <c r="AY257" i="3"/>
  <c r="AY386" i="3"/>
  <c r="AY307" i="3"/>
  <c r="AY443" i="3"/>
  <c r="AY521" i="3"/>
  <c r="BT6" i="3"/>
  <c r="AY156" i="3"/>
  <c r="AY285" i="3"/>
  <c r="AY232" i="3"/>
  <c r="AY362" i="3"/>
  <c r="AY469" i="3"/>
  <c r="AY437" i="3"/>
  <c r="AY560" i="3"/>
  <c r="AY91" i="3"/>
  <c r="AY38" i="3"/>
  <c r="AY148" i="3"/>
  <c r="AY277" i="3"/>
  <c r="AY224" i="3"/>
  <c r="AY354" i="3"/>
  <c r="AY490" i="3"/>
  <c r="AY429" i="3"/>
  <c r="AY511" i="3"/>
  <c r="AY548" i="3"/>
  <c r="AY32" i="3"/>
  <c r="AY450" i="3"/>
  <c r="AY502" i="3"/>
  <c r="BA6" i="3"/>
  <c r="AY203" i="3"/>
  <c r="AY233" i="3"/>
  <c r="AY383" i="3"/>
  <c r="AY440" i="3"/>
  <c r="AY13" i="3"/>
  <c r="AY39" i="3"/>
  <c r="AY136" i="3"/>
  <c r="AY272" i="3"/>
  <c r="AY322" i="3"/>
  <c r="AY432" i="3"/>
  <c r="AY567" i="3"/>
  <c r="AY167" i="3"/>
  <c r="AY221" i="3"/>
  <c r="AY331" i="3"/>
  <c r="AY405" i="3"/>
  <c r="AY512" i="3"/>
  <c r="AY27" i="3"/>
  <c r="AY159" i="3"/>
  <c r="AY273" i="3"/>
  <c r="AY323" i="3"/>
  <c r="AY459" i="3"/>
  <c r="AY504" i="3"/>
  <c r="AY571" i="3"/>
  <c r="AY467" i="3"/>
  <c r="AY122" i="3"/>
  <c r="AY321" i="3"/>
  <c r="AY418" i="3"/>
  <c r="AY509" i="3"/>
  <c r="AY94" i="3"/>
  <c r="AY347" i="3"/>
  <c r="AY102" i="3"/>
  <c r="AY339" i="3"/>
  <c r="AY583" i="3"/>
  <c r="AY264" i="3"/>
  <c r="AY517" i="3"/>
  <c r="AY179" i="3"/>
  <c r="AY256" i="3"/>
  <c r="AY416" i="3"/>
  <c r="AC6" i="3"/>
  <c r="AA7" i="96"/>
  <c r="R48" i="96" s="1"/>
  <c r="S7" i="96"/>
  <c r="F1" i="15"/>
  <c r="Q52" i="15"/>
  <c r="C15" i="71"/>
  <c r="D16" i="71"/>
  <c r="G70" i="39"/>
  <c r="H68" i="39"/>
  <c r="G52" i="96"/>
  <c r="H52" i="96" s="1"/>
  <c r="D34" i="71"/>
  <c r="T34" i="71"/>
  <c r="AB7" i="33"/>
  <c r="T48" i="33" s="1"/>
  <c r="G48" i="33" s="1"/>
  <c r="U7" i="33"/>
  <c r="I42" i="35"/>
  <c r="J42" i="35" s="1"/>
  <c r="I41" i="15"/>
  <c r="I42" i="1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C33" i="15"/>
  <c r="C32" i="15"/>
  <c r="Q74" i="15"/>
  <c r="Q61" i="15"/>
  <c r="S10" i="71"/>
  <c r="B9" i="71"/>
  <c r="B8" i="71" s="1"/>
  <c r="B7" i="71" s="1"/>
  <c r="B6" i="71" s="1"/>
  <c r="I40" i="36"/>
  <c r="J40" i="36" s="1"/>
  <c r="M14" i="1"/>
  <c r="M16" i="1" s="1"/>
  <c r="N16" i="1" s="1"/>
  <c r="F50" i="11" s="1"/>
  <c r="K16" i="1"/>
  <c r="C34" i="69"/>
  <c r="AC7" i="96"/>
  <c r="V48" i="96" s="1"/>
  <c r="I48" i="96" s="1"/>
  <c r="G53" i="96" s="1"/>
  <c r="H53" i="96" s="1"/>
  <c r="W7" i="96"/>
  <c r="T26" i="71"/>
  <c r="D26" i="71"/>
  <c r="S7" i="36"/>
  <c r="AA7" i="36"/>
  <c r="R36" i="36" s="1"/>
  <c r="AB10" i="39"/>
  <c r="U10" i="39"/>
  <c r="AC10" i="40"/>
  <c r="W10" i="40"/>
  <c r="S10" i="39"/>
  <c r="AA10" i="39"/>
  <c r="C47" i="11"/>
  <c r="D45" i="11" s="1"/>
  <c r="C29" i="11"/>
  <c r="D27" i="11" s="1"/>
  <c r="F45" i="69"/>
  <c r="C47" i="69"/>
  <c r="D45" i="69" s="1"/>
  <c r="C29" i="69"/>
  <c r="D27" i="69" s="1"/>
  <c r="AC10" i="39"/>
  <c r="W10" i="39"/>
  <c r="AB10" i="40"/>
  <c r="U10" i="40"/>
  <c r="S10" i="40"/>
  <c r="AA10" i="40"/>
  <c r="C29" i="68"/>
  <c r="D27" i="68" s="1"/>
  <c r="C47" i="68"/>
  <c r="D45" i="68" s="1"/>
  <c r="F45" i="68"/>
  <c r="E31" i="6"/>
  <c r="K26" i="6"/>
  <c r="M26" i="6" s="1"/>
  <c r="I26" i="6" s="1"/>
  <c r="K25" i="6"/>
  <c r="M25" i="6" s="1"/>
  <c r="I25" i="6" s="1"/>
  <c r="K24" i="6"/>
  <c r="M24" i="6" s="1"/>
  <c r="I24" i="6" s="1"/>
  <c r="K22" i="6"/>
  <c r="M22" i="6" s="1"/>
  <c r="I22" i="6" s="1"/>
  <c r="K20" i="6"/>
  <c r="K23" i="6"/>
  <c r="M23" i="6" s="1"/>
  <c r="I23" i="6" s="1"/>
  <c r="K21" i="6"/>
  <c r="M21" i="6" s="1"/>
  <c r="I21" i="6" s="1"/>
  <c r="K19" i="6"/>
  <c r="C10" i="68"/>
  <c r="D19" i="68"/>
  <c r="D37" i="68" s="1"/>
  <c r="C37" i="68" s="1"/>
  <c r="C10" i="69"/>
  <c r="C8" i="69" s="1"/>
  <c r="C5" i="69" s="1"/>
  <c r="D19" i="69"/>
  <c r="AE6" i="1"/>
  <c r="F22" i="69" l="1"/>
  <c r="C26" i="69" s="1"/>
  <c r="D22" i="69" s="1"/>
  <c r="F22" i="68"/>
  <c r="C26" i="68" s="1"/>
  <c r="D22" i="68" s="1"/>
  <c r="F24" i="67"/>
  <c r="C24" i="67" s="1"/>
  <c r="F24" i="15"/>
  <c r="C24" i="15" s="1"/>
  <c r="F25" i="12"/>
  <c r="C26" i="12" s="1"/>
  <c r="D25" i="12" s="1"/>
  <c r="C44" i="11"/>
  <c r="D41" i="11" s="1"/>
  <c r="C23" i="11"/>
  <c r="C24" i="11"/>
  <c r="C26" i="11"/>
  <c r="D22" i="11" s="1"/>
  <c r="F50" i="69"/>
  <c r="D22" i="43"/>
  <c r="E6" i="3"/>
  <c r="F50" i="68"/>
  <c r="L16" i="1"/>
  <c r="C48" i="15"/>
  <c r="C66" i="15" s="1"/>
  <c r="J24" i="67"/>
  <c r="J26" i="67"/>
  <c r="J29" i="67" s="1"/>
  <c r="C53" i="67"/>
  <c r="C48" i="67" s="1"/>
  <c r="C10" i="67"/>
  <c r="C5" i="67" s="1"/>
  <c r="C38" i="67" s="1"/>
  <c r="G65" i="40"/>
  <c r="H63" i="40"/>
  <c r="C10" i="15"/>
  <c r="C5" i="15" s="1"/>
  <c r="C38" i="15" s="1"/>
  <c r="C21" i="12"/>
  <c r="C22" i="12" s="1"/>
  <c r="C30" i="12" s="1"/>
  <c r="C28" i="12" s="1"/>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J24" i="15"/>
  <c r="J26" i="15"/>
  <c r="F102" i="43"/>
  <c r="F105" i="43"/>
  <c r="F104" i="43"/>
  <c r="F103" i="43"/>
  <c r="F107" i="43"/>
  <c r="F106" i="43"/>
  <c r="F109" i="43"/>
  <c r="C34" i="68"/>
  <c r="C35" i="68" s="1"/>
  <c r="C35" i="69"/>
  <c r="C38" i="69"/>
  <c r="C43" i="37"/>
  <c r="B2" i="37" s="1"/>
  <c r="B3" i="37" s="1"/>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D20" i="6"/>
  <c r="E61" i="40"/>
  <c r="D19" i="6"/>
  <c r="C18" i="4"/>
  <c r="D11" i="6"/>
  <c r="D25" i="6"/>
  <c r="D6" i="6"/>
  <c r="D29" i="6"/>
  <c r="M19" i="9"/>
  <c r="C118" i="9" s="1"/>
  <c r="C14" i="74" s="1"/>
  <c r="B2" i="74" s="1"/>
  <c r="D13" i="6"/>
  <c r="D9" i="6"/>
  <c r="D22" i="6"/>
  <c r="D24" i="6"/>
  <c r="D21" i="6"/>
  <c r="D23" i="6"/>
  <c r="D5" i="6"/>
  <c r="D28" i="6"/>
  <c r="D8" i="6"/>
  <c r="D10" i="6"/>
  <c r="D26" i="6"/>
  <c r="D12" i="6"/>
  <c r="D14" i="6"/>
  <c r="L19" i="9"/>
  <c r="D15" i="6"/>
  <c r="H104" i="43"/>
  <c r="H105" i="43"/>
  <c r="H109" i="43"/>
  <c r="H102" i="43"/>
  <c r="H107" i="43"/>
  <c r="H103" i="43"/>
  <c r="H106" i="43"/>
  <c r="K102" i="43"/>
  <c r="K104" i="43"/>
  <c r="K106" i="43"/>
  <c r="K105" i="43"/>
  <c r="K109" i="43"/>
  <c r="K103" i="43"/>
  <c r="K107" i="43"/>
  <c r="C103" i="43"/>
  <c r="C104" i="43"/>
  <c r="C102" i="43"/>
  <c r="C106" i="43"/>
  <c r="C105" i="43"/>
  <c r="C107" i="43"/>
  <c r="C109" i="43"/>
  <c r="M20" i="6"/>
  <c r="I20" i="6" s="1"/>
  <c r="H20" i="6" s="1"/>
  <c r="S7" i="1"/>
  <c r="M19" i="6"/>
  <c r="K27" i="6"/>
  <c r="S6" i="1"/>
  <c r="S23" i="6"/>
  <c r="H23" i="6"/>
  <c r="S22" i="6"/>
  <c r="H22" i="6"/>
  <c r="S25" i="6"/>
  <c r="H25" i="6"/>
  <c r="S21" i="6"/>
  <c r="H21" i="6"/>
  <c r="S24" i="6"/>
  <c r="H24" i="6"/>
  <c r="S26" i="6"/>
  <c r="H26" i="6"/>
  <c r="C19" i="69"/>
  <c r="D37" i="69"/>
  <c r="C37" i="69" s="1"/>
  <c r="C17" i="67"/>
  <c r="F41" i="15"/>
  <c r="C14" i="67"/>
  <c r="C17" i="15"/>
  <c r="C44" i="68" l="1"/>
  <c r="D41" i="68" s="1"/>
  <c r="C24" i="69"/>
  <c r="F41" i="68"/>
  <c r="C24" i="68"/>
  <c r="C23" i="69"/>
  <c r="C44" i="69"/>
  <c r="D41" i="69" s="1"/>
  <c r="F41" i="69"/>
  <c r="C60" i="15"/>
  <c r="C22" i="11"/>
  <c r="C31" i="11" s="1"/>
  <c r="R24" i="6"/>
  <c r="R25" i="6"/>
  <c r="R23" i="6"/>
  <c r="R20" i="6"/>
  <c r="R7" i="1" s="1"/>
  <c r="C15" i="67"/>
  <c r="C18" i="67"/>
  <c r="R26" i="6"/>
  <c r="S20" i="6"/>
  <c r="C35" i="11"/>
  <c r="C33" i="11" s="1"/>
  <c r="C39" i="11" s="1"/>
  <c r="J7" i="34"/>
  <c r="W7" i="34" s="1"/>
  <c r="C60" i="67"/>
  <c r="C66" i="67"/>
  <c r="F7" i="34"/>
  <c r="AA7" i="34" s="1"/>
  <c r="R49" i="34" s="1"/>
  <c r="I63" i="40"/>
  <c r="H65" i="40"/>
  <c r="F69" i="15"/>
  <c r="J29" i="15"/>
  <c r="C38" i="68"/>
  <c r="C33" i="68" s="1"/>
  <c r="S7" i="43"/>
  <c r="T7" i="43" s="1"/>
  <c r="V7" i="43" s="1"/>
  <c r="S6" i="43"/>
  <c r="T6" i="43" s="1"/>
  <c r="V6" i="43" s="1"/>
  <c r="C23" i="43"/>
  <c r="C21" i="43" s="1"/>
  <c r="S3" i="43"/>
  <c r="T3" i="43" s="1"/>
  <c r="V3" i="43" s="1"/>
  <c r="S2" i="43"/>
  <c r="T2" i="43" s="1"/>
  <c r="V2" i="43" s="1"/>
  <c r="C26" i="43" s="1"/>
  <c r="B2" i="43" s="1"/>
  <c r="S5" i="43"/>
  <c r="T5" i="43" s="1"/>
  <c r="V5" i="43" s="1"/>
  <c r="S4" i="43"/>
  <c r="T4" i="43" s="1"/>
  <c r="V4" i="43" s="1"/>
  <c r="D16" i="6"/>
  <c r="D27" i="6"/>
  <c r="C33" i="69"/>
  <c r="C42" i="69" s="1"/>
  <c r="D8" i="74"/>
  <c r="D7" i="74"/>
  <c r="C48" i="96"/>
  <c r="C49" i="96"/>
  <c r="U7" i="34"/>
  <c r="AB7" i="34"/>
  <c r="T49" i="34" s="1"/>
  <c r="G49" i="34" s="1"/>
  <c r="C4" i="52"/>
  <c r="B45" i="72" s="1"/>
  <c r="A10" i="51"/>
  <c r="B9" i="72" s="1"/>
  <c r="A7" i="51"/>
  <c r="B7" i="72"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R21" i="6"/>
  <c r="R22" i="6"/>
  <c r="D30" i="6"/>
  <c r="E52" i="96"/>
  <c r="F52" i="96" s="1"/>
  <c r="E53" i="96"/>
  <c r="F53" i="96" s="1"/>
  <c r="I53" i="33"/>
  <c r="J53" i="33" s="1"/>
  <c r="I53" i="96"/>
  <c r="J53" i="96" s="1"/>
  <c r="E7" i="70"/>
  <c r="T7" i="1"/>
  <c r="AQ7" i="1"/>
  <c r="AR7" i="1"/>
  <c r="C27" i="12"/>
  <c r="C25" i="12" s="1"/>
  <c r="C32" i="12" s="1"/>
  <c r="B2" i="12" s="1"/>
  <c r="B3" i="12" s="1"/>
  <c r="T6" i="1"/>
  <c r="E6" i="70"/>
  <c r="AR6" i="1"/>
  <c r="AQ6" i="1"/>
  <c r="S16" i="1"/>
  <c r="M27" i="6"/>
  <c r="I19" i="6"/>
  <c r="C20" i="69"/>
  <c r="C25" i="69" s="1"/>
  <c r="C14" i="15"/>
  <c r="M21" i="67"/>
  <c r="F35" i="67"/>
  <c r="B6" i="76"/>
  <c r="C22" i="69" l="1"/>
  <c r="C39" i="68"/>
  <c r="C46" i="68" s="1"/>
  <c r="C45" i="68" s="1"/>
  <c r="C91" i="9"/>
  <c r="S7" i="34"/>
  <c r="C19" i="67"/>
  <c r="C20" i="67" s="1"/>
  <c r="C26" i="67" s="1"/>
  <c r="F63" i="67"/>
  <c r="C62" i="67" s="1"/>
  <c r="C34" i="67"/>
  <c r="J20" i="67"/>
  <c r="AC7" i="34"/>
  <c r="V49" i="34" s="1"/>
  <c r="I49" i="34" s="1"/>
  <c r="G54" i="34" s="1"/>
  <c r="H54" i="34" s="1"/>
  <c r="I65" i="40"/>
  <c r="J63" i="40"/>
  <c r="C39" i="69"/>
  <c r="C43" i="69" s="1"/>
  <c r="C41" i="69" s="1"/>
  <c r="B2" i="76"/>
  <c r="K68" i="39"/>
  <c r="J70" i="39"/>
  <c r="G53" i="34"/>
  <c r="H53" i="34" s="1"/>
  <c r="C29" i="43"/>
  <c r="R50" i="34"/>
  <c r="E49" i="34"/>
  <c r="E2" i="70"/>
  <c r="C12" i="71"/>
  <c r="D13" i="71"/>
  <c r="B3" i="96"/>
  <c r="B2" i="96"/>
  <c r="D31" i="6"/>
  <c r="B3" i="43"/>
  <c r="R24" i="31"/>
  <c r="B2" i="33"/>
  <c r="B3" i="33"/>
  <c r="C42" i="11"/>
  <c r="C42" i="68"/>
  <c r="C46" i="11"/>
  <c r="C45" i="11" s="1"/>
  <c r="C43" i="11"/>
  <c r="C15" i="15"/>
  <c r="C18" i="15"/>
  <c r="H19" i="6"/>
  <c r="I27" i="6"/>
  <c r="S19" i="6"/>
  <c r="S27" i="6" s="1"/>
  <c r="T16" i="1"/>
  <c r="C28" i="69"/>
  <c r="C27" i="69" s="1"/>
  <c r="C31" i="69" l="1"/>
  <c r="C43" i="68"/>
  <c r="C41" i="68" s="1"/>
  <c r="C49" i="68" s="1"/>
  <c r="C51" i="68" s="1"/>
  <c r="C92" i="9"/>
  <c r="C94" i="9"/>
  <c r="I54" i="34"/>
  <c r="J54" i="34" s="1"/>
  <c r="I53" i="34"/>
  <c r="J53" i="34" s="1"/>
  <c r="C23" i="67"/>
  <c r="C29" i="67" s="1"/>
  <c r="J65" i="40"/>
  <c r="K63" i="40"/>
  <c r="C46" i="69"/>
  <c r="C45" i="69" s="1"/>
  <c r="C49" i="69" s="1"/>
  <c r="C51" i="69" s="1"/>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52" i="11" s="1"/>
  <c r="B2" i="11" s="1"/>
  <c r="B3" i="11" s="1"/>
  <c r="C19" i="15"/>
  <c r="C20" i="15" s="1"/>
  <c r="R19" i="6"/>
  <c r="H27" i="6"/>
  <c r="E6" i="76"/>
  <c r="C52" i="69" l="1"/>
  <c r="B2" i="69" s="1"/>
  <c r="B3" i="69"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C56" i="11"/>
  <c r="C57" i="11" s="1"/>
  <c r="R6" i="1"/>
  <c r="R27" i="6"/>
  <c r="F35" i="15"/>
  <c r="M21" i="15"/>
  <c r="C57" i="69" l="1"/>
  <c r="C56" i="69" s="1"/>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80" i="67" l="1"/>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I35" i="15" l="1"/>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40" i="15" l="1"/>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C19" i="9"/>
  <c r="AO7" i="1"/>
  <c r="L51" i="15"/>
  <c r="Q47" i="15" l="1"/>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C20" i="9"/>
  <c r="AO6" i="1"/>
  <c r="D19" i="9"/>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G21" i="9" l="1"/>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Q11" i="100" l="1"/>
  <c r="W11" i="100" s="1"/>
  <c r="F25" i="100"/>
  <c r="F19" i="100"/>
  <c r="L16" i="100"/>
  <c r="L15" i="100"/>
  <c r="I5" i="100"/>
  <c r="K5" i="100" s="1"/>
  <c r="F14" i="100"/>
  <c r="L14" i="100"/>
  <c r="L18" i="100"/>
  <c r="F66" i="39"/>
  <c r="B2" i="39" s="1"/>
  <c r="C32" i="9"/>
  <c r="J20" i="9"/>
  <c r="F32" i="100" l="1"/>
  <c r="Q15" i="100"/>
  <c r="Q12" i="100"/>
  <c r="Q13" i="100" s="1"/>
  <c r="F17" i="100" s="1"/>
  <c r="L29" i="100"/>
  <c r="L17" i="100"/>
  <c r="L27" i="100"/>
  <c r="L28" i="100"/>
  <c r="F27"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J14" i="74" s="1"/>
  <c r="C28" i="68"/>
  <c r="C27" i="68" s="1"/>
  <c r="C22" i="68"/>
  <c r="F14" i="74"/>
  <c r="H102" i="9"/>
  <c r="D7" i="53" s="1"/>
  <c r="B21" i="72" s="1"/>
  <c r="D5" i="53"/>
  <c r="D6" i="53" s="1"/>
  <c r="B22" i="72" s="1"/>
  <c r="C105" i="9"/>
  <c r="H107" i="9"/>
  <c r="D13" i="53" s="1"/>
  <c r="D14" i="53" s="1"/>
  <c r="B32" i="72" s="1"/>
  <c r="D45" i="9"/>
  <c r="D53" i="9" s="1"/>
  <c r="D48" i="9" s="1"/>
  <c r="M52" i="9" l="1"/>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M53" i="9" l="1"/>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16" i="100"/>
  <c r="F20" i="100" s="1"/>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<sst xmlns="http://schemas.openxmlformats.org/spreadsheetml/2006/main" count="9452" uniqueCount="3845">
  <si>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</si>
  <si>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</si>
  <si>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</si>
  <si>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</si>
  <si>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</si>
  <si>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</si>
  <si>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</si>
  <si>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</si>
  <si>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</si>
  <si>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</si>
  <si>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</si>
  <si>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</si>
  <si>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</si>
  <si>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</si>
  <si>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</si>
  <si>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</si>
  <si>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</si>
  <si>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</si>
  <si>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</si>
  <si>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</si>
  <si>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</si>
  <si>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</si>
  <si>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</si>
  <si>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</si>
  <si>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</si>
  <si>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</si>
  <si>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</si>
  <si>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</si>
  <si>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</si>
  <si>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</si>
  <si>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</si>
  <si>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</si>
  <si>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</si>
  <si>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</si>
  <si>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</si>
  <si>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</si>
  <si>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</si>
  <si>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</si>
  <si>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</si>
  <si>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</si>
  <si>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</si>
  <si>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</si>
  <si>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</si>
  <si>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</si>
  <si>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</si>
  <si>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</si>
  <si>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</si>
  <si>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</si>
  <si>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</si>
  <si>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</si>
  <si>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</si>
  <si>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</si>
  <si>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</si>
  <si>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</si>
  <si>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</si>
  <si>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</si>
  <si>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</si>
  <si>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</si>
  <si>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</si>
  <si>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</si>
  <si>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</si>
  <si>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</si>
  <si>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</si>
  <si>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</si>
  <si>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</si>
  <si>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</si>
  <si>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</si>
  <si>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</si>
  <si>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</si>
  <si>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</si>
  <si>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</si>
  <si>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</si>
  <si>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</si>
  <si>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</si>
  <si>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</si>
  <si>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</si>
  <si>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</si>
  <si>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</si>
  <si>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</si>
  <si>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</si>
  <si>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</si>
  <si>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</si>
  <si>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</si>
  <si>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</si>
  <si>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</si>
  <si>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</si>
  <si>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</si>
  <si>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</si>
  <si>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</si>
  <si>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</si>
  <si>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</si>
  <si>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</si>
  <si>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</si>
  <si>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</si>
  <si>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</si>
  <si>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</si>
  <si>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</si>
  <si>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</si>
  <si>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</si>
  <si>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</si>
  <si>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</si>
  <si>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</si>
  <si>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</si>
  <si>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</si>
  <si>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</si>
  <si>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</si>
  <si>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</si>
  <si>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</si>
  <si>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</si>
  <si>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</si>
  <si>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</si>
  <si>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</si>
  <si>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</si>
  <si>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</si>
  <si>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</si>
  <si>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</si>
  <si>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</si>
  <si>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</si>
  <si>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</si>
  <si>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</si>
  <si>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</si>
  <si>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</si>
  <si>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</si>
  <si>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</si>
  <si>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</si>
  <si>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</si>
  <si>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</si>
  <si>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</si>
  <si>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</si>
  <si>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</si>
  <si>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</si>
  <si>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</si>
  <si>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</si>
  <si>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</si>
  <si>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</si>
  <si>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</si>
  <si>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</si>
  <si>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</si>
  <si>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</si>
  <si>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</si>
  <si>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</si>
  <si>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</si>
  <si>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</si>
  <si>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</si>
  <si>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</si>
  <si>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</si>
  <si>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</si>
  <si>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</si>
  <si>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</si>
  <si>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</si>
  <si>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</si>
  <si>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</si>
  <si>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</si>
  <si>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</si>
  <si>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</si>
  <si>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</si>
  <si>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</si>
  <si>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</si>
  <si>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</si>
  <si>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</si>
  <si>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</si>
  <si>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</si>
  <si>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</si>
  <si>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</si>
  <si>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</si>
  <si>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</si>
  <si>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</si>
  <si>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</si>
  <si>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</si>
  <si>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</si>
  <si>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</si>
  <si>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</si>
  <si>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</si>
  <si>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</si>
  <si>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</si>
  <si>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</si>
  <si>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</si>
  <si>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</si>
  <si>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</si>
  <si>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</si>
  <si>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</si>
  <si>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</si>
  <si>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</si>
  <si>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</si>
  <si>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</si>
  <si>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</si>
  <si>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</si>
  <si>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</si>
  <si>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</si>
  <si>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</si>
  <si>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</si>
  <si>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</si>
  <si>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</si>
  <si>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</si>
  <si>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</si>
  <si>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</si>
  <si>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</si>
  <si>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</si>
  <si>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</si>
  <si>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</si>
  <si>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</si>
  <si>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</si>
  <si>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</si>
  <si>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</si>
  <si>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</si>
  <si>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</si>
  <si>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</si>
  <si>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</si>
  <si>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</si>
  <si>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</si>
  <si>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</si>
  <si>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</si>
  <si>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</si>
  <si>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</si>
  <si>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</si>
  <si>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</si>
  <si>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</si>
  <si>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</si>
  <si>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</si>
  <si>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</si>
  <si>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</si>
  <si>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</si>
  <si>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</si>
  <si>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</si>
  <si>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</si>
  <si>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</si>
  <si>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</si>
  <si>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</si>
  <si>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</si>
  <si>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</si>
  <si>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</si>
  <si>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</si>
  <si>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</si>
  <si>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</si>
  <si>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</si>
  <si>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</si>
  <si>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</si>
  <si>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</si>
  <si>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</si>
  <si>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</si>
  <si>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</si>
  <si>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</si>
  <si>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</si>
  <si>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</si>
  <si>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</si>
  <si>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</si>
  <si>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</si>
  <si>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</si>
  <si>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</si>
  <si>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</si>
  <si>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</si>
  <si>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</si>
  <si>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</si>
  <si>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</si>
  <si>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</si>
  <si>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</si>
  <si>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</si>
  <si>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</si>
  <si>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</si>
  <si>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</si>
  <si>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</si>
  <si>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</si>
  <si>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</si>
  <si>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</si>
  <si>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</si>
  <si>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</si>
  <si>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</si>
  <si>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</si>
  <si>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</si>
  <si>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</si>
  <si>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</si>
  <si>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</si>
  <si>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</si>
  <si>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</si>
  <si>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</si>
  <si>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</si>
  <si>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</si>
  <si>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</si>
  <si>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</si>
  <si>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</si>
  <si>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</si>
  <si>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</si>
  <si>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</si>
  <si>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</si>
  <si>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</si>
  <si>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</si>
  <si>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</si>
  <si>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</si>
  <si>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</si>
  <si>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</si>
  <si>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</si>
  <si>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</si>
  <si>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</si>
  <si>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</si>
  <si>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</si>
  <si>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</si>
  <si>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</si>
  <si>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</si>
  <si>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</si>
  <si>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</si>
  <si>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</si>
  <si>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</si>
  <si>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</si>
  <si>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</si>
  <si>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</si>
  <si>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</si>
  <si>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</si>
  <si>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</si>
  <si>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</si>
  <si>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</si>
  <si>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</si>
  <si>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</si>
  <si>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</si>
  <si>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</si>
  <si>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</si>
  <si>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</si>
  <si>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</si>
  <si>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</si>
  <si>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</si>
  <si>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</si>
  <si>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</si>
  <si>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</si>
  <si>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</si>
  <si>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</si>
  <si>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</si>
  <si>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</si>
  <si>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</si>
  <si>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</si>
  <si>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</si>
  <si>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</si>
  <si>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</si>
  <si>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</si>
  <si>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</si>
  <si>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</si>
  <si>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</si>
  <si>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</si>
  <si>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</si>
  <si>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</si>
  <si>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</si>
  <si>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</si>
  <si>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</si>
  <si>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</si>
  <si>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</si>
  <si>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</si>
  <si>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</si>
  <si>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</si>
  <si>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</si>
  <si>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</si>
  <si>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</si>
  <si>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</si>
  <si>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</si>
  <si>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</si>
  <si>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</si>
  <si>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</si>
  <si>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</si>
  <si>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</si>
  <si>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</si>
  <si>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</si>
  <si>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</si>
  <si>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</si>
  <si>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</si>
  <si>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</si>
  <si>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</si>
  <si>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</si>
  <si>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</si>
  <si>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</si>
  <si>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</si>
  <si>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</si>
  <si>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</si>
  <si>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</si>
  <si>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</si>
  <si>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</si>
  <si>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</si>
  <si>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</si>
  <si>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</si>
  <si>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</si>
  <si>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</si>
  <si>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</si>
  <si>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</si>
  <si>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</si>
  <si>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</si>
  <si>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</si>
  <si>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</si>
  <si>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</si>
  <si>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</si>
  <si>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</si>
  <si>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</si>
  <si>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</si>
  <si>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</si>
  <si>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</si>
  <si>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</si>
  <si>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</si>
  <si>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</si>
  <si>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</si>
  <si>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</si>
  <si>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</si>
  <si>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</si>
  <si>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</si>
  <si>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</si>
  <si>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</si>
  <si>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</si>
  <si>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</si>
  <si>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</si>
  <si>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</si>
  <si>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</si>
  <si>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</si>
  <si>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</si>
  <si>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</si>
  <si>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</si>
  <si>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</si>
  <si>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</si>
  <si>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</si>
  <si>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</si>
  <si>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</si>
  <si>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</si>
  <si>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</si>
  <si>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</si>
  <si>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</si>
  <si>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</si>
  <si>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</si>
  <si>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</si>
  <si>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</si>
  <si>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</si>
  <si>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</si>
  <si>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</si>
  <si>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</si>
  <si>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</si>
  <si>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</si>
  <si>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</si>
  <si>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</si>
  <si>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</si>
  <si>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</si>
  <si>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</si>
  <si>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</si>
  <si>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</si>
  <si>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</si>
  <si>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</si>
  <si>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</si>
  <si>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</si>
  <si>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</si>
  <si>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</si>
  <si>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</si>
  <si>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</si>
  <si>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</si>
  <si>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</si>
  <si>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</si>
  <si>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</si>
  <si>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</si>
  <si>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</si>
  <si>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</si>
  <si>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</si>
  <si>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</si>
  <si>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</si>
  <si>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</si>
  <si>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</si>
  <si>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</si>
  <si>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</si>
  <si>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</si>
  <si>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</si>
  <si>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</si>
  <si>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</si>
  <si>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</si>
  <si>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</si>
  <si>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</si>
  <si>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</si>
  <si>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</si>
  <si>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</si>
  <si>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</si>
  <si>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</si>
  <si>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</si>
  <si>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</si>
  <si>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</si>
  <si>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</si>
  <si>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</si>
  <si>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</si>
  <si>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</si>
  <si>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</si>
  <si>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</si>
  <si>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</si>
  <si>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</si>
  <si>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</si>
  <si>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</si>
  <si>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</si>
  <si>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</si>
  <si>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</si>
  <si>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</si>
  <si>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</si>
  <si>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</si>
  <si>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</si>
  <si>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</si>
  <si>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</si>
  <si>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</si>
  <si>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</si>
  <si>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</si>
  <si>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</si>
  <si>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</si>
  <si>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</si>
  <si>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</si>
  <si>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</si>
  <si>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</si>
  <si>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</si>
  <si>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</si>
  <si>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</si>
  <si>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</si>
  <si>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</si>
  <si>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</si>
  <si>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</si>
  <si>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</si>
  <si>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</si>
  <si>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</si>
  <si>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</si>
  <si>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</si>
  <si>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</si>
  <si>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</si>
  <si>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</si>
  <si>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</si>
  <si>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</si>
  <si>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</si>
  <si>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</si>
  <si>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</si>
  <si>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</si>
  <si>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</si>
  <si>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</si>
  <si>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</si>
  <si>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</si>
  <si>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</si>
  <si>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</si>
  <si>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</si>
  <si>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</si>
  <si>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</si>
  <si>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</si>
  <si>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</si>
  <si>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</si>
  <si>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</si>
  <si>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</si>
  <si>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</si>
  <si>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</si>
  <si>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</si>
  <si>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</si>
  <si>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</si>
  <si>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</si>
  <si>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</si>
  <si>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</si>
  <si>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</si>
  <si>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</si>
  <si>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</si>
  <si>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</si>
  <si>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</si>
  <si>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</si>
  <si>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</si>
  <si>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</si>
  <si>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</si>
  <si>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</si>
  <si>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</si>
  <si>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</si>
  <si>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</si>
  <si>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</si>
  <si>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</si>
  <si>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</si>
  <si>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</si>
  <si>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</si>
  <si>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</si>
  <si>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</si>
  <si>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</si>
  <si>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</si>
  <si>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</si>
  <si>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</si>
  <si>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</si>
  <si>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</si>
  <si>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</si>
  <si>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</si>
  <si>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</si>
  <si>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</si>
  <si>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</si>
  <si>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</si>
  <si>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</si>
  <si>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</si>
  <si>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</si>
  <si>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</si>
  <si>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</si>
  <si>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</si>
  <si>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</si>
  <si>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</si>
  <si>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</si>
  <si>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</si>
  <si>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</si>
  <si>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</si>
  <si>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</si>
  <si>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</si>
  <si>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</si>
  <si>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</si>
  <si>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</si>
  <si>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</si>
  <si>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</si>
  <si>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</si>
  <si>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</si>
  <si>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</si>
  <si>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</si>
  <si>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</si>
  <si>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</si>
  <si>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</si>
  <si>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</si>
  <si>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</si>
  <si>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</si>
  <si>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</si>
  <si>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</si>
  <si>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</si>
  <si>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</si>
  <si>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</si>
  <si>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</si>
  <si>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</si>
  <si>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</si>
  <si>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</si>
  <si>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</si>
  <si>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</si>
  <si>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</si>
  <si>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</si>
  <si>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</si>
  <si>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</si>
  <si>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</si>
  <si>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</si>
  <si>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</si>
  <si>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</si>
  <si>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</si>
  <si>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</si>
  <si>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</si>
  <si>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</si>
  <si>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</si>
  <si>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</si>
  <si>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</si>
  <si>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</si>
  <si>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</si>
  <si>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</si>
  <si>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</si>
  <si>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</si>
  <si>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</si>
  <si>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</si>
  <si>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</si>
  <si>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</si>
  <si>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</si>
  <si>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</si>
  <si>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</si>
  <si>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</si>
  <si>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</si>
  <si>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</si>
  <si>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</si>
  <si>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</si>
  <si>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</si>
  <si>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</si>
  <si>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</si>
  <si>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</si>
  <si>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</si>
  <si>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</si>
  <si>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</si>
  <si>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</si>
  <si>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</si>
  <si>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</si>
  <si>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</si>
  <si>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</si>
  <si>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</si>
  <si>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</si>
  <si>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</si>
  <si>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</si>
  <si>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</si>
  <si>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</si>
  <si>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</si>
  <si>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</si>
  <si>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</si>
  <si>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</si>
  <si>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</si>
  <si>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</si>
  <si>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</si>
  <si>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</si>
  <si>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</si>
  <si>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</si>
  <si>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</si>
  <si>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</si>
  <si>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</si>
  <si>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</si>
  <si>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</si>
  <si>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</si>
  <si>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</si>
  <si>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</si>
  <si>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</si>
  <si>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</si>
  <si>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</si>
  <si>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</si>
  <si>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</si>
  <si>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</si>
  <si>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</si>
  <si>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</si>
  <si>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</si>
  <si>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</si>
  <si>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</si>
  <si>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</si>
  <si>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</si>
  <si>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</si>
  <si>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</si>
  <si>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</si>
  <si>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</si>
  <si>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</si>
  <si>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</si>
  <si>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</si>
  <si>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</si>
  <si>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</si>
  <si>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</si>
  <si>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</si>
  <si>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</si>
  <si>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</si>
  <si>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</si>
  <si>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</si>
  <si>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</si>
  <si>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</si>
  <si>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</si>
  <si>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</si>
  <si>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</si>
  <si>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</si>
  <si>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</si>
  <si>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</si>
  <si>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</si>
  <si>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</si>
  <si>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</si>
  <si>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</si>
  <si>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</si>
  <si>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</si>
  <si>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</si>
  <si>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</si>
  <si>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</si>
  <si>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</si>
  <si>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</si>
  <si>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</si>
  <si>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</si>
  <si>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</si>
  <si>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</si>
  <si>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</si>
  <si>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</si>
  <si>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</si>
  <si>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</si>
  <si>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</si>
  <si>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</si>
  <si>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</si>
  <si>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</si>
  <si>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</si>
  <si>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</si>
  <si>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</si>
  <si>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</si>
  <si>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</si>
  <si>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</si>
  <si>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</si>
  <si>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</si>
  <si>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</si>
  <si>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</si>
  <si>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</si>
  <si>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</si>
  <si>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</si>
  <si>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</si>
  <si>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</si>
  <si>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</si>
  <si>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</si>
  <si>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</si>
  <si>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</si>
  <si>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</si>
  <si>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</si>
  <si>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</si>
  <si>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</si>
  <si>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</si>
  <si>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</si>
  <si>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</si>
  <si>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</si>
  <si>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</si>
  <si>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</si>
  <si>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</si>
  <si>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</si>
  <si>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</si>
  <si>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</si>
  <si>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</si>
  <si>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</si>
  <si>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</si>
  <si>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</si>
  <si>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</si>
  <si>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</si>
  <si>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</si>
  <si>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</si>
  <si>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</si>
  <si>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</si>
  <si>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</si>
  <si>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</si>
  <si>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</si>
  <si>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</si>
  <si>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</si>
  <si>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</si>
  <si>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</si>
  <si>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</si>
  <si>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</si>
  <si>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</si>
  <si>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</si>
  <si>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</si>
  <si>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</si>
  <si>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</si>
  <si>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</si>
  <si>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</si>
  <si>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</si>
  <si>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</si>
  <si>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</si>
  <si>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</si>
  <si>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</si>
  <si>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</si>
  <si>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</si>
  <si>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</si>
  <si>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</si>
  <si>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</si>
  <si>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</si>
  <si>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</si>
  <si>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</si>
  <si>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</si>
  <si>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</si>
  <si>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</si>
  <si>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</si>
  <si>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</si>
  <si>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</si>
  <si>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</si>
  <si>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</si>
  <si>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</si>
  <si>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</si>
  <si>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</si>
  <si>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</si>
  <si>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</si>
  <si>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</si>
  <si>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</si>
  <si>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</si>
  <si>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</si>
  <si>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</si>
  <si>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</si>
  <si>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</si>
  <si>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</si>
  <si>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</si>
  <si>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</si>
  <si>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</si>
  <si>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</si>
  <si>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</si>
  <si>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</si>
  <si>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</si>
  <si>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</si>
  <si>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</si>
  <si>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</si>
  <si>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</si>
  <si>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</si>
  <si>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</si>
  <si>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</si>
  <si>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</si>
  <si>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</si>
  <si>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</si>
  <si>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</si>
  <si>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</si>
  <si>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</si>
  <si>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</si>
  <si>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</si>
  <si>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</si>
  <si>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</si>
  <si>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</si>
  <si>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</si>
  <si>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</si>
  <si>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</si>
  <si>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</si>
  <si>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</si>
  <si>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</si>
  <si>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</si>
  <si>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</si>
  <si>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</si>
  <si>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</si>
  <si>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</si>
  <si>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</si>
  <si>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</si>
  <si>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</si>
  <si>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</si>
  <si>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</si>
  <si>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</si>
  <si>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</si>
  <si>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</si>
  <si>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</si>
  <si>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</si>
  <si>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</si>
  <si>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</si>
  <si>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</si>
  <si>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</si>
  <si>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</si>
  <si>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</si>
  <si>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</si>
  <si>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</si>
  <si>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</si>
  <si>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</si>
  <si>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</si>
  <si>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</si>
  <si>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</si>
  <si>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</si>
  <si>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</si>
  <si>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</si>
  <si>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</si>
  <si>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</si>
  <si>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</si>
  <si>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</si>
  <si>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</si>
  <si>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</si>
  <si>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</si>
  <si>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</si>
  <si>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</si>
  <si>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</si>
  <si>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</si>
  <si>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</si>
  <si>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</si>
  <si>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</si>
  <si>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</si>
  <si>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</si>
  <si>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</si>
  <si>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</si>
  <si>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</si>
  <si>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</si>
  <si>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</si>
  <si>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</si>
  <si>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</si>
  <si>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</si>
  <si>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</si>
  <si>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</si>
  <si>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</si>
  <si>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</si>
  <si>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</si>
  <si>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</si>
  <si>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</si>
  <si>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</si>
  <si>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</si>
  <si>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</si>
  <si>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</si>
  <si>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</si>
  <si>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</si>
  <si>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</si>
  <si>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</si>
  <si>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</si>
  <si>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</si>
  <si>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</si>
  <si>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</si>
  <si>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</si>
  <si>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</si>
  <si>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</si>
  <si>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</si>
  <si>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</si>
  <si>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</si>
  <si>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</si>
  <si>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</si>
  <si>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</si>
  <si>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</si>
  <si>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</si>
  <si>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</si>
  <si>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</si>
  <si>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</si>
  <si>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</si>
  <si>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</si>
  <si>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</si>
  <si>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</si>
  <si>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</si>
  <si>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</si>
  <si>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</si>
  <si>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</si>
  <si>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</si>
  <si>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</si>
  <si>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</si>
  <si>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</si>
  <si>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</si>
  <si>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</si>
  <si>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</si>
  <si>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</si>
  <si>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</si>
  <si>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</si>
  <si>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</si>
  <si>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</si>
  <si>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</si>
  <si>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</si>
  <si>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</si>
  <si>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</si>
  <si>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</si>
  <si>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</si>
  <si>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</si>
  <si>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</si>
  <si>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</si>
  <si>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</si>
  <si>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</si>
  <si>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</si>
  <si>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</si>
  <si>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</si>
  <si>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</si>
  <si>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</si>
  <si>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</si>
  <si>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</si>
  <si>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</si>
  <si>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</si>
  <si>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</si>
  <si>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</si>
  <si>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</si>
  <si>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</si>
  <si>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</si>
  <si>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</si>
  <si>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</si>
  <si>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</si>
  <si>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</si>
  <si>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</si>
  <si>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</si>
  <si>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</si>
  <si>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</si>
  <si>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</si>
  <si>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</si>
  <si>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</si>
  <si>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</si>
  <si>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</si>
  <si>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</si>
  <si>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</si>
  <si>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</si>
  <si>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</si>
  <si>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</si>
  <si>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</si>
  <si>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</si>
  <si>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</si>
  <si>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</si>
  <si>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</si>
  <si>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</si>
  <si>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</si>
  <si>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</si>
  <si>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</si>
  <si>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</si>
  <si>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</si>
  <si>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</si>
  <si>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</si>
  <si>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</si>
  <si>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</si>
  <si>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</si>
  <si>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</si>
  <si>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</si>
  <si>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</si>
  <si>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</si>
  <si>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</si>
  <si>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</si>
  <si>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</si>
  <si>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</si>
  <si>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</si>
  <si>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</si>
  <si>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</si>
  <si>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</si>
  <si>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</si>
  <si>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</si>
  <si>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</si>
  <si>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</si>
  <si>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</si>
  <si>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</si>
  <si>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</si>
  <si>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</si>
  <si>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</si>
  <si>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</si>
  <si>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</si>
  <si>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</si>
  <si>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</si>
  <si>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</si>
  <si>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</si>
  <si>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</si>
  <si>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</si>
  <si>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</si>
  <si>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</si>
  <si>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</si>
  <si>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</si>
  <si>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</si>
  <si>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</si>
  <si>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</si>
  <si>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</si>
  <si>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</si>
  <si>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</si>
  <si>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</si>
  <si>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</si>
  <si>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</si>
  <si>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</si>
  <si>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</si>
  <si>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</si>
  <si>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</si>
  <si>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</si>
  <si>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</si>
  <si>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</si>
  <si>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</si>
  <si>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</si>
  <si>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</si>
  <si>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</si>
  <si>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</si>
  <si>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</si>
  <si>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</si>
  <si>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</si>
  <si>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</si>
  <si>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</si>
  <si>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</si>
  <si>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</si>
  <si>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</si>
  <si>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</si>
  <si>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</si>
  <si>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</si>
  <si>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</si>
  <si>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</si>
  <si>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</si>
  <si>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</si>
  <si>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</si>
  <si>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</si>
  <si>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</si>
  <si>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</si>
  <si>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</si>
  <si>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</si>
  <si>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</si>
  <si>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</si>
  <si>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</si>
  <si>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</si>
  <si>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</si>
  <si>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</si>
  <si>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</si>
  <si>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</si>
  <si>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</si>
  <si>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</si>
  <si>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</si>
  <si>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</si>
  <si>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</si>
  <si>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</si>
  <si>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</si>
  <si>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</si>
  <si>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</si>
  <si>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</si>
  <si>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</si>
  <si>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</si>
  <si>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</si>
  <si>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</si>
  <si>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</si>
  <si>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</si>
  <si>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</si>
  <si>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</si>
  <si>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</si>
  <si>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</si>
  <si>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</si>
  <si>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</si>
  <si>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</si>
  <si>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</si>
  <si>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</si>
  <si>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</si>
  <si>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</si>
  <si>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</si>
  <si>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</si>
  <si>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</si>
  <si>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</si>
  <si>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</si>
  <si>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</si>
  <si>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</si>
  <si>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</si>
  <si>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</si>
  <si>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</si>
  <si>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</si>
  <si>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</si>
  <si>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</si>
  <si>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</si>
  <si>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</si>
  <si>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</si>
  <si>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</si>
  <si>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</si>
  <si>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</si>
  <si>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</si>
  <si>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</si>
  <si>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</si>
  <si>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</si>
  <si>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</si>
  <si>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</si>
  <si>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</si>
  <si>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</si>
  <si>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</si>
  <si>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</si>
  <si>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</si>
  <si>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</si>
  <si>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</si>
  <si>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</si>
  <si>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</si>
  <si>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</si>
  <si>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</si>
  <si>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</si>
  <si>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</si>
  <si>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</si>
  <si>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</si>
  <si>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</si>
  <si>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</si>
  <si>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</si>
  <si>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</si>
  <si>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</si>
  <si>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</si>
  <si>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</si>
  <si>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</si>
  <si>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</si>
  <si>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</si>
  <si>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</si>
  <si>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</si>
  <si>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</si>
  <si>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</si>
  <si>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</si>
  <si>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</si>
  <si>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</si>
  <si>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</si>
  <si>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</si>
  <si>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</si>
  <si>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</si>
  <si>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</si>
  <si>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</si>
  <si>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</si>
  <si>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</si>
  <si>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</si>
  <si>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</si>
  <si>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</si>
  <si>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</si>
  <si>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</si>
  <si>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</si>
  <si>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</si>
  <si>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</si>
  <si>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</si>
  <si>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</si>
  <si>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</si>
  <si>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</si>
  <si>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</si>
  <si>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</si>
  <si>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</si>
  <si>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</si>
  <si>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</si>
  <si>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</si>
  <si>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</si>
  <si>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</si>
  <si>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</si>
  <si>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</si>
  <si>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</si>
  <si>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</si>
  <si>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</si>
  <si>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</si>
  <si>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</si>
  <si>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</si>
  <si>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</si>
  <si>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</si>
  <si>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</si>
  <si>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</si>
  <si>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</si>
  <si>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</si>
  <si>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</si>
  <si>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</si>
  <si>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</si>
  <si>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</si>
  <si>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</si>
  <si>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</si>
  <si>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</si>
  <si>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</si>
  <si>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</si>
  <si>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</si>
  <si>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</si>
  <si>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</si>
  <si>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</si>
  <si>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</si>
  <si>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</si>
  <si>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</si>
  <si>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</si>
  <si>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</si>
  <si>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</si>
  <si>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</si>
  <si>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</si>
  <si>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</si>
  <si>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</si>
  <si>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</si>
  <si>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</si>
  <si>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5" type="noConversion"/>
  </si>
  <si>
    <t>开发期</t>
    <phoneticPr fontId="141" type="noConversion"/>
  </si>
  <si>
    <t>贷款利率</t>
    <phoneticPr fontId="5" type="noConversion"/>
  </si>
  <si>
    <t>贷款利率</t>
    <phoneticPr fontId="141" type="noConversion"/>
  </si>
  <si>
    <t>存款利率</t>
    <phoneticPr fontId="141"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</si>
  <si>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</si>
  <si>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</si>
  <si>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</si>
  <si>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</si>
  <si>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</si>
  <si>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</si>
  <si>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</si>
  <si>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</si>
  <si>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</si>
  <si>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</si>
  <si>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</si>
  <si>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</si>
  <si>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</si>
  <si>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</si>
  <si>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</si>
  <si>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</si>
  <si>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</si>
  <si>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</si>
  <si>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</si>
  <si>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</si>
  <si>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</si>
  <si>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</si>
  <si>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</si>
  <si>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</si>
  <si>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</si>
  <si>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</si>
  <si>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</si>
  <si>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</si>
  <si>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</si>
  <si>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</si>
  <si>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</si>
  <si>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</si>
  <si>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</si>
  <si>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</si>
  <si>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</si>
  <si>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</si>
  <si>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</si>
  <si>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</si>
  <si>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</si>
  <si>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</si>
  <si>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</si>
  <si>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</si>
  <si>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</si>
  <si>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</si>
  <si>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</si>
  <si>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</si>
  <si>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</si>
  <si>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</si>
  <si>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</si>
  <si>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</si>
  <si>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</si>
  <si>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</si>
  <si>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</si>
  <si>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</si>
  <si>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</si>
  <si>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</si>
  <si>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</si>
  <si>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</si>
  <si>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</si>
  <si>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</si>
  <si>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</si>
  <si>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</si>
  <si>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</si>
  <si>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</si>
  <si>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</si>
  <si>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</si>
  <si>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</si>
  <si>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</si>
  <si>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</si>
  <si>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</si>
  <si>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</si>
  <si>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</si>
  <si>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</si>
  <si>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</si>
  <si>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</si>
  <si>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</si>
  <si>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</si>
  <si>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</si>
  <si>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</si>
  <si>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</si>
  <si>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</si>
  <si>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</si>
  <si>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</si>
  <si>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</si>
  <si>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</si>
  <si>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</si>
  <si>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</si>
  <si>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</si>
  <si>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</si>
  <si>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</si>
  <si>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</si>
  <si>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</si>
  <si>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</si>
  <si>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</si>
  <si>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</si>
  <si>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</si>
  <si>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</si>
  <si>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</si>
  <si>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</si>
  <si>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</si>
  <si>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</si>
  <si>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</si>
  <si>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</si>
  <si>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</si>
  <si>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</si>
  <si>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</si>
  <si>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</si>
  <si>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</si>
  <si>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</si>
  <si>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</si>
  <si>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</si>
  <si>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</si>
  <si>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</si>
  <si>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</si>
  <si>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</si>
  <si>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</si>
  <si>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</si>
  <si>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</si>
  <si>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</si>
  <si>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</si>
  <si>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</si>
  <si>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</si>
  <si>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</si>
  <si>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</si>
  <si>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</si>
  <si>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</si>
  <si>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</si>
  <si>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</si>
  <si>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</si>
  <si>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</si>
  <si>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</si>
  <si>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</si>
  <si>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</si>
  <si>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</si>
  <si>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</si>
  <si>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</si>
  <si>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</si>
  <si>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</si>
  <si>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</si>
  <si>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</si>
  <si>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</si>
  <si>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</si>
  <si>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</si>
  <si>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</si>
  <si>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</si>
  <si>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</si>
  <si>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</si>
  <si>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</si>
  <si>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</si>
  <si>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</si>
  <si>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</si>
  <si>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</si>
  <si>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</si>
  <si>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</si>
  <si>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</si>
  <si>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</si>
  <si>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</si>
  <si>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</si>
  <si>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</si>
  <si>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</si>
  <si>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</si>
  <si>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</si>
  <si>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</si>
  <si>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</si>
  <si>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</si>
  <si>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</si>
  <si>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</si>
  <si>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</si>
  <si>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</si>
  <si>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</si>
  <si>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</si>
  <si>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</si>
  <si>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</si>
  <si>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</si>
  <si>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</si>
  <si>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</si>
  <si>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</si>
  <si>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</si>
  <si>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</si>
  <si>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</si>
  <si>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</si>
  <si>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</si>
  <si>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</si>
  <si>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</si>
  <si>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</si>
  <si>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</si>
  <si>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</si>
  <si>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</si>
  <si>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</si>
  <si>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</si>
  <si>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</si>
  <si>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</si>
  <si>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</si>
  <si>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</si>
  <si>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</si>
  <si>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</si>
  <si>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</si>
  <si>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</si>
  <si>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</si>
  <si>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</si>
  <si>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</si>
  <si>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</si>
  <si>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</si>
  <si>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</si>
  <si>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</si>
  <si>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</si>
  <si>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</si>
  <si>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</si>
  <si>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</si>
  <si>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</si>
  <si>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</si>
  <si>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</si>
  <si>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</si>
  <si>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</si>
  <si>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</si>
  <si>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</si>
  <si>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</si>
  <si>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</si>
  <si>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</si>
  <si>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</si>
  <si>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</si>
  <si>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</si>
  <si>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</si>
  <si>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</si>
  <si>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</si>
  <si>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</si>
  <si>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</si>
  <si>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</si>
  <si>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</si>
  <si>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</si>
  <si>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</si>
  <si>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</si>
  <si>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</si>
  <si>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</si>
  <si>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</si>
  <si>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</si>
  <si>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</si>
  <si>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</si>
  <si>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</si>
  <si>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</si>
  <si>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</si>
  <si>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</si>
  <si>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</si>
  <si>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</si>
  <si>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</si>
  <si>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</si>
  <si>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</si>
  <si>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</si>
  <si>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</si>
  <si>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</si>
  <si>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</si>
  <si>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</si>
  <si>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</si>
  <si>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</si>
  <si>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</si>
  <si>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</si>
  <si>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</si>
  <si>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</si>
  <si>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</si>
  <si>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</si>
  <si>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</si>
  <si>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</si>
  <si>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</si>
  <si>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</si>
  <si>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</si>
  <si>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</si>
  <si>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</si>
  <si>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</si>
  <si>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</si>
  <si>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</si>
  <si>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</si>
  <si>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</si>
  <si>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</si>
  <si>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</si>
  <si>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</si>
  <si>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</si>
  <si>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</si>
  <si>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</si>
  <si>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</si>
  <si>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</si>
  <si>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</si>
  <si>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</si>
  <si>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</si>
  <si>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</si>
  <si>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</si>
  <si>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4"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</si>
  <si>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</si>
  <si>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</si>
  <si>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</si>
  <si>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</si>
  <si>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</si>
  <si>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</si>
  <si>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</si>
  <si>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</si>
  <si>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</si>
  <si>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</si>
  <si>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</si>
  <si>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</si>
  <si>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</si>
  <si>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</si>
  <si>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</si>
  <si>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</si>
  <si>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</si>
  <si>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</si>
  <si>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</si>
  <si>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</si>
  <si>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</si>
  <si>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</si>
  <si>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</si>
  <si>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</si>
  <si>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</si>
  <si>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</si>
  <si>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</si>
  <si>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</si>
  <si>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</si>
  <si>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</si>
  <si>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</si>
  <si>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</si>
  <si>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</si>
  <si>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</si>
  <si>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</si>
  <si>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</si>
  <si>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</si>
  <si>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</si>
  <si>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</si>
  <si>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</si>
  <si>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</si>
  <si>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</si>
  <si>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</si>
  <si>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</si>
  <si>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</si>
  <si>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</si>
  <si>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</si>
  <si>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</si>
  <si>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</si>
  <si>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</si>
  <si>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</si>
  <si>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</si>
  <si>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</si>
  <si>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</si>
  <si>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</si>
  <si>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</si>
  <si>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</si>
  <si>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</si>
  <si>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</si>
  <si>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</si>
  <si>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</si>
  <si>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</si>
  <si>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</si>
  <si>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</si>
  <si>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</si>
  <si>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</si>
  <si>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</si>
  <si>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</si>
  <si>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</si>
  <si>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</si>
  <si>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</si>
  <si>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</si>
  <si>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</si>
  <si>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</si>
  <si>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</si>
  <si>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</si>
  <si>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</si>
  <si>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</si>
  <si>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</si>
  <si>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</si>
  <si>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</si>
  <si>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</si>
  <si>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</si>
  <si>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</si>
  <si>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</si>
  <si>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</si>
  <si>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</si>
  <si>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</si>
  <si>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</si>
  <si>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</si>
  <si>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</si>
  <si>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</si>
  <si>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</si>
  <si>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</si>
  <si>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</si>
  <si>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</si>
  <si>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</si>
  <si>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</si>
  <si>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</si>
  <si>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</si>
  <si>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</si>
  <si>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</si>
  <si>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</si>
  <si>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</si>
  <si>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</si>
  <si>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</si>
  <si>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</si>
  <si>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</si>
  <si>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</si>
  <si>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</si>
  <si>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</si>
  <si>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</si>
  <si>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</si>
  <si>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</si>
  <si>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</si>
  <si>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</si>
  <si>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</si>
  <si>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</si>
  <si>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</si>
  <si>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</si>
  <si>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</si>
  <si>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</si>
  <si>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</si>
  <si>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</si>
  <si>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</si>
  <si>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</si>
  <si>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</si>
  <si>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</si>
  <si>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</si>
  <si>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</si>
  <si>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</si>
  <si>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</si>
  <si>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</si>
  <si>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</si>
  <si>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</si>
  <si>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</si>
  <si>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</si>
  <si>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</si>
  <si>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</si>
  <si>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</si>
  <si>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</si>
  <si>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</si>
  <si>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</si>
  <si>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</si>
  <si>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</si>
  <si>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</si>
  <si>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</si>
  <si>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</si>
  <si>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</si>
  <si>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</si>
  <si>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</si>
  <si>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</si>
  <si>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</si>
  <si>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</si>
  <si>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</si>
  <si>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</si>
  <si>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</si>
  <si>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</si>
  <si>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</si>
  <si>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</si>
  <si>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</si>
  <si>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</si>
  <si>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</si>
  <si>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</si>
  <si>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</si>
  <si>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</si>
  <si>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</si>
  <si>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</si>
  <si>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</si>
  <si>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</si>
  <si>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</si>
  <si>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</si>
  <si>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</si>
  <si>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</si>
  <si>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</si>
  <si>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</si>
  <si>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</si>
  <si>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</si>
  <si>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</si>
  <si>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</si>
  <si>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</si>
  <si>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</si>
  <si>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</si>
  <si>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</si>
  <si>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</si>
  <si>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</si>
  <si>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</si>
  <si>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</si>
  <si>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</si>
  <si>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</si>
  <si>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</si>
  <si>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</si>
  <si>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</si>
  <si>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</si>
  <si>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</si>
  <si>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</si>
  <si>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</si>
  <si>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</si>
  <si>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</si>
  <si>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</si>
  <si>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</si>
  <si>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</si>
  <si>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</si>
  <si>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</si>
  <si>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</si>
  <si>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</si>
  <si>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</si>
  <si>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</si>
  <si>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</si>
  <si>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</si>
  <si>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</si>
  <si>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</si>
  <si>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</si>
  <si>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</si>
  <si>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</si>
  <si>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</si>
  <si>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</si>
  <si>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</si>
  <si>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</si>
  <si>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</si>
  <si>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</si>
  <si>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</si>
  <si>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</si>
  <si>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</si>
  <si>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</si>
  <si>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</si>
  <si>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</si>
  <si>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</si>
  <si>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</si>
  <si>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</si>
  <si>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</si>
  <si>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</si>
  <si>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</si>
  <si>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</si>
  <si>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</si>
  <si>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</si>
  <si>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</si>
  <si>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</si>
  <si>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</si>
  <si>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</si>
  <si>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</si>
  <si>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</si>
  <si>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</si>
  <si>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</si>
  <si>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</si>
  <si>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</si>
  <si>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</si>
  <si>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</si>
  <si>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</si>
  <si>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</si>
  <si>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</si>
  <si>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</si>
  <si>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</si>
  <si>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</si>
  <si>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</si>
  <si>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</si>
  <si>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</si>
  <si>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</si>
  <si>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</si>
  <si>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</si>
  <si>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</si>
  <si>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</si>
  <si>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</si>
  <si>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</si>
  <si>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</si>
  <si>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</si>
  <si>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</si>
  <si>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</si>
  <si>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</si>
  <si>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</si>
  <si>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</si>
  <si>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</si>
  <si>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</si>
  <si>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</si>
  <si>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</si>
  <si>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</si>
  <si>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</si>
  <si>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</si>
  <si>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</si>
  <si>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</si>
  <si>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</si>
  <si>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</si>
  <si>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</si>
  <si>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</si>
  <si>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</si>
  <si>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</si>
  <si>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</si>
  <si>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</si>
  <si>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</si>
  <si>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</si>
  <si>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</si>
  <si>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</si>
  <si>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</si>
  <si>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</si>
  <si>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</si>
  <si>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</si>
  <si>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</si>
  <si>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</si>
  <si>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</si>
  <si>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</si>
  <si>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</si>
  <si>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</si>
  <si>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</si>
  <si>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</si>
  <si>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</si>
  <si>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</si>
  <si>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</si>
  <si>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</si>
  <si>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</si>
  <si>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</si>
  <si>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</si>
  <si>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</si>
  <si>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</si>
  <si>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</si>
  <si>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</si>
  <si>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</si>
  <si>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</si>
  <si>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</si>
  <si>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</si>
  <si>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</si>
  <si>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</si>
  <si>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</si>
  <si>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</si>
  <si>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</si>
  <si>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</si>
  <si>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</si>
  <si>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</si>
  <si>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</si>
  <si>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</si>
  <si>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</si>
  <si>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</si>
  <si>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</si>
  <si>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</si>
  <si>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</si>
  <si>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</si>
  <si>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</si>
  <si>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</si>
  <si>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</si>
  <si>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</si>
  <si>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</si>
  <si>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</si>
  <si>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</si>
  <si>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</si>
  <si>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</si>
  <si>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</si>
  <si>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</si>
  <si>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</si>
  <si>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</si>
  <si>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</si>
  <si>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</si>
  <si>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</si>
  <si>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</si>
  <si>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</si>
  <si>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</si>
  <si>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</si>
  <si>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</si>
  <si>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</si>
  <si>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</si>
  <si>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</si>
  <si>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</si>
  <si>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</si>
  <si>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</si>
  <si>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</si>
  <si>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</si>
  <si>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</si>
  <si>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</si>
  <si>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</si>
  <si>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</si>
  <si>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</si>
  <si>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</si>
  <si>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</si>
  <si>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</si>
  <si>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</si>
  <si>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</si>
  <si>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</si>
  <si>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</si>
  <si>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</si>
  <si>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</si>
  <si>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</si>
  <si>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</si>
  <si>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</si>
  <si>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</si>
  <si>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</si>
  <si>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</si>
  <si>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</si>
  <si>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</si>
  <si>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</si>
  <si>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</si>
  <si>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</si>
  <si>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</si>
  <si>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</si>
  <si>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</si>
  <si>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</si>
  <si>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</si>
  <si>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</si>
  <si>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</si>
  <si>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</si>
  <si>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</si>
  <si>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</si>
  <si>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</si>
  <si>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</si>
  <si>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</si>
  <si>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</si>
  <si>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</si>
  <si>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</si>
  <si>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</si>
  <si>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</si>
  <si>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</si>
  <si>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</si>
  <si>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</si>
  <si>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</si>
  <si>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</si>
  <si>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</si>
  <si>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</si>
  <si>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</si>
  <si>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</si>
  <si>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</si>
  <si>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</si>
  <si>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</si>
  <si>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</si>
  <si>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</si>
  <si>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</si>
  <si>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</si>
  <si>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</si>
  <si>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</si>
  <si>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</si>
  <si>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</si>
  <si>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</si>
  <si>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</si>
  <si>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</si>
  <si>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</si>
  <si>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</si>
  <si>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</si>
  <si>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</si>
  <si>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</si>
  <si>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</si>
  <si>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</si>
  <si>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</si>
  <si>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</si>
  <si>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</si>
  <si>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</si>
  <si>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</si>
  <si>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</si>
  <si>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</si>
  <si>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</si>
  <si>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</si>
  <si>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</si>
  <si>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</si>
  <si>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</si>
  <si>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</si>
  <si>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</si>
  <si>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</si>
  <si>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</si>
  <si>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</si>
  <si>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</si>
  <si>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</si>
  <si>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</si>
  <si>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</si>
  <si>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</si>
  <si>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</si>
  <si>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</si>
  <si>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</si>
  <si>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</si>
  <si>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</si>
  <si>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</si>
  <si>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</si>
  <si>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</si>
  <si>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</si>
  <si>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</si>
  <si>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</si>
  <si>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</si>
  <si>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</si>
  <si>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</si>
  <si>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</si>
  <si>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</si>
  <si>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</si>
  <si>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</si>
  <si>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</si>
  <si>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</si>
  <si>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</si>
  <si>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</si>
  <si>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</si>
  <si>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</si>
  <si>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</si>
  <si>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</si>
  <si>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</si>
  <si>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6"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</si>
  <si>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</si>
  <si>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</si>
  <si>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</si>
  <si>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</si>
  <si>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</si>
  <si>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</si>
  <si>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</si>
  <si>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</si>
  <si>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</si>
  <si>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</si>
  <si>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</si>
  <si>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</si>
  <si>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</si>
  <si>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</si>
  <si>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</si>
  <si>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</si>
  <si>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</si>
  <si>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</si>
  <si>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</si>
  <si>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</si>
  <si>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</si>
  <si>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</si>
  <si>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</si>
  <si>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</si>
  <si>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</si>
  <si>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</si>
  <si>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</si>
  <si>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</si>
  <si>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</si>
  <si>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</si>
  <si>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</si>
  <si>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</si>
  <si>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</si>
  <si>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</si>
  <si>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</si>
  <si>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</si>
  <si>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</si>
  <si>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</si>
  <si>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</si>
  <si>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</si>
  <si>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</si>
  <si>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</si>
  <si>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</si>
  <si>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</si>
  <si>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</si>
  <si>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</si>
  <si>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</si>
  <si>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</si>
  <si>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</si>
  <si>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</si>
  <si>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</si>
  <si>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</si>
  <si>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</si>
  <si>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</si>
  <si>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</si>
  <si>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</si>
  <si>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</si>
  <si>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</si>
  <si>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</si>
  <si>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</si>
  <si>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</si>
  <si>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</si>
  <si>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</si>
  <si>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</si>
  <si>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</si>
  <si>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</si>
  <si>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</si>
  <si>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</si>
  <si>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</si>
  <si>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</si>
  <si>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</si>
  <si>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</si>
  <si>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</si>
  <si>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</si>
  <si>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</si>
  <si>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</si>
  <si>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</si>
  <si>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</si>
  <si>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</si>
  <si>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</si>
  <si>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</si>
  <si>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</si>
  <si>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</si>
  <si>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</si>
  <si>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</si>
  <si>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</si>
  <si>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</si>
  <si>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</si>
  <si>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</si>
  <si>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</si>
  <si>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</si>
  <si>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</si>
  <si>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</si>
  <si>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</si>
  <si>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</si>
  <si>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</si>
  <si>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</si>
  <si>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</si>
  <si>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</si>
  <si>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</si>
  <si>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</si>
  <si>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</si>
  <si>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</si>
  <si>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</si>
  <si>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1"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</si>
  <si>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</si>
  <si>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</si>
  <si>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</si>
  <si>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</si>
  <si>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</si>
  <si>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</si>
  <si>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</si>
  <si>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</si>
  <si>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</si>
  <si>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</si>
  <si>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</si>
  <si>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</si>
  <si>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</si>
  <si>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</si>
  <si>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</si>
  <si>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</si>
  <si>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</si>
  <si>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</si>
  <si>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</si>
  <si>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</si>
  <si>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</si>
  <si>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</si>
  <si>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</si>
  <si>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</si>
  <si>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</si>
  <si>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</si>
  <si>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</si>
  <si>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</si>
  <si>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</si>
  <si>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</si>
  <si>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</si>
  <si>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</si>
  <si>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</si>
  <si>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</si>
  <si>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</si>
  <si>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</si>
  <si>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</si>
  <si>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</si>
  <si>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</si>
  <si>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</si>
  <si>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</si>
  <si>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</si>
  <si>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</si>
  <si>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</si>
  <si>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</si>
  <si>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</si>
  <si>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</si>
  <si>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</si>
  <si>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</si>
  <si>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</si>
  <si>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</si>
  <si>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</si>
  <si>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</si>
  <si>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</si>
  <si>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</si>
  <si>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</si>
  <si>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</si>
  <si>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</si>
  <si>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</si>
  <si>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</si>
  <si>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</si>
  <si>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</si>
  <si>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</si>
  <si>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</si>
  <si>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</si>
  <si>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</si>
  <si>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</si>
  <si>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</si>
  <si>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</si>
  <si>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</si>
  <si>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</si>
  <si>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</si>
  <si>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</si>
  <si>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</si>
  <si>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</si>
  <si>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</si>
  <si>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</si>
  <si>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</si>
  <si>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</si>
  <si>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</si>
  <si>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</si>
  <si>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</si>
  <si>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</si>
  <si>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1"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</si>
  <si>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</si>
  <si>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</si>
  <si>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</si>
  <si>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</si>
  <si>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</si>
  <si>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</si>
  <si>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</si>
  <si>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</si>
  <si>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</si>
  <si>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</si>
  <si>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</si>
  <si>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</si>
  <si>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</si>
  <si>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</si>
  <si>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</si>
  <si>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</si>
  <si>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</si>
  <si>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</si>
  <si>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</si>
  <si>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</si>
  <si>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</si>
  <si>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</si>
  <si>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</si>
  <si>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</si>
  <si>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</si>
  <si>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</si>
  <si>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</si>
  <si>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</si>
  <si>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</si>
  <si>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</si>
  <si>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</si>
  <si>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</si>
  <si>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</si>
  <si>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</si>
  <si>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</si>
  <si>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</si>
  <si>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</si>
  <si>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</si>
  <si>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</si>
  <si>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</si>
  <si>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</si>
  <si>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</si>
  <si>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</si>
  <si>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</si>
  <si>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</si>
  <si>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</si>
  <si>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</si>
  <si>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</si>
  <si>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</si>
  <si>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</si>
  <si>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</si>
  <si>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</si>
  <si>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</si>
  <si>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</si>
  <si>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</si>
  <si>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</si>
  <si>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</si>
  <si>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</si>
  <si>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</si>
  <si>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</si>
  <si>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</si>
  <si>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</si>
  <si>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</si>
  <si>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</si>
  <si>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</si>
  <si>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</si>
  <si>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</si>
  <si>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</si>
  <si>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</si>
  <si>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</si>
  <si>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</si>
  <si>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</si>
  <si>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</si>
  <si>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</si>
  <si>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</si>
  <si>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</si>
  <si>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</si>
  <si>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</si>
  <si>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</si>
  <si>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</si>
  <si>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</si>
  <si>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</si>
  <si>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</si>
  <si>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</si>
  <si>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</si>
  <si>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</si>
  <si>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</si>
  <si>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</si>
  <si>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</si>
  <si>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</si>
  <si>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</si>
  <si>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</si>
  <si>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</si>
  <si>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</si>
  <si>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</si>
  <si>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</si>
  <si>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</si>
  <si>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</si>
  <si>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</si>
  <si>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</si>
  <si>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</si>
  <si>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</si>
  <si>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</si>
  <si>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</si>
  <si>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</si>
  <si>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</si>
  <si>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</si>
  <si>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</si>
  <si>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</si>
  <si>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</si>
  <si>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</si>
  <si>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</si>
  <si>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</si>
  <si>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</si>
  <si>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</si>
  <si>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</si>
  <si>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</si>
  <si>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</si>
  <si>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</si>
  <si>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</si>
  <si>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</si>
  <si>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</si>
  <si>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</si>
  <si>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</si>
  <si>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</si>
  <si>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</si>
  <si>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</si>
  <si>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</si>
  <si>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</si>
  <si>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</si>
  <si>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</si>
  <si>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</si>
  <si>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</si>
  <si>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</si>
  <si>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</si>
  <si>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</si>
  <si>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</si>
  <si>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</si>
  <si>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</si>
  <si>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</si>
  <si>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</si>
  <si>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</si>
  <si>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</si>
  <si>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</si>
  <si>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</si>
  <si>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</si>
  <si>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</si>
  <si>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</si>
  <si>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</si>
  <si>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</si>
  <si>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</si>
  <si>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</si>
  <si>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</si>
  <si>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</si>
  <si>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</si>
  <si>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</si>
  <si>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</si>
  <si>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</si>
  <si>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</si>
  <si>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</si>
  <si>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</si>
  <si>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</si>
  <si>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</si>
  <si>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</si>
  <si>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</si>
  <si>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</si>
  <si>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</si>
  <si>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</si>
  <si>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</si>
  <si>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</si>
  <si>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</si>
  <si>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</si>
  <si>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</si>
  <si>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</si>
  <si>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</si>
  <si>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</si>
  <si>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</si>
  <si>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</si>
  <si>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</si>
  <si>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</si>
  <si>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</si>
  <si>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</si>
  <si>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</si>
  <si>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</si>
  <si>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</si>
  <si>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</si>
  <si>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</si>
  <si>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</si>
  <si>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</si>
  <si>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</si>
  <si>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</si>
  <si>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</si>
  <si>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</si>
  <si>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</si>
  <si>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</si>
  <si>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</si>
  <si>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</si>
  <si>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</si>
  <si>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</si>
  <si>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</si>
  <si>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</si>
  <si>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</si>
  <si>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</si>
  <si>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</si>
  <si>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</si>
  <si>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</si>
  <si>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</si>
  <si>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</si>
  <si>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</si>
  <si>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</si>
  <si>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</si>
  <si>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</si>
  <si>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</si>
  <si>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</si>
  <si>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</si>
  <si>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</si>
  <si>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</si>
  <si>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</si>
  <si>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</si>
  <si>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</si>
  <si>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</si>
  <si>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</si>
  <si>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</si>
  <si>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</si>
  <si>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</si>
  <si>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</si>
  <si>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</si>
  <si>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</si>
  <si>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</si>
  <si>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</si>
  <si>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</si>
  <si>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</si>
  <si>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</si>
  <si>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</si>
  <si>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</si>
  <si>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</si>
  <si>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</si>
  <si>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</si>
  <si>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</si>
  <si>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</si>
  <si>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</si>
  <si>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</si>
  <si>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</si>
  <si>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</si>
  <si>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</si>
  <si>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</si>
  <si>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</si>
  <si>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</si>
  <si>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</si>
  <si>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</si>
  <si>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</si>
  <si>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</si>
  <si>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</si>
  <si>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</si>
  <si>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</si>
  <si>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</si>
  <si>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</si>
  <si>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</si>
  <si>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</si>
  <si>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</si>
  <si>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</si>
  <si>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</si>
  <si>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</si>
  <si>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</si>
  <si>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</si>
  <si>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</si>
  <si>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</si>
  <si>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</si>
  <si>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</si>
  <si>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</si>
  <si>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</si>
  <si>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</si>
  <si>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</si>
  <si>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</si>
  <si>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</si>
  <si>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</si>
  <si>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</si>
  <si>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</si>
  <si>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</si>
  <si>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</si>
  <si>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</si>
  <si>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</si>
  <si>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</si>
  <si>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</si>
  <si>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</si>
  <si>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</si>
  <si>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</si>
  <si>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</si>
  <si>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</si>
  <si>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</si>
  <si>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</si>
  <si>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</si>
  <si>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</si>
  <si>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</si>
  <si>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</si>
  <si>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</si>
  <si>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</si>
  <si>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</si>
  <si>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</si>
  <si>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</si>
  <si>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</si>
  <si>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</si>
  <si>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</si>
  <si>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</si>
  <si>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</si>
  <si>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</si>
  <si>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</si>
  <si>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</si>
  <si>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</si>
  <si>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</si>
  <si>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</si>
  <si>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</si>
  <si>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</si>
  <si>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</si>
  <si>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</si>
  <si>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</si>
  <si>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</si>
  <si>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</si>
  <si>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</si>
  <si>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</si>
  <si>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</si>
  <si>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</si>
  <si>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</si>
  <si>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</si>
  <si>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</si>
  <si>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</si>
  <si>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</si>
  <si>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</si>
  <si>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</si>
  <si>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</si>
  <si>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</si>
  <si>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</si>
  <si>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</si>
  <si>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</si>
  <si>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</si>
  <si>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</si>
  <si>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</si>
  <si>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</si>
  <si>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</si>
  <si>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</si>
  <si>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</si>
  <si>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</si>
  <si>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</si>
  <si>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</si>
  <si>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</si>
  <si>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</si>
  <si>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</si>
  <si>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</si>
  <si>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</si>
  <si>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</si>
  <si>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</si>
  <si>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</si>
  <si>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</si>
  <si>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</si>
  <si>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</si>
  <si>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</si>
  <si>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</si>
  <si>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</si>
  <si>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</si>
  <si>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</si>
  <si>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</si>
  <si>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</si>
  <si>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</si>
  <si>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</si>
  <si>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</si>
  <si>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</si>
  <si>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</si>
  <si>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</si>
  <si>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</si>
  <si>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</si>
  <si>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</si>
  <si>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</si>
  <si>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</si>
  <si>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</si>
  <si>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</si>
  <si>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</si>
  <si>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</si>
  <si>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</si>
  <si>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</si>
  <si>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</si>
  <si>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</si>
  <si>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</si>
  <si>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</si>
  <si>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</si>
  <si>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</si>
  <si>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</si>
  <si>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</si>
  <si>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</si>
  <si>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</si>
  <si>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</si>
  <si>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</si>
  <si>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</si>
  <si>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</si>
  <si>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</si>
  <si>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</si>
  <si>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</si>
  <si>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</si>
  <si>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</si>
  <si>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</si>
  <si>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</si>
  <si>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</si>
  <si>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</si>
  <si>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</si>
  <si>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</si>
  <si>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</si>
  <si>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</si>
  <si>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</si>
  <si>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</si>
  <si>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</si>
  <si>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</si>
  <si>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</si>
  <si>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</si>
  <si>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</si>
  <si>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</si>
  <si>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</si>
  <si>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</si>
  <si>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</si>
  <si>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</si>
  <si>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</si>
  <si>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</si>
  <si>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</si>
  <si>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</si>
  <si>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</si>
  <si>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</si>
  <si>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</si>
  <si>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</si>
  <si>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</si>
  <si>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</si>
  <si>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</si>
  <si>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</si>
  <si>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</si>
  <si>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</si>
  <si>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</si>
  <si>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</si>
  <si>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</si>
  <si>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</si>
  <si>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</si>
  <si>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</si>
  <si>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</si>
  <si>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</si>
  <si>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</si>
  <si>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</si>
  <si>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</si>
  <si>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</si>
  <si>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</si>
  <si>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</si>
  <si>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</si>
  <si>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</si>
  <si>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</si>
  <si>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</si>
  <si>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</si>
  <si>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</si>
  <si>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</si>
  <si>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</si>
  <si>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</si>
  <si>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</si>
  <si>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</si>
  <si>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</si>
  <si>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</si>
  <si>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</si>
  <si>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</si>
  <si>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</si>
  <si>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</si>
  <si>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</si>
  <si>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</si>
  <si>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</si>
  <si>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</si>
  <si>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</si>
  <si>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</si>
  <si>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</si>
  <si>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</si>
  <si>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</si>
  <si>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</si>
  <si>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</si>
  <si>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</si>
  <si>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</si>
  <si>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</si>
  <si>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</si>
  <si>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</si>
  <si>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</si>
  <si>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</si>
  <si>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</si>
  <si>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</si>
  <si>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</si>
  <si>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</si>
  <si>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</si>
  <si>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</si>
  <si>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</si>
  <si>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</si>
  <si>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</si>
  <si>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</si>
  <si>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</si>
  <si>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</si>
  <si>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</si>
  <si>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</si>
  <si>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</si>
  <si>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</si>
  <si>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</si>
  <si>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</si>
  <si>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</si>
  <si>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</si>
  <si>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</si>
  <si>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</si>
  <si>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</si>
  <si>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</si>
  <si>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</si>
  <si>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</si>
  <si>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</si>
  <si>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</si>
  <si>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</si>
  <si>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</si>
  <si>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</si>
  <si>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</si>
  <si>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</si>
  <si>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</si>
  <si>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</si>
  <si>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</si>
  <si>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</si>
  <si>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</si>
  <si>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</si>
  <si>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</si>
  <si>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</si>
  <si>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</si>
  <si>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</si>
  <si>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</si>
  <si>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</si>
  <si>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</si>
  <si>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</si>
  <si>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</si>
  <si>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</si>
  <si>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</si>
  <si>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</si>
  <si>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</si>
  <si>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</si>
  <si>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</si>
  <si>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</si>
  <si>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</si>
  <si>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</si>
  <si>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</si>
  <si>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</si>
  <si>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</si>
  <si>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</si>
  <si>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</si>
  <si>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</si>
  <si>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</si>
  <si>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</si>
  <si>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</si>
  <si>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</si>
  <si>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</si>
  <si>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</si>
  <si>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</si>
  <si>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</si>
  <si>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</si>
  <si>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</si>
  <si>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</si>
  <si>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</si>
  <si>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</si>
  <si>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</si>
  <si>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</si>
  <si>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</si>
  <si>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</si>
  <si>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</si>
  <si>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</si>
  <si>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</si>
  <si>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</si>
  <si>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</si>
  <si>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</si>
  <si>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</si>
  <si>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</si>
  <si>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</si>
  <si>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</si>
  <si>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</si>
  <si>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</si>
  <si>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</si>
  <si>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</si>
  <si>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</si>
  <si>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</si>
  <si>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</si>
  <si>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</si>
  <si>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</si>
  <si>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</si>
  <si>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</si>
  <si>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</si>
  <si>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</si>
  <si>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</si>
  <si>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</si>
  <si>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</si>
  <si>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</si>
  <si>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</si>
  <si>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</si>
  <si>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</si>
  <si>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</si>
  <si>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</si>
  <si>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</si>
  <si>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</si>
  <si>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</si>
  <si>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</si>
  <si>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</si>
  <si>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</si>
  <si>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</si>
  <si>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</si>
  <si>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</si>
  <si>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</si>
  <si>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</si>
  <si>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</si>
  <si>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</si>
  <si>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</si>
  <si>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</si>
  <si>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</si>
  <si>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</si>
  <si>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</si>
  <si>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</si>
  <si>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</si>
  <si>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</si>
  <si>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</si>
  <si>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</si>
  <si>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</si>
  <si>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</si>
  <si>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</si>
  <si>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</si>
  <si>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</si>
  <si>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</si>
  <si>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</si>
  <si>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</si>
  <si>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</si>
  <si>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</si>
  <si>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</si>
  <si>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</si>
  <si>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</si>
  <si>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</si>
  <si>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</si>
  <si>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</si>
  <si>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</si>
  <si>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</si>
  <si>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</si>
  <si>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</si>
  <si>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</si>
  <si>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</si>
  <si>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</si>
  <si>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</si>
  <si>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</si>
  <si>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</si>
  <si>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</si>
  <si>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</si>
  <si>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</si>
  <si>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</si>
  <si>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</si>
  <si>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</si>
  <si>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</si>
  <si>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</si>
  <si>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</si>
  <si>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</si>
  <si>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</si>
  <si>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</si>
  <si>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</si>
  <si>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</si>
  <si>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</si>
  <si>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</si>
  <si>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</si>
  <si>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</si>
  <si>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</si>
  <si>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</si>
  <si>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</si>
  <si>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</si>
  <si>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</si>
  <si>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</si>
  <si>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</si>
  <si>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</si>
  <si>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</si>
  <si>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</si>
  <si>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</si>
  <si>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</si>
  <si>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</si>
  <si>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</si>
  <si>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</si>
  <si>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</si>
  <si>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</si>
  <si>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</si>
  <si>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</si>
  <si>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</si>
  <si>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</si>
  <si>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</si>
  <si>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</si>
  <si>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</si>
  <si>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</si>
  <si>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</si>
  <si>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</si>
  <si>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</si>
  <si>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</si>
  <si>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</si>
  <si>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</si>
  <si>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</si>
  <si>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</si>
  <si>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</si>
  <si>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</si>
  <si>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</si>
  <si>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</si>
  <si>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</si>
  <si>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</si>
  <si>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</si>
  <si>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</si>
  <si>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</si>
  <si>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</si>
  <si>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</si>
  <si>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</si>
  <si>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</si>
  <si>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</si>
  <si>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</si>
  <si>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</si>
  <si>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</si>
  <si>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</si>
  <si>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</si>
  <si>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</si>
  <si>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</si>
  <si>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</si>
  <si>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</si>
  <si>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</si>
  <si>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</si>
  <si>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</si>
  <si>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</si>
  <si>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</si>
  <si>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</si>
  <si>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</si>
  <si>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</si>
  <si>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</si>
  <si>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</si>
  <si>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</si>
  <si>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</si>
  <si>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</si>
  <si>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</si>
  <si>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</si>
  <si>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</si>
  <si>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</si>
  <si>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</si>
  <si>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</si>
  <si>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</si>
  <si>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</si>
  <si>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</si>
  <si>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</si>
  <si>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</si>
  <si>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</si>
  <si>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</si>
  <si>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</si>
  <si>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</si>
  <si>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</si>
  <si>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</si>
  <si>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</si>
  <si>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</si>
  <si>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</si>
  <si>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</si>
  <si>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</si>
  <si>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</si>
  <si>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</si>
  <si>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</si>
  <si>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</si>
  <si>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</si>
  <si>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</si>
  <si>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</si>
  <si>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</si>
  <si>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</si>
  <si>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</si>
  <si>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</si>
  <si>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</si>
  <si>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</si>
  <si>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</si>
  <si>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</si>
  <si>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</si>
  <si>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</si>
  <si>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</si>
  <si>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</si>
  <si>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</si>
  <si>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</si>
  <si>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</si>
  <si>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</si>
  <si>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</si>
  <si>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</si>
  <si>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</si>
  <si>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</si>
  <si>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</si>
  <si>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</si>
  <si>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</si>
  <si>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</si>
  <si>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</si>
  <si>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</si>
  <si>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</si>
  <si>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</si>
  <si>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</si>
  <si>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</si>
  <si>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</si>
  <si>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</si>
  <si>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</si>
  <si>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</si>
  <si>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</si>
  <si>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</si>
  <si>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</si>
  <si>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</si>
  <si>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</si>
  <si>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</si>
  <si>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</si>
  <si>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</si>
  <si>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</si>
  <si>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</si>
  <si>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</si>
  <si>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</si>
  <si>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</si>
  <si>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</si>
  <si>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</si>
  <si>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</si>
  <si>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</si>
  <si>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</si>
  <si>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141"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</si>
  <si>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</si>
  <si>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</si>
  <si>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</si>
  <si>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</si>
  <si>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</si>
  <si>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</si>
  <si>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</si>
  <si>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</si>
  <si>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</si>
  <si>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</si>
  <si>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</si>
  <si>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</si>
  <si>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</si>
  <si>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</si>
  <si>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</si>
  <si>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</si>
  <si>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</si>
  <si>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</si>
  <si>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</si>
  <si>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</si>
  <si>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</si>
  <si>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</si>
  <si>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</si>
  <si>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5" type="noConversion"/>
  </si>
  <si>
    <t>商业</t>
    <phoneticPr fontId="33" type="noConversion"/>
  </si>
  <si>
    <t>钢混</t>
    <phoneticPr fontId="33" type="noConversion"/>
  </si>
  <si>
    <t>精装修</t>
    <phoneticPr fontId="33" type="noConversion"/>
  </si>
  <si>
    <t>商贸城</t>
  </si>
  <si>
    <t>商贸城</t>
    <phoneticPr fontId="33" type="noConversion"/>
  </si>
  <si>
    <t>住宅底商</t>
  </si>
  <si>
    <t>住宅底商</t>
    <phoneticPr fontId="33" type="noConversion"/>
  </si>
  <si>
    <t>1层</t>
    <phoneticPr fontId="27"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</si>
  <si>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</si>
  <si>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</si>
  <si>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</si>
  <si>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</si>
  <si>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</si>
  <si>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</si>
  <si>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</si>
  <si>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</si>
  <si>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</si>
  <si>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</si>
  <si>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</si>
  <si>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</si>
  <si>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</si>
  <si>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</si>
  <si>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</si>
  <si>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</si>
  <si>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</si>
  <si>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</si>
  <si>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</si>
  <si>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</si>
  <si>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</si>
  <si>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</si>
  <si>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</si>
  <si>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</si>
  <si>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</si>
  <si>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</si>
  <si>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</si>
  <si>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</si>
  <si>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</si>
  <si>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</si>
  <si>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</si>
  <si>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</si>
  <si>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</si>
  <si>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</si>
  <si>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</si>
  <si>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</si>
  <si>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</si>
  <si>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</si>
  <si>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</si>
  <si>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</si>
  <si>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</si>
  <si>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</si>
  <si>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</si>
  <si>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</si>
  <si>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</si>
  <si>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</si>
  <si>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3" type="noConversion"/>
  </si>
  <si>
    <t>收益法</t>
    <phoneticPr fontId="18"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</si>
  <si>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</si>
  <si>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</si>
  <si>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</si>
  <si>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</si>
  <si>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</si>
  <si>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</si>
  <si>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</si>
  <si>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</si>
  <si>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</si>
  <si>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</si>
  <si>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</si>
  <si>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</si>
  <si>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</si>
  <si>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</si>
  <si>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</si>
  <si>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</si>
  <si>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</si>
  <si>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</si>
  <si>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</si>
  <si>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</si>
  <si>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</si>
  <si>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</si>
  <si>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</si>
  <si>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</si>
  <si>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</si>
  <si>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</si>
  <si>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</si>
  <si>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</si>
  <si>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</si>
  <si>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</si>
  <si>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</si>
  <si>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</si>
  <si>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</si>
  <si>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</si>
  <si>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</si>
  <si>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</si>
  <si>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</si>
  <si>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</si>
  <si>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</si>
  <si>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</si>
  <si>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</si>
  <si>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</si>
  <si>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</si>
  <si>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</si>
  <si>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</si>
  <si>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</si>
  <si>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</si>
  <si>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</si>
  <si>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</si>
  <si>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</si>
  <si>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</si>
  <si>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</si>
  <si>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</si>
  <si>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</si>
  <si>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</si>
  <si>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</si>
  <si>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</si>
  <si>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</si>
  <si>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</si>
  <si>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</si>
  <si>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</si>
  <si>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</si>
  <si>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</si>
  <si>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</si>
  <si>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</si>
  <si>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</si>
  <si>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</si>
  <si>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</si>
  <si>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</si>
  <si>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</si>
  <si>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</si>
  <si>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</si>
  <si>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</si>
  <si>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</si>
  <si>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</si>
  <si>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</si>
  <si>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</si>
  <si>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</si>
  <si>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</si>
  <si>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</si>
  <si>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</si>
  <si>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</si>
  <si>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</si>
  <si>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</si>
  <si>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</si>
  <si>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</si>
  <si>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</si>
  <si>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1" type="noConversion"/>
  </si>
  <si>
    <t>海南省</t>
    <phoneticPr fontId="8" type="noConversion"/>
  </si>
  <si>
    <t>居住项目</t>
  </si>
  <si>
    <t>燃气</t>
  </si>
  <si>
    <t>住宅</t>
  </si>
  <si>
    <t>别墅</t>
  </si>
  <si>
    <t>别墅</t>
    <phoneticPr fontId="9" type="noConversion"/>
  </si>
  <si>
    <t>住宅</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</si>
  <si>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</si>
  <si>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</si>
  <si>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</si>
  <si>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</si>
  <si>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</si>
  <si>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</si>
  <si>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</si>
  <si>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六通</t>
    <phoneticPr fontId="27" type="noConversion"/>
  </si>
  <si>
    <t>不动产权证号</t>
    <phoneticPr fontId="141" type="noConversion"/>
  </si>
  <si>
    <t>序号</t>
    <phoneticPr fontId="141" type="noConversion"/>
  </si>
  <si>
    <t>权利人</t>
    <phoneticPr fontId="141" type="noConversion"/>
  </si>
  <si>
    <t>坐落</t>
    <phoneticPr fontId="141" type="noConversion"/>
  </si>
  <si>
    <t>用途</t>
    <phoneticPr fontId="141" type="noConversion"/>
  </si>
  <si>
    <t>建筑面积（㎡）</t>
    <phoneticPr fontId="141" type="noConversion"/>
  </si>
  <si>
    <t>房号</t>
    <phoneticPr fontId="141" type="noConversion"/>
  </si>
  <si>
    <t>房屋结构</t>
    <phoneticPr fontId="141" type="noConversion"/>
  </si>
  <si>
    <t>房屋总层数</t>
    <phoneticPr fontId="141" type="noConversion"/>
  </si>
  <si>
    <t>房屋竣工时间</t>
    <phoneticPr fontId="141" type="noConversion"/>
  </si>
  <si>
    <t>使用期限</t>
    <phoneticPr fontId="141" type="noConversion"/>
  </si>
  <si>
    <t>分摊土地面积（㎡）</t>
    <phoneticPr fontId="141" type="noConversion"/>
  </si>
  <si>
    <t>共有宗地面积（㎡）</t>
    <phoneticPr fontId="141" type="noConversion"/>
  </si>
  <si>
    <t>海南省政协干部培训中心、海南金石投资有限公司</t>
    <phoneticPr fontId="141" type="noConversion"/>
  </si>
  <si>
    <t>海口市秀英区滨海大道158号琼珠海岸生态度假村暨全国政协（海南）会议培训中心北区项目6号楼</t>
    <phoneticPr fontId="141" type="noConversion"/>
  </si>
  <si>
    <t>琼（2018）海口市不动产权第0078372号</t>
    <phoneticPr fontId="141" type="noConversion"/>
  </si>
  <si>
    <t>住宿餐饮用地/产权式酒店</t>
    <phoneticPr fontId="141" type="noConversion"/>
  </si>
  <si>
    <t>6号楼</t>
    <phoneticPr fontId="141" type="noConversion"/>
  </si>
  <si>
    <t>钢混</t>
    <phoneticPr fontId="141" type="noConversion"/>
  </si>
  <si>
    <t>持证方式</t>
    <phoneticPr fontId="141" type="noConversion"/>
  </si>
  <si>
    <t>共同持证</t>
    <phoneticPr fontId="141" type="noConversion"/>
  </si>
  <si>
    <t>海口市秀英区滨海大道158号琼珠海岸生态度假村暨全国政协（海南）会议培训中心北区项目7号楼</t>
  </si>
  <si>
    <t>7号楼</t>
  </si>
  <si>
    <t>琼（2018）海口市不动产权第0078371号</t>
    <phoneticPr fontId="141" type="noConversion"/>
  </si>
  <si>
    <t>海口市秀英区滨海大道158号琼珠海岸生态度假村暨全国政协（海南）会议培训中心北区项目8号楼</t>
  </si>
  <si>
    <t>琼（2018）海口市不动产权第0078369号</t>
    <phoneticPr fontId="141" type="noConversion"/>
  </si>
  <si>
    <t>8号楼</t>
  </si>
  <si>
    <t>海口市秀英区滨海大道158号琼珠海岸生态度假村暨全国政协（海南）会议培训中心北区项目13号楼</t>
    <phoneticPr fontId="141" type="noConversion"/>
  </si>
  <si>
    <t>13号楼</t>
    <phoneticPr fontId="141" type="noConversion"/>
  </si>
  <si>
    <t>琼（2018）海口市不动产权第0078352号</t>
    <phoneticPr fontId="141" type="noConversion"/>
  </si>
  <si>
    <t>海口市秀英区滨海大道158号琼珠海岸生态度假村暨全国政协（海南）会议培训中心北区项目14号楼</t>
  </si>
  <si>
    <t>14号楼</t>
  </si>
  <si>
    <t>琼（2018）海口市不动产权第0078358号</t>
    <phoneticPr fontId="141" type="noConversion"/>
  </si>
  <si>
    <t>海口市秀英区滨海大道158号琼珠海岸生态度假村暨全国政协（海南）会议培训中心北区项目15号楼</t>
  </si>
  <si>
    <t>琼（2018）海口市不动产权第0078520号</t>
    <phoneticPr fontId="141" type="noConversion"/>
  </si>
  <si>
    <t>15号楼</t>
  </si>
  <si>
    <t>海口市秀英区滨海大道158号琼珠海岸生态度假村暨全国政协（海南）会议培训中心北区项目16号楼</t>
  </si>
  <si>
    <t>琼（2018）海口市不动产权第0078562号</t>
    <phoneticPr fontId="141" type="noConversion"/>
  </si>
  <si>
    <t>16号楼</t>
  </si>
  <si>
    <t>海口市秀英区滨海大道158号琼珠海岸生态度假村暨全国政协（海南）会议培训中心北区项目17号楼</t>
  </si>
  <si>
    <t>琼（2018）海口市不动产权第0078529号</t>
    <phoneticPr fontId="141"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</si>
  <si>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</si>
  <si>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</si>
  <si>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</si>
  <si>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</si>
  <si>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</si>
  <si>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</si>
  <si>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</si>
  <si>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</si>
  <si>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1" type="noConversion"/>
  </si>
  <si>
    <t>20号楼</t>
  </si>
  <si>
    <t>海口市秀英区滨海大道158号琼珠海岸生态度假村暨全国政协（海南）会议培训中心北区项目21号楼</t>
  </si>
  <si>
    <t>琼（2018）海口市不动产权第0078533号</t>
    <phoneticPr fontId="141" type="noConversion"/>
  </si>
  <si>
    <t>21号楼</t>
  </si>
  <si>
    <t>琼（2018）海口市不动产权第0078536号</t>
    <phoneticPr fontId="141" type="noConversion"/>
  </si>
  <si>
    <t>22号楼</t>
  </si>
  <si>
    <t>海口市秀英区滨海大道158号琼珠海岸生态度假村暨全国政协（海南）会议培训中心北区项目25号楼</t>
    <phoneticPr fontId="141" type="noConversion"/>
  </si>
  <si>
    <t>琼（2018）海口市不动产权第0078542号</t>
    <phoneticPr fontId="141" type="noConversion"/>
  </si>
  <si>
    <t>25号楼</t>
    <phoneticPr fontId="141" type="noConversion"/>
  </si>
  <si>
    <t>海口市秀英区滨海大道158号琼珠海岸生态度假村暨全国政协（海南）会议培训中心北区项目26号楼</t>
  </si>
  <si>
    <t>琼（2018）海口市不动产权第0078545号</t>
    <phoneticPr fontId="141" type="noConversion"/>
  </si>
  <si>
    <t>26号楼</t>
  </si>
  <si>
    <t>海口市秀英区滨海大道158号琼珠海岸生态度假村暨全国政协（海南）会议培训中心北区项目27号楼</t>
  </si>
  <si>
    <t>琼（2018）海口市不动产权第0078549号</t>
    <phoneticPr fontId="141" type="noConversion"/>
  </si>
  <si>
    <t>27号楼</t>
  </si>
  <si>
    <t>海口市秀英区滨海大道158号琼珠海岸生态度假村暨全国政协（海南）会议培训中心北区项目28号楼</t>
  </si>
  <si>
    <t>琼（2018）海口市不动产权第0078554号</t>
    <phoneticPr fontId="141" type="noConversion"/>
  </si>
  <si>
    <t>28号楼</t>
  </si>
  <si>
    <t>海口市秀英区滨海大道158号琼珠海岸生态度假村暨全国政协（海南）会议培训中心北区项目29号楼</t>
  </si>
  <si>
    <t>琼（2018）海口市不动产权第0078559号</t>
    <phoneticPr fontId="141" type="noConversion"/>
  </si>
  <si>
    <t>29号楼</t>
  </si>
  <si>
    <t>海口市秀英区滨海大道158号琼珠海岸生态度假村暨全国政协（海南）会议培训中心北区项目30号楼</t>
  </si>
  <si>
    <t>30号楼</t>
  </si>
  <si>
    <t>琼（2018）海口市不动产权第0078389号</t>
    <phoneticPr fontId="141"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</si>
  <si>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</si>
  <si>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</si>
  <si>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</si>
  <si>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</si>
  <si>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</si>
  <si>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</si>
  <si>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</si>
  <si>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</si>
  <si>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</si>
  <si>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</si>
  <si>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</si>
  <si>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</si>
  <si>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1" type="noConversion"/>
  </si>
  <si>
    <t>琼（2018）海口市不动产权第0078386号</t>
    <phoneticPr fontId="141" type="noConversion"/>
  </si>
  <si>
    <t>36号楼</t>
    <phoneticPr fontId="141" type="noConversion"/>
  </si>
  <si>
    <t>合计</t>
    <phoneticPr fontId="141" type="noConversion"/>
  </si>
  <si>
    <t>0078564号</t>
    <phoneticPr fontId="141" type="noConversion"/>
  </si>
  <si>
    <t>0078567号</t>
    <phoneticPr fontId="141" type="noConversion"/>
  </si>
  <si>
    <t>0078538号</t>
    <phoneticPr fontId="141" type="noConversion"/>
  </si>
  <si>
    <t>0078541号</t>
    <phoneticPr fontId="141" type="noConversion"/>
  </si>
  <si>
    <t>0078376号</t>
    <phoneticPr fontId="141" type="noConversion"/>
  </si>
  <si>
    <t>0078366号</t>
    <phoneticPr fontId="141" type="noConversion"/>
  </si>
  <si>
    <t>0078365号</t>
    <phoneticPr fontId="141" type="noConversion"/>
  </si>
  <si>
    <t>0078364号</t>
    <phoneticPr fontId="141" type="noConversion"/>
  </si>
  <si>
    <t>0078361号</t>
    <phoneticPr fontId="141" type="noConversion"/>
  </si>
  <si>
    <t>0078384号</t>
    <phoneticPr fontId="141" type="noConversion"/>
  </si>
  <si>
    <t>0078385号</t>
    <phoneticPr fontId="141" type="noConversion"/>
  </si>
  <si>
    <t>0078388号</t>
    <phoneticPr fontId="141" type="noConversion"/>
  </si>
  <si>
    <t>0078374号</t>
    <phoneticPr fontId="141" type="noConversion"/>
  </si>
  <si>
    <t>0078375号</t>
    <phoneticPr fontId="141" type="noConversion"/>
  </si>
  <si>
    <t>0078378号</t>
    <phoneticPr fontId="141" type="noConversion"/>
  </si>
  <si>
    <t>0078380号</t>
    <phoneticPr fontId="141" type="noConversion"/>
  </si>
  <si>
    <t>0078405号</t>
    <phoneticPr fontId="141" type="noConversion"/>
  </si>
  <si>
    <t>0078383号</t>
    <phoneticPr fontId="141" type="noConversion"/>
  </si>
  <si>
    <t>0078401号</t>
    <phoneticPr fontId="141" type="noConversion"/>
  </si>
  <si>
    <t>0078395号</t>
    <phoneticPr fontId="141" type="noConversion"/>
  </si>
  <si>
    <t>未提供</t>
    <phoneticPr fontId="141"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</si>
  <si>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8" type="noConversion"/>
  </si>
  <si>
    <t>珈宝别院：大面积8套剩3套2排，未售3套 5000万，400平1600万每套，300平1500万每套，两幢酒店式公寓整售给政协5亿，只能全款，单价40000</t>
    <phoneticPr fontId="141" type="noConversion"/>
  </si>
  <si>
    <t>雅居乐：住宅叠拼，下叠550万，带装修，地上2层，地下1层，218平，带小花园；上叠售完；住宅立项，住宅1500装修，15000-17000；loft公寓18000-19000，带装修，5.5米层高；公寓，办公立项，不限购</t>
    <phoneticPr fontId="141" type="noConversion"/>
  </si>
  <si>
    <t>大华：公寓，不限购，平层公寓14000；loft公寓19000，共8层，毛坯，不可看海</t>
    <phoneticPr fontId="141" type="noConversion"/>
  </si>
  <si>
    <t>云城投：毛坯17300，毛坯、70年，19户、3梯、30层，公寓17300，酒店式公寓70年</t>
    <phoneticPr fontId="141" type="noConversion"/>
  </si>
  <si>
    <t>鲁能：不限购，loft公寓，可看海26000-29000毛坯，不可看海24000毛坯，6.6米面宽，套内42，5.1米层高，别墅2017年售完，5万单价</t>
    <phoneticPr fontId="141" type="noConversion"/>
  </si>
  <si>
    <t>悦海一品：限购，4万毛坯，共31套，已售15套，全款客户</t>
    <phoneticPr fontId="141" type="noConversion"/>
  </si>
  <si>
    <t>晨晖：不限购，平层公寓14000-17000，公摊22%，毛坯</t>
    <phoneticPr fontId="141"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</si>
  <si>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</si>
  <si>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</si>
  <si>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</si>
  <si>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</si>
  <si>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</si>
  <si>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</si>
  <si>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</si>
  <si>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</si>
  <si>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</si>
  <si>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</si>
  <si>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</si>
  <si>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</si>
  <si>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</si>
  <si>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</si>
  <si>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</si>
  <si>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</si>
  <si>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</si>
  <si>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</si>
  <si>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</si>
  <si>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</si>
  <si>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</si>
  <si>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</si>
  <si>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</si>
  <si>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</si>
  <si>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</si>
  <si>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</si>
  <si>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</si>
  <si>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</si>
  <si>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</si>
  <si>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</si>
  <si>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</si>
  <si>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</si>
  <si>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</si>
  <si>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</si>
  <si>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</si>
  <si>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</si>
  <si>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</si>
  <si>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</si>
  <si>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</si>
  <si>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</si>
  <si>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</si>
  <si>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</si>
  <si>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</si>
  <si>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</si>
  <si>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</si>
  <si>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</si>
  <si>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</si>
  <si>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</si>
  <si>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</si>
  <si>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</si>
  <si>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</si>
  <si>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</si>
  <si>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</si>
  <si>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</si>
  <si>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</si>
  <si>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</si>
  <si>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</si>
  <si>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</si>
  <si>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</si>
  <si>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</si>
  <si>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</si>
  <si>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</si>
  <si>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</si>
  <si>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</si>
  <si>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</si>
  <si>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</si>
  <si>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</si>
  <si>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</si>
  <si>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</si>
  <si>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</si>
  <si>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</si>
  <si>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</si>
  <si>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</si>
  <si>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</si>
  <si>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</si>
  <si>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</si>
  <si>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</si>
  <si>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</si>
  <si>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</si>
  <si>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</si>
  <si>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</si>
  <si>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</si>
  <si>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</si>
  <si>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</si>
  <si>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</si>
  <si>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</si>
  <si>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</si>
  <si>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</si>
  <si>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</si>
  <si>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</si>
  <si>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</si>
  <si>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</si>
  <si>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</si>
  <si>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</si>
  <si>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</si>
  <si>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</si>
  <si>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</si>
  <si>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</si>
  <si>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</si>
  <si>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</si>
  <si>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</si>
  <si>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</si>
  <si>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</si>
  <si>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</si>
  <si>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</si>
  <si>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</si>
  <si>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</si>
  <si>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</si>
  <si>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</si>
  <si>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</si>
  <si>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</si>
  <si>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</si>
  <si>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</si>
  <si>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</si>
  <si>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</si>
  <si>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</si>
  <si>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</si>
  <si>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</si>
  <si>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</si>
  <si>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</si>
  <si>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</si>
  <si>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</si>
  <si>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</si>
  <si>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</si>
  <si>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</si>
  <si>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</si>
  <si>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</si>
  <si>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</si>
  <si>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</si>
  <si>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</si>
  <si>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</si>
  <si>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</si>
  <si>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</si>
  <si>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</si>
  <si>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</si>
  <si>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</si>
  <si>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</si>
  <si>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</si>
  <si>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</si>
  <si>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</si>
  <si>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</si>
  <si>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</si>
  <si>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</si>
  <si>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</si>
  <si>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</si>
  <si>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</si>
  <si>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</si>
  <si>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</si>
  <si>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</si>
  <si>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</si>
  <si>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</si>
  <si>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</si>
  <si>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</si>
  <si>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</si>
  <si>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</si>
  <si>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</si>
  <si>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</si>
  <si>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</si>
  <si>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</si>
  <si>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</si>
  <si>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</si>
  <si>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</si>
  <si>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</si>
  <si>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</si>
  <si>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</si>
  <si>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</si>
  <si>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</si>
  <si>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</si>
  <si>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</si>
  <si>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</si>
  <si>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</si>
  <si>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</si>
  <si>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</si>
  <si>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</si>
  <si>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</si>
  <si>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</si>
  <si>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</si>
  <si>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</si>
  <si>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</si>
  <si>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</si>
  <si>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</si>
  <si>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</si>
  <si>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</si>
  <si>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</si>
  <si>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</si>
  <si>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</si>
  <si>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</si>
  <si>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</si>
  <si>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</si>
  <si>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</si>
  <si>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</si>
  <si>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</si>
  <si>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</si>
  <si>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</si>
  <si>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</si>
  <si>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</si>
  <si>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</si>
  <si>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</si>
  <si>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</si>
  <si>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</si>
  <si>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</si>
  <si>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</si>
  <si>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</si>
  <si>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</si>
  <si>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</si>
  <si>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</si>
  <si>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</si>
  <si>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</si>
  <si>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</si>
  <si>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</si>
  <si>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</si>
  <si>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</si>
  <si>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</si>
  <si>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</si>
  <si>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</si>
  <si>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</si>
  <si>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3" type="noConversion"/>
  </si>
  <si>
    <t>较合适</t>
  </si>
  <si>
    <t>较合适</t>
    <phoneticPr fontId="33" type="noConversion"/>
  </si>
  <si>
    <t>六通</t>
  </si>
  <si>
    <t>六通</t>
    <phoneticPr fontId="33" type="noConversion"/>
  </si>
  <si>
    <t>五通</t>
    <phoneticPr fontId="33" type="noConversion"/>
  </si>
  <si>
    <t>较好</t>
  </si>
  <si>
    <t>较好</t>
    <phoneticPr fontId="33" type="noConversion"/>
  </si>
  <si>
    <t>一般</t>
  </si>
  <si>
    <t>较差</t>
  </si>
  <si>
    <t>http://map.sogou.com/t/zDsHUl</t>
    <phoneticPr fontId="141" type="noConversion"/>
  </si>
  <si>
    <t>30-40（含）</t>
  </si>
  <si>
    <t>高档</t>
  </si>
  <si>
    <t>精装修</t>
  </si>
  <si>
    <t>专业</t>
  </si>
  <si>
    <t>毛坯</t>
  </si>
  <si>
    <t>合同出让金</t>
    <phoneticPr fontId="141" type="noConversion"/>
  </si>
  <si>
    <t>票据</t>
    <phoneticPr fontId="141" type="noConversion"/>
  </si>
  <si>
    <t>契税</t>
    <phoneticPr fontId="141"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</si>
  <si>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1" type="noConversion"/>
  </si>
  <si>
    <t>商业</t>
    <phoneticPr fontId="27" type="noConversion"/>
  </si>
  <si>
    <t>4层（地上3层，地下1层）</t>
    <phoneticPr fontId="141" type="noConversion"/>
  </si>
  <si>
    <t>备注</t>
    <phoneticPr fontId="141" type="noConversion"/>
  </si>
  <si>
    <t>地下房屋用途为配套储藏室，地下土地用途为构筑物，土地年限暂无</t>
    <phoneticPr fontId="141" type="noConversion"/>
  </si>
  <si>
    <t>地上建筑面积（㎡）</t>
    <phoneticPr fontId="141" type="noConversion"/>
  </si>
  <si>
    <t>地下建筑面积（㎡）</t>
    <phoneticPr fontId="141" type="noConversion"/>
  </si>
  <si>
    <t>10号楼</t>
    <phoneticPr fontId="141" type="noConversion"/>
  </si>
  <si>
    <t>琼（2018）海口市不动产权第0078365号</t>
    <phoneticPr fontId="141" type="noConversion"/>
  </si>
  <si>
    <t>海口市秀英区滨海大道158号琼珠海岸生态度假村暨全国政协（海南）会议培训中心北区项目10号楼</t>
    <phoneticPr fontId="141" type="noConversion"/>
  </si>
  <si>
    <t>23号楼</t>
  </si>
  <si>
    <t>24号楼</t>
  </si>
  <si>
    <t>海口市秀英区滨海大道158号琼珠海岸生态度假村暨全国政协（海南）会议培训中心北区项目23号楼</t>
    <phoneticPr fontId="141" type="noConversion"/>
  </si>
  <si>
    <t>海口市秀英区滨海大道158号琼珠海岸生态度假村暨全国政协（海南）会议培训中心北区项目24号楼</t>
    <phoneticPr fontId="141" type="noConversion"/>
  </si>
  <si>
    <t>琼（2018）海口市不动产权第0078538号</t>
    <phoneticPr fontId="141" type="noConversion"/>
  </si>
  <si>
    <t>琼（2018）海口市不动产权第0078541号</t>
    <phoneticPr fontId="141" type="noConversion"/>
  </si>
  <si>
    <t>38号楼</t>
    <phoneticPr fontId="141" type="noConversion"/>
  </si>
  <si>
    <t>海口市秀英区滨海大道158号琼珠海岸生态度假村暨全国政协（海南）会议培训中心北区项目38号楼</t>
    <phoneticPr fontId="141" type="noConversion"/>
  </si>
  <si>
    <t>琼（2018）海口市不动产权第0078384号</t>
    <phoneticPr fontId="141" type="noConversion"/>
  </si>
  <si>
    <t>39号楼</t>
  </si>
  <si>
    <t>40号楼</t>
  </si>
  <si>
    <t>琼（2018）海口市不动产权第0078564号</t>
    <phoneticPr fontId="141" type="noConversion"/>
  </si>
  <si>
    <t>41号楼</t>
  </si>
  <si>
    <t>42号楼</t>
  </si>
  <si>
    <t>琼（2018）海口市不动产权第0078383号</t>
    <phoneticPr fontId="141"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</si>
  <si>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</si>
  <si>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</si>
  <si>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</si>
  <si>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</si>
  <si>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1" type="noConversion"/>
  </si>
  <si>
    <t>琼（2018）海口市不动产权第0078378号</t>
    <phoneticPr fontId="141" type="noConversion"/>
  </si>
  <si>
    <t>44号楼</t>
    <phoneticPr fontId="141" type="noConversion"/>
  </si>
  <si>
    <t>45号楼</t>
    <phoneticPr fontId="141" type="noConversion"/>
  </si>
  <si>
    <t>海口市秀英区滨海大道158号琼珠海岸生态度假村暨全国政协（海南）会议培训中心北区项目44号楼</t>
    <phoneticPr fontId="141" type="noConversion"/>
  </si>
  <si>
    <t>海口市秀英区滨海大道158号琼珠海岸生态度假村暨全国政协（海南）会议培训中心北区项目45号楼</t>
    <phoneticPr fontId="141" type="noConversion"/>
  </si>
  <si>
    <t>琼（2018）海口市不动产权第0078376号</t>
    <phoneticPr fontId="141" type="noConversion"/>
  </si>
  <si>
    <t>琼（2018）海口市不动产权第0078395号</t>
    <phoneticPr fontId="141" type="noConversion"/>
  </si>
  <si>
    <t>公寓</t>
  </si>
  <si>
    <t>海口市秀英区滨海大道158号琼珠海岸生态度假村暨全国政协（海南）会议培训中心北区项目6号楼等39套别墅用房及产权式酒店180套公寓用房</t>
    <phoneticPr fontId="8" type="noConversion"/>
  </si>
  <si>
    <t>核定资产</t>
  </si>
  <si>
    <t>房地产市场价值</t>
  </si>
  <si>
    <t>收益法-别墅</t>
  </si>
  <si>
    <t>收益法-别墅</t>
    <phoneticPr fontId="18" type="noConversion"/>
  </si>
  <si>
    <t>海口</t>
    <phoneticPr fontId="5" type="noConversion"/>
  </si>
  <si>
    <t>多层</t>
    <phoneticPr fontId="5" type="noConversion"/>
  </si>
  <si>
    <t>小高层</t>
    <phoneticPr fontId="5" type="noConversion"/>
  </si>
  <si>
    <t>高层</t>
    <phoneticPr fontId="5" type="noConversion"/>
  </si>
  <si>
    <t>收益法-公寓</t>
    <phoneticPr fontId="18" type="noConversion"/>
  </si>
  <si>
    <t>独栋</t>
  </si>
  <si>
    <t>独栋</t>
    <phoneticPr fontId="27" type="noConversion"/>
  </si>
  <si>
    <t>双拼</t>
    <phoneticPr fontId="27" type="noConversion"/>
  </si>
  <si>
    <t>联排</t>
    <phoneticPr fontId="141" type="noConversion"/>
  </si>
  <si>
    <t>叠拼</t>
    <phoneticPr fontId="141" type="noConversion"/>
  </si>
  <si>
    <t>比较法-别墅</t>
  </si>
  <si>
    <t>比较法-别墅</t>
    <phoneticPr fontId="18" type="noConversion"/>
  </si>
  <si>
    <t>比较法-公寓</t>
    <phoneticPr fontId="18" type="noConversion"/>
  </si>
  <si>
    <t>成本比率</t>
  </si>
  <si>
    <t>总价</t>
  </si>
  <si>
    <t>成本法</t>
  </si>
  <si>
    <t>20-30（含）</t>
  </si>
  <si>
    <t>0-200</t>
    <phoneticPr fontId="141" type="noConversion"/>
  </si>
  <si>
    <t>200-300</t>
    <phoneticPr fontId="141" type="noConversion"/>
  </si>
  <si>
    <t>300-700</t>
    <phoneticPr fontId="141" type="noConversion"/>
  </si>
  <si>
    <t>700-1000</t>
    <phoneticPr fontId="141" type="noConversion"/>
  </si>
  <si>
    <t>http://www.haikou.gov.cn/xxgk/szfbjxxgk/ggtz/201111/t20111107_436843.html</t>
    <phoneticPr fontId="5" type="noConversion"/>
  </si>
  <si>
    <t>《海口市人民政府关于调整海口市城镇土地使用税级距税额的通告》[海府[2011]123号]</t>
    <phoneticPr fontId="5"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</si>
  <si>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5"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</si>
  <si>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5" type="noConversion"/>
  </si>
  <si>
    <t>http://zzgj.haikou.gov.cn/xxgk/zcwj/bmwj/202102/t20210205_1576879.html</t>
    <phoneticPr fontId="5" type="noConversion"/>
  </si>
  <si>
    <t>产权类型为产权式酒店，限购</t>
    <phoneticPr fontId="141" type="noConversion"/>
  </si>
  <si>
    <t>度假区</t>
    <phoneticPr fontId="5" type="noConversion"/>
  </si>
  <si>
    <t>海口市秀英区滨海大道长源路（原豪庭路）1号</t>
    <phoneticPr fontId="5" type="noConversion"/>
  </si>
  <si>
    <t>悦海一品</t>
    <phoneticPr fontId="5" type="noConversion"/>
  </si>
  <si>
    <r>
      <t>445.93</t>
    </r>
    <r>
      <rPr>
        <sz val="11"/>
        <rFont val="宋体"/>
        <family val="3"/>
        <charset val="134"/>
      </rPr>
      <t>㎡</t>
    </r>
    <r>
      <rPr>
        <sz val="11"/>
        <rFont val="Arial"/>
        <family val="2"/>
      </rPr>
      <t>-613.57</t>
    </r>
    <r>
      <rPr>
        <sz val="11"/>
        <rFont val="宋体"/>
        <family val="3"/>
        <charset val="134"/>
      </rPr>
      <t>㎡</t>
    </r>
    <phoneticPr fontId="141" type="noConversion"/>
  </si>
  <si>
    <r>
      <t>100</t>
    </r>
    <r>
      <rPr>
        <sz val="11"/>
        <rFont val="宋体"/>
        <family val="3"/>
        <charset val="134"/>
      </rPr>
      <t>㎡</t>
    </r>
    <r>
      <rPr>
        <sz val="11"/>
        <rFont val="Arial"/>
        <family val="2"/>
      </rPr>
      <t>-200</t>
    </r>
    <r>
      <rPr>
        <sz val="11"/>
        <rFont val="宋体"/>
        <family val="3"/>
        <charset val="134"/>
      </rPr>
      <t>㎡</t>
    </r>
    <phoneticPr fontId="141" type="noConversion"/>
  </si>
  <si>
    <r>
      <t>116.13</t>
    </r>
    <r>
      <rPr>
        <sz val="11"/>
        <rFont val="宋体"/>
        <family val="3"/>
        <charset val="134"/>
      </rPr>
      <t>㎡</t>
    </r>
    <r>
      <rPr>
        <sz val="11"/>
        <rFont val="Arial"/>
        <family val="2"/>
      </rPr>
      <t>-152.48</t>
    </r>
    <r>
      <rPr>
        <sz val="11"/>
        <rFont val="宋体"/>
        <family val="3"/>
        <charset val="134"/>
      </rPr>
      <t>㎡</t>
    </r>
    <phoneticPr fontId="141" type="noConversion"/>
  </si>
  <si>
    <t>地下一层</t>
    <phoneticPr fontId="141" type="noConversion"/>
  </si>
  <si>
    <t>无地下</t>
    <phoneticPr fontId="141" type="noConversion"/>
  </si>
  <si>
    <t>地下层数</t>
    <phoneticPr fontId="141" type="noConversion"/>
  </si>
  <si>
    <t>地下一层</t>
    <phoneticPr fontId="141" type="noConversion"/>
  </si>
  <si>
    <t>地上层数</t>
    <phoneticPr fontId="141" type="noConversion"/>
  </si>
  <si>
    <t>地上3层</t>
    <phoneticPr fontId="141" type="noConversion"/>
  </si>
  <si>
    <t>北区</t>
    <phoneticPr fontId="141" type="noConversion"/>
  </si>
  <si>
    <t>地上建筑面积</t>
    <phoneticPr fontId="141" type="noConversion"/>
  </si>
  <si>
    <t>地下建筑面积</t>
    <phoneticPr fontId="141" type="noConversion"/>
  </si>
  <si>
    <t>南区</t>
    <phoneticPr fontId="141" type="noConversion"/>
  </si>
  <si>
    <t>海南省政协干部培训中心、海南金石投资有限公司</t>
    <phoneticPr fontId="8" type="noConversion"/>
  </si>
  <si>
    <r>
      <t>0-500</t>
    </r>
    <r>
      <rPr>
        <sz val="11"/>
        <color indexed="8"/>
        <rFont val="宋体"/>
        <family val="3"/>
        <charset val="134"/>
      </rPr>
      <t>米</t>
    </r>
    <phoneticPr fontId="27" type="noConversion"/>
  </si>
  <si>
    <r>
      <t>500-1000</t>
    </r>
    <r>
      <rPr>
        <sz val="11"/>
        <color indexed="8"/>
        <rFont val="宋体"/>
        <family val="3"/>
        <charset val="134"/>
      </rPr>
      <t>米</t>
    </r>
    <phoneticPr fontId="27" type="noConversion"/>
  </si>
  <si>
    <r>
      <t>1000-1500</t>
    </r>
    <r>
      <rPr>
        <sz val="11"/>
        <color indexed="8"/>
        <rFont val="宋体"/>
        <family val="3"/>
        <charset val="134"/>
      </rPr>
      <t>米</t>
    </r>
    <phoneticPr fontId="27" type="noConversion"/>
  </si>
  <si>
    <t>临海距离</t>
    <phoneticPr fontId="141" type="noConversion"/>
  </si>
  <si>
    <t>鲁能海蓝福源</t>
    <phoneticPr fontId="5" type="noConversion"/>
  </si>
  <si>
    <r>
      <t>0-500</t>
    </r>
    <r>
      <rPr>
        <sz val="11"/>
        <color indexed="8"/>
        <rFont val="宋体"/>
        <family val="3"/>
        <charset val="134"/>
      </rPr>
      <t>米</t>
    </r>
    <phoneticPr fontId="141" type="noConversion"/>
  </si>
  <si>
    <r>
      <t>0-500</t>
    </r>
    <r>
      <rPr>
        <sz val="11"/>
        <color indexed="8"/>
        <rFont val="宋体"/>
        <family val="3"/>
        <charset val="134"/>
      </rPr>
      <t>米</t>
    </r>
    <phoneticPr fontId="141" type="noConversion"/>
  </si>
  <si>
    <r>
      <t>1500-2000</t>
    </r>
    <r>
      <rPr>
        <sz val="11"/>
        <color indexed="8"/>
        <rFont val="宋体"/>
        <family val="3"/>
        <charset val="134"/>
      </rPr>
      <t>米</t>
    </r>
    <phoneticPr fontId="27" type="noConversion"/>
  </si>
  <si>
    <r>
      <t>2000</t>
    </r>
    <r>
      <rPr>
        <sz val="11"/>
        <color indexed="8"/>
        <rFont val="宋体"/>
        <family val="3"/>
        <charset val="134"/>
      </rPr>
      <t>米以上</t>
    </r>
    <phoneticPr fontId="141" type="noConversion"/>
  </si>
  <si>
    <t>海口市秀英区滨海大道158号琼珠海岸生态度假村暨全国政协（海南）会议培训中心北区项目22号楼</t>
    <phoneticPr fontId="141" type="noConversion"/>
  </si>
  <si>
    <t>分摊土地面积</t>
    <phoneticPr fontId="141" type="noConversion"/>
  </si>
  <si>
    <t>总土地面积</t>
    <phoneticPr fontId="141" type="noConversion"/>
  </si>
  <si>
    <t>总建筑面积</t>
    <phoneticPr fontId="141" type="noConversion"/>
  </si>
  <si>
    <t>北区</t>
    <phoneticPr fontId="141" type="noConversion"/>
  </si>
  <si>
    <t>南区</t>
    <phoneticPr fontId="141" type="noConversion"/>
  </si>
  <si>
    <t>抵押面积</t>
    <phoneticPr fontId="141" type="noConversion"/>
  </si>
  <si>
    <t>快速变现价值（0.8）</t>
    <phoneticPr fontId="141" type="noConversion"/>
  </si>
  <si>
    <t>http://mof.hainan.gov.cn/sczt/0400/202101/c3b2db072a6e47b1a3cdff9d901d82f9.shtml</t>
    <phoneticPr fontId="5" type="noConversion"/>
  </si>
  <si>
    <t>http://mof.hainan.gov.cn/sczt/zwdt/201108/d8d763f1b190423a83497003303c7221.shtml</t>
    <phoneticPr fontId="5" type="noConversion"/>
  </si>
  <si>
    <t>限购</t>
    <phoneticPr fontId="141" type="noConversion"/>
  </si>
  <si>
    <t>限价</t>
    <phoneticPr fontId="141" type="noConversion"/>
  </si>
  <si>
    <t>限售</t>
    <phoneticPr fontId="141" type="noConversion"/>
  </si>
  <si>
    <t>限贷</t>
    <phoneticPr fontId="141" type="noConversion"/>
  </si>
  <si>
    <t>土地供应</t>
    <phoneticPr fontId="141" type="noConversion"/>
  </si>
  <si>
    <t>人才政策</t>
    <phoneticPr fontId="141"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</si>
  <si>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1" type="noConversion"/>
  </si>
  <si>
    <t>优化商品住房限制转让政策。居民家庭购买的商品住房，在购房合同备案满2年并取得不动产权证后可转让。</t>
    <phoneticPr fontId="141"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</si>
  <si>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1"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</si>
  <si>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1"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</si>
  <si>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1"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</si>
  <si>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1" type="noConversion"/>
  </si>
  <si>
    <t>现行</t>
    <phoneticPr fontId="141" type="noConversion"/>
  </si>
  <si>
    <r>
      <t>2</t>
    </r>
    <r>
      <rPr>
        <sz val="11"/>
        <color theme="1"/>
        <rFont val="宋体"/>
        <family val="3"/>
        <charset val="134"/>
        <scheme val="minor"/>
      </rPr>
      <t>024.4.24</t>
    </r>
    <phoneticPr fontId="141" type="noConversion"/>
  </si>
  <si>
    <r>
      <t>2</t>
    </r>
    <r>
      <rPr>
        <sz val="11"/>
        <color theme="1"/>
        <rFont val="宋体"/>
        <family val="3"/>
        <charset val="134"/>
        <scheme val="minor"/>
      </rPr>
      <t>024.3.19</t>
    </r>
    <phoneticPr fontId="141"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</si>
  <si>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1" type="noConversion"/>
  </si>
  <si>
    <t>2024.1.28</t>
    <phoneticPr fontId="141" type="noConversion"/>
  </si>
  <si>
    <t>2024.1.9</t>
    <phoneticPr fontId="141"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</si>
  <si>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1" type="noConversion"/>
  </si>
  <si>
    <t>2023.12.20</t>
    <phoneticPr fontId="141"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</si>
  <si>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1" type="noConversion"/>
  </si>
  <si>
    <t>2023.11.8</t>
    <phoneticPr fontId="141"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</si>
  <si>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1" type="noConversion"/>
  </si>
  <si>
    <t>2023.9.21</t>
    <phoneticPr fontId="141"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</si>
  <si>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1" type="noConversion"/>
  </si>
  <si>
    <t>2023.9.13</t>
    <phoneticPr fontId="141" type="noConversion"/>
  </si>
  <si>
    <t>注册房地产估价师</t>
  </si>
  <si>
    <t>国家税务总局海口市税务局关于公开征求调整海口市城镇土地使用税应税土地等级范围意见的公告 (chinatax.gov.cn)</t>
    <phoneticPr fontId="5" type="noConversion"/>
  </si>
  <si>
    <r>
      <t>1</t>
    </r>
    <r>
      <rPr>
        <sz val="11"/>
        <color theme="1"/>
        <rFont val="宋体"/>
        <family val="3"/>
        <charset val="134"/>
        <scheme val="minor"/>
      </rPr>
      <t>#</t>
    </r>
    <phoneticPr fontId="141"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</si>
  <si>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</si>
  <si>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</si>
  <si>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</si>
  <si>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</si>
  <si>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</si>
  <si>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</si>
  <si>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</si>
  <si>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</si>
  <si>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</si>
  <si>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</si>
  <si>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</si>
  <si>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1" type="noConversion"/>
  </si>
  <si>
    <t>2#</t>
    <phoneticPr fontId="141"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</si>
  <si>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</si>
  <si>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</si>
  <si>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</si>
  <si>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</si>
  <si>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</si>
  <si>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</si>
  <si>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</si>
  <si>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</si>
  <si>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</si>
  <si>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</si>
  <si>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</si>
  <si>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</si>
  <si>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</si>
  <si>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</si>
  <si>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</si>
  <si>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1"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</si>
  <si>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</si>
  <si>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</si>
  <si>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</si>
  <si>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</si>
  <si>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</si>
  <si>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</si>
  <si>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</si>
  <si>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</si>
  <si>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1" type="noConversion"/>
  </si>
  <si>
    <r>
      <t>44#</t>
    </r>
    <r>
      <rPr>
        <sz val="11"/>
        <color theme="1"/>
        <rFont val="宋体"/>
        <family val="3"/>
        <charset val="134"/>
        <scheme val="minor"/>
      </rPr>
      <t/>
    </r>
  </si>
  <si>
    <r>
      <t>45#</t>
    </r>
    <r>
      <rPr>
        <sz val="11"/>
        <color theme="1"/>
        <rFont val="宋体"/>
        <family val="3"/>
        <charset val="134"/>
        <scheme val="minor"/>
      </rPr>
      <t/>
    </r>
  </si>
  <si>
    <t>5#</t>
    <phoneticPr fontId="141" type="noConversion"/>
  </si>
  <si>
    <t>9#</t>
  </si>
  <si>
    <t>合甲寰宇海湾6号</t>
    <phoneticPr fontId="5"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</si>
  <si>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</si>
  <si>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</si>
  <si>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</si>
  <si>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1" type="noConversion"/>
  </si>
  <si>
    <r>
      <t>剩余房源为4</t>
    </r>
    <r>
      <rPr>
        <sz val="11"/>
        <color theme="1"/>
        <rFont val="宋体"/>
        <family val="3"/>
        <charset val="134"/>
        <scheme val="minor"/>
      </rPr>
      <t>00-500平独栋，售价1900-2200</t>
    </r>
    <phoneticPr fontId="141" type="noConversion"/>
  </si>
  <si>
    <t>合甲寰宇海湾6号</t>
    <phoneticPr fontId="141" type="noConversion"/>
  </si>
  <si>
    <t>海口市滨海大道256号</t>
    <phoneticPr fontId="5" type="noConversion"/>
  </si>
  <si>
    <t>非个人房产</t>
  </si>
  <si>
    <t>自行开发建设</t>
  </si>
  <si>
    <t>正常</t>
  </si>
  <si>
    <t>情况3</t>
  </si>
  <si>
    <t>出让金+开发费</t>
  </si>
  <si>
    <r>
      <t>5</t>
    </r>
    <r>
      <rPr>
        <sz val="11"/>
        <color theme="1"/>
        <rFont val="宋体"/>
        <family val="3"/>
        <charset val="134"/>
        <scheme val="minor"/>
      </rPr>
      <t>00-600</t>
    </r>
    <phoneticPr fontId="141" type="noConversion"/>
  </si>
  <si>
    <r>
      <t>4</t>
    </r>
    <r>
      <rPr>
        <sz val="11"/>
        <color theme="1"/>
        <rFont val="宋体"/>
        <family val="3"/>
        <charset val="134"/>
        <scheme val="minor"/>
      </rPr>
      <t>00-500</t>
    </r>
    <phoneticPr fontId="141" type="noConversion"/>
  </si>
  <si>
    <r>
      <t>1900</t>
    </r>
    <r>
      <rPr>
        <sz val="11"/>
        <color theme="1"/>
        <rFont val="宋体"/>
        <family val="3"/>
        <charset val="134"/>
        <scheme val="minor"/>
      </rPr>
      <t>-2200</t>
    </r>
    <phoneticPr fontId="141"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</si>
  <si>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</si>
  <si>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</si>
  <si>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</si>
  <si>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</si>
  <si>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</si>
  <si>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</si>
  <si>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</si>
  <si>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</si>
  <si>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</si>
  <si>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</si>
  <si>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</si>
  <si>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</si>
  <si>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</si>
  <si>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</si>
  <si>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</si>
  <si>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</si>
  <si>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</si>
  <si>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</si>
  <si>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</si>
  <si>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</si>
  <si>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</si>
  <si>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</si>
  <si>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5" type="noConversion"/>
  </si>
  <si>
    <t>累进计费率（‰）</t>
    <phoneticPr fontId="5" type="noConversion"/>
  </si>
  <si>
    <t>累计收费(元)</t>
    <phoneticPr fontId="5" type="noConversion"/>
  </si>
  <si>
    <t>下限</t>
    <phoneticPr fontId="5" type="noConversion"/>
  </si>
  <si>
    <t>上限</t>
    <phoneticPr fontId="5" type="noConversion"/>
  </si>
  <si>
    <t>初步评估值(万)</t>
    <phoneticPr fontId="5" type="noConversion"/>
  </si>
  <si>
    <t>万元</t>
    <phoneticPr fontId="5" type="noConversion"/>
  </si>
  <si>
    <t>评估收费(元)</t>
    <phoneticPr fontId="5" type="noConversion"/>
  </si>
  <si>
    <t>元</t>
    <phoneticPr fontId="5" type="noConversion"/>
  </si>
  <si>
    <t>评估收费约合万元</t>
    <phoneticPr fontId="5" type="noConversion"/>
  </si>
  <si>
    <t>卖方</t>
    <phoneticPr fontId="141" type="noConversion"/>
  </si>
  <si>
    <t>买方</t>
    <phoneticPr fontId="141" type="noConversion"/>
  </si>
  <si>
    <t>以房抵债</t>
    <phoneticPr fontId="141" type="noConversion"/>
  </si>
  <si>
    <t>债务人</t>
    <phoneticPr fontId="141" type="noConversion"/>
  </si>
  <si>
    <t>债权人</t>
    <phoneticPr fontId="141" type="noConversion"/>
  </si>
  <si>
    <t>大修基金</t>
    <phoneticPr fontId="141" type="noConversion"/>
  </si>
  <si>
    <t>房屋交易费</t>
    <phoneticPr fontId="141" type="noConversion"/>
  </si>
  <si>
    <t>建筑面积×费用</t>
    <phoneticPr fontId="141" type="noConversion"/>
  </si>
  <si>
    <t>评估范围清单明细</t>
    <phoneticPr fontId="141"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</si>
  <si>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</si>
  <si>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</si>
  <si>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</si>
  <si>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</si>
  <si>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</si>
  <si>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</si>
  <si>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</si>
  <si>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</si>
  <si>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</si>
  <si>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</si>
  <si>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</si>
  <si>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</si>
  <si>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</si>
  <si>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</si>
  <si>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</si>
  <si>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</si>
  <si>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挂牌</t>
    <phoneticPr fontId="141" type="noConversion"/>
  </si>
  <si>
    <t>市场价值</t>
    <phoneticPr fontId="141" type="noConversion"/>
  </si>
  <si>
    <t>快速变现</t>
    <phoneticPr fontId="141" type="noConversion"/>
  </si>
  <si>
    <r>
      <t>快速变现价值（0.</t>
    </r>
    <r>
      <rPr>
        <sz val="11"/>
        <color theme="1"/>
        <rFont val="宋体"/>
        <family val="2"/>
        <scheme val="minor"/>
      </rPr>
      <t>56</t>
    </r>
    <r>
      <rPr>
        <sz val="11"/>
        <color theme="1"/>
        <rFont val="宋体"/>
        <family val="2"/>
        <scheme val="minor"/>
      </rPr>
      <t>）</t>
    </r>
    <phoneticPr fontId="141" type="noConversion"/>
  </si>
  <si>
    <t>二手房</t>
    <phoneticPr fontId="141" type="noConversion"/>
  </si>
  <si>
    <t>可能存在的其他手续费</t>
    <phoneticPr fontId="141"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</si>
  <si>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1" type="noConversion"/>
  </si>
  <si>
    <t>销售额×税（费）率</t>
    <phoneticPr fontId="141" type="noConversion"/>
  </si>
  <si>
    <r>
      <t>销售额</t>
    </r>
    <r>
      <rPr>
        <sz val="9"/>
        <color theme="1"/>
        <rFont val="Arial"/>
        <family val="2"/>
      </rPr>
      <t>×</t>
    </r>
    <r>
      <rPr>
        <sz val="9"/>
        <color theme="1"/>
        <rFont val="华文细黑"/>
        <family val="3"/>
        <charset val="134"/>
      </rPr>
      <t>税（费）率</t>
    </r>
    <phoneticPr fontId="141" type="noConversion"/>
  </si>
  <si>
    <r>
      <t>7</t>
    </r>
    <r>
      <rPr>
        <sz val="11"/>
        <color theme="1"/>
        <rFont val="宋体"/>
        <family val="3"/>
        <charset val="134"/>
        <scheme val="minor"/>
      </rPr>
      <t>00-100</t>
    </r>
    <phoneticPr fontId="141" type="noConversion"/>
  </si>
  <si>
    <t>3000+</t>
    <phoneticPr fontId="141" type="noConversion"/>
  </si>
  <si>
    <r>
      <t>3</t>
    </r>
    <r>
      <rPr>
        <sz val="11"/>
        <color theme="1"/>
        <rFont val="宋体"/>
        <family val="3"/>
        <charset val="134"/>
        <scheme val="minor"/>
      </rPr>
      <t>500+</t>
    </r>
    <phoneticPr fontId="141" type="noConversion"/>
  </si>
  <si>
    <t>内部维护情况</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</si>
</sst>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8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6">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43" fontId="255" fillId="0" borderId="0" applyFont="0" applyFill="0" applyBorder="0" applyAlignment="0" applyProtection="0">
      <alignment vertical="center"/>
    </xf>
    <xf numFmtId="0" fontId="100" fillId="0" borderId="0">
      <alignment vertical="center"/>
    </xf>
    <xf numFmtId="0" fontId="135" fillId="20" borderId="0" applyNumberFormat="0" applyBorder="0" applyAlignment="0" applyProtection="0">
      <alignment vertical="center"/>
    </xf>
    <xf numFmtId="0" fontId="135" fillId="20" borderId="0" applyNumberFormat="0" applyBorder="0" applyAlignment="0" applyProtection="0">
      <alignment vertical="center"/>
    </xf>
    <xf numFmtId="0" fontId="135" fillId="21" borderId="0" applyNumberFormat="0" applyBorder="0" applyAlignment="0" applyProtection="0">
      <alignment vertical="center"/>
    </xf>
    <xf numFmtId="0" fontId="135" fillId="21" borderId="0" applyNumberFormat="0" applyBorder="0" applyAlignment="0" applyProtection="0">
      <alignment vertical="center"/>
    </xf>
    <xf numFmtId="0" fontId="135" fillId="22" borderId="0" applyNumberFormat="0" applyBorder="0" applyAlignment="0" applyProtection="0">
      <alignment vertical="center"/>
    </xf>
    <xf numFmtId="0" fontId="135" fillId="22"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4" borderId="0" applyNumberFormat="0" applyBorder="0" applyAlignment="0" applyProtection="0">
      <alignment vertical="center"/>
    </xf>
    <xf numFmtId="0" fontId="135" fillId="24" borderId="0" applyNumberFormat="0" applyBorder="0" applyAlignment="0" applyProtection="0">
      <alignment vertical="center"/>
    </xf>
    <xf numFmtId="0" fontId="135" fillId="25" borderId="0" applyNumberFormat="0" applyBorder="0" applyAlignment="0" applyProtection="0">
      <alignment vertical="center"/>
    </xf>
    <xf numFmtId="0" fontId="135" fillId="25"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7" borderId="0" applyNumberFormat="0" applyBorder="0" applyAlignment="0" applyProtection="0">
      <alignment vertical="center"/>
    </xf>
    <xf numFmtId="0" fontId="135" fillId="27" borderId="0" applyNumberFormat="0" applyBorder="0" applyAlignment="0" applyProtection="0">
      <alignment vertical="center"/>
    </xf>
    <xf numFmtId="0" fontId="135" fillId="28" borderId="0" applyNumberFormat="0" applyBorder="0" applyAlignment="0" applyProtection="0">
      <alignment vertical="center"/>
    </xf>
    <xf numFmtId="0" fontId="135" fillId="28" borderId="0" applyNumberFormat="0" applyBorder="0" applyAlignment="0" applyProtection="0">
      <alignment vertical="center"/>
    </xf>
    <xf numFmtId="0" fontId="135" fillId="23" borderId="0" applyNumberFormat="0" applyBorder="0" applyAlignment="0" applyProtection="0">
      <alignment vertical="center"/>
    </xf>
    <xf numFmtId="0" fontId="135" fillId="23" borderId="0" applyNumberFormat="0" applyBorder="0" applyAlignment="0" applyProtection="0">
      <alignment vertical="center"/>
    </xf>
    <xf numFmtId="0" fontId="135" fillId="26" borderId="0" applyNumberFormat="0" applyBorder="0" applyAlignment="0" applyProtection="0">
      <alignment vertical="center"/>
    </xf>
    <xf numFmtId="0" fontId="135" fillId="26" borderId="0" applyNumberFormat="0" applyBorder="0" applyAlignment="0" applyProtection="0">
      <alignment vertical="center"/>
    </xf>
    <xf numFmtId="0" fontId="135" fillId="29" borderId="0" applyNumberFormat="0" applyBorder="0" applyAlignment="0" applyProtection="0">
      <alignment vertical="center"/>
    </xf>
    <xf numFmtId="0" fontId="135" fillId="29" borderId="0" applyNumberFormat="0" applyBorder="0" applyAlignment="0" applyProtection="0">
      <alignment vertical="center"/>
    </xf>
    <xf numFmtId="0" fontId="256" fillId="30" borderId="0" applyNumberFormat="0" applyBorder="0" applyAlignment="0" applyProtection="0">
      <alignment vertical="center"/>
    </xf>
    <xf numFmtId="0" fontId="256" fillId="30" borderId="0" applyNumberFormat="0" applyBorder="0" applyAlignment="0" applyProtection="0">
      <alignment vertical="center"/>
    </xf>
    <xf numFmtId="0" fontId="256" fillId="27" borderId="0" applyNumberFormat="0" applyBorder="0" applyAlignment="0" applyProtection="0">
      <alignment vertical="center"/>
    </xf>
    <xf numFmtId="0" fontId="256" fillId="27" borderId="0" applyNumberFormat="0" applyBorder="0" applyAlignment="0" applyProtection="0">
      <alignment vertical="center"/>
    </xf>
    <xf numFmtId="0" fontId="256" fillId="28" borderId="0" applyNumberFormat="0" applyBorder="0" applyAlignment="0" applyProtection="0">
      <alignment vertical="center"/>
    </xf>
    <xf numFmtId="0" fontId="256" fillId="28"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3" borderId="0" applyNumberFormat="0" applyBorder="0" applyAlignment="0" applyProtection="0">
      <alignment vertical="center"/>
    </xf>
    <xf numFmtId="0" fontId="256" fillId="33" borderId="0" applyNumberFormat="0" applyBorder="0" applyAlignment="0" applyProtection="0">
      <alignment vertical="center"/>
    </xf>
    <xf numFmtId="0" fontId="257" fillId="0" borderId="158" applyNumberFormat="0" applyFill="0" applyAlignment="0" applyProtection="0">
      <alignment vertical="center"/>
    </xf>
    <xf numFmtId="0" fontId="258" fillId="0" borderId="159" applyNumberFormat="0" applyFill="0" applyAlignment="0" applyProtection="0">
      <alignment vertical="center"/>
    </xf>
    <xf numFmtId="0" fontId="259" fillId="0" borderId="160" applyNumberFormat="0" applyFill="0" applyAlignment="0" applyProtection="0">
      <alignment vertical="center"/>
    </xf>
    <xf numFmtId="0" fontId="259" fillId="0" borderId="0" applyNumberFormat="0" applyFill="0" applyBorder="0" applyAlignment="0" applyProtection="0">
      <alignment vertical="center"/>
    </xf>
    <xf numFmtId="0" fontId="260" fillId="0" borderId="0" applyNumberFormat="0" applyFill="0" applyBorder="0" applyAlignment="0" applyProtection="0">
      <alignment vertical="center"/>
    </xf>
    <xf numFmtId="0" fontId="261" fillId="21" borderId="0" applyNumberFormat="0" applyBorder="0" applyAlignment="0" applyProtection="0">
      <alignment vertical="center"/>
    </xf>
    <xf numFmtId="0" fontId="261" fillId="21" borderId="0" applyNumberFormat="0" applyBorder="0" applyAlignment="0" applyProtection="0">
      <alignment vertical="center"/>
    </xf>
    <xf numFmtId="0" fontId="100" fillId="0" borderId="0">
      <alignment vertical="center"/>
    </xf>
    <xf numFmtId="0" fontId="39" fillId="0" borderId="0"/>
    <xf numFmtId="0" fontId="100" fillId="0" borderId="0">
      <alignment vertic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center"/>
    </xf>
    <xf numFmtId="0" fontId="39" fillId="0" borderId="0">
      <alignment vertical="center"/>
    </xf>
    <xf numFmtId="0" fontId="39" fillId="0" borderId="0"/>
    <xf numFmtId="0" fontId="100" fillId="0" borderId="0">
      <alignment vertical="center"/>
    </xf>
    <xf numFmtId="0" fontId="39" fillId="0" borderId="0"/>
    <xf numFmtId="0" fontId="39" fillId="0" borderId="0"/>
    <xf numFmtId="0" fontId="100" fillId="0" borderId="0">
      <alignment vertical="center"/>
    </xf>
    <xf numFmtId="0" fontId="39" fillId="0" borderId="0"/>
    <xf numFmtId="0" fontId="135" fillId="0" borderId="0">
      <alignment vertical="center"/>
    </xf>
    <xf numFmtId="0" fontId="57" fillId="0" borderId="0"/>
    <xf numFmtId="0" fontId="57" fillId="0" borderId="0"/>
    <xf numFmtId="0" fontId="57" fillId="0" borderId="0"/>
    <xf numFmtId="0" fontId="39"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alignment vertical="center"/>
    </xf>
    <xf numFmtId="0" fontId="135" fillId="0" borderId="0"/>
    <xf numFmtId="0" fontId="39" fillId="0" borderId="0">
      <alignment vertical="center"/>
    </xf>
    <xf numFmtId="0" fontId="10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35" fillId="0" borderId="0"/>
    <xf numFmtId="0" fontId="135" fillId="0" borderId="0"/>
    <xf numFmtId="0" fontId="39" fillId="0" borderId="0">
      <alignment vertical="center"/>
    </xf>
    <xf numFmtId="0" fontId="39" fillId="0" borderId="0">
      <alignment vertical="center"/>
    </xf>
    <xf numFmtId="0" fontId="39" fillId="0" borderId="0">
      <alignment vertical="center"/>
    </xf>
    <xf numFmtId="0" fontId="100" fillId="0" borderId="0"/>
    <xf numFmtId="0" fontId="100" fillId="0" borderId="0"/>
    <xf numFmtId="0" fontId="135" fillId="0" borderId="0">
      <alignment vertical="center"/>
    </xf>
    <xf numFmtId="0" fontId="39" fillId="0" borderId="0"/>
    <xf numFmtId="0" fontId="39" fillId="0" borderId="0"/>
    <xf numFmtId="0" fontId="39" fillId="0" borderId="0"/>
    <xf numFmtId="0" fontId="3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alignment vertical="center"/>
    </xf>
    <xf numFmtId="0" fontId="100" fillId="0" borderId="0">
      <alignment vertical="center"/>
    </xf>
    <xf numFmtId="0" fontId="39" fillId="0" borderId="0">
      <alignment vertical="center"/>
    </xf>
    <xf numFmtId="0" fontId="100" fillId="0" borderId="0"/>
    <xf numFmtId="0" fontId="100" fillId="0" borderId="0"/>
    <xf numFmtId="0" fontId="100" fillId="0" borderId="0"/>
    <xf numFmtId="0" fontId="100" fillId="0" borderId="0"/>
    <xf numFmtId="0" fontId="39" fillId="0" borderId="0">
      <alignment vertical="center"/>
    </xf>
    <xf numFmtId="0" fontId="100" fillId="0" borderId="0">
      <alignment vertical="center"/>
    </xf>
    <xf numFmtId="0" fontId="100" fillId="0" borderId="0">
      <alignment vertical="center"/>
    </xf>
    <xf numFmtId="0" fontId="100" fillId="0" borderId="0"/>
    <xf numFmtId="0" fontId="230" fillId="0" borderId="0">
      <alignment vertical="center"/>
    </xf>
    <xf numFmtId="0" fontId="100" fillId="0" borderId="0"/>
    <xf numFmtId="0" fontId="39" fillId="0" borderId="0"/>
    <xf numFmtId="0" fontId="135" fillId="0" borderId="0"/>
    <xf numFmtId="0" fontId="100" fillId="0" borderId="0"/>
    <xf numFmtId="0" fontId="100" fillId="0" borderId="0"/>
    <xf numFmtId="0" fontId="100" fillId="0" borderId="0"/>
    <xf numFmtId="0" fontId="100" fillId="0" borderId="0">
      <alignment vertical="center"/>
    </xf>
    <xf numFmtId="0" fontId="39" fillId="0" borderId="0"/>
    <xf numFmtId="0" fontId="39" fillId="0" borderId="0"/>
    <xf numFmtId="0" fontId="100" fillId="0" borderId="0"/>
    <xf numFmtId="0" fontId="100" fillId="0" borderId="0"/>
    <xf numFmtId="0" fontId="100" fillId="0" borderId="0">
      <alignment vertical="center"/>
    </xf>
    <xf numFmtId="0" fontId="100" fillId="0" borderId="0">
      <alignment vertical="center"/>
    </xf>
    <xf numFmtId="0" fontId="135" fillId="0" borderId="0">
      <alignment vertical="center"/>
    </xf>
    <xf numFmtId="0" fontId="26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39"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0" fillId="0" borderId="0"/>
    <xf numFmtId="0" fontId="100" fillId="0" borderId="0"/>
    <xf numFmtId="0" fontId="39" fillId="0" borderId="0"/>
    <xf numFmtId="0" fontId="100" fillId="0" borderId="0"/>
    <xf numFmtId="0" fontId="100" fillId="0" borderId="0"/>
    <xf numFmtId="0" fontId="39" fillId="0" borderId="0"/>
    <xf numFmtId="0" fontId="100" fillId="0" borderId="0"/>
    <xf numFmtId="0" fontId="100" fillId="0" borderId="0"/>
    <xf numFmtId="0" fontId="263" fillId="22" borderId="0" applyNumberFormat="0" applyBorder="0" applyAlignment="0" applyProtection="0">
      <alignment vertical="center"/>
    </xf>
    <xf numFmtId="0" fontId="263" fillId="22" borderId="0" applyNumberFormat="0" applyBorder="0" applyAlignment="0" applyProtection="0">
      <alignment vertical="center"/>
    </xf>
    <xf numFmtId="0" fontId="153" fillId="0" borderId="161" applyNumberFormat="0" applyFill="0" applyAlignment="0" applyProtection="0">
      <alignment vertical="center"/>
    </xf>
    <xf numFmtId="197" fontId="100" fillId="0" borderId="0" applyFont="0" applyFill="0" applyBorder="0" applyAlignment="0" applyProtection="0">
      <alignment vertical="center"/>
    </xf>
    <xf numFmtId="0" fontId="264" fillId="34" borderId="162" applyNumberFormat="0" applyAlignment="0" applyProtection="0">
      <alignment vertical="center"/>
    </xf>
    <xf numFmtId="0" fontId="264" fillId="34" borderId="162" applyNumberFormat="0" applyAlignment="0" applyProtection="0">
      <alignment vertical="center"/>
    </xf>
    <xf numFmtId="0" fontId="265" fillId="35" borderId="163" applyNumberFormat="0" applyAlignment="0" applyProtection="0">
      <alignment vertical="center"/>
    </xf>
    <xf numFmtId="0" fontId="265" fillId="35" borderId="163" applyNumberFormat="0" applyAlignment="0" applyProtection="0">
      <alignment vertical="center"/>
    </xf>
    <xf numFmtId="0" fontId="266"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67" fillId="0" borderId="164" applyNumberFormat="0" applyFill="0" applyAlignment="0" applyProtection="0">
      <alignment vertical="center"/>
    </xf>
    <xf numFmtId="0" fontId="256" fillId="36" borderId="0" applyNumberFormat="0" applyBorder="0" applyAlignment="0" applyProtection="0">
      <alignment vertical="center"/>
    </xf>
    <xf numFmtId="0" fontId="256" fillId="36" borderId="0" applyNumberFormat="0" applyBorder="0" applyAlignment="0" applyProtection="0">
      <alignment vertical="center"/>
    </xf>
    <xf numFmtId="0" fontId="256" fillId="4" borderId="0" applyNumberFormat="0" applyBorder="0" applyAlignment="0" applyProtection="0">
      <alignment vertical="center"/>
    </xf>
    <xf numFmtId="0" fontId="256" fillId="4" borderId="0" applyNumberFormat="0" applyBorder="0" applyAlignment="0" applyProtection="0">
      <alignment vertical="center"/>
    </xf>
    <xf numFmtId="0" fontId="256" fillId="37" borderId="0" applyNumberFormat="0" applyBorder="0" applyAlignment="0" applyProtection="0">
      <alignment vertical="center"/>
    </xf>
    <xf numFmtId="0" fontId="256" fillId="37" borderId="0" applyNumberFormat="0" applyBorder="0" applyAlignment="0" applyProtection="0">
      <alignment vertical="center"/>
    </xf>
    <xf numFmtId="0" fontId="256" fillId="31" borderId="0" applyNumberFormat="0" applyBorder="0" applyAlignment="0" applyProtection="0">
      <alignment vertical="center"/>
    </xf>
    <xf numFmtId="0" fontId="256" fillId="31" borderId="0" applyNumberFormat="0" applyBorder="0" applyAlignment="0" applyProtection="0">
      <alignment vertical="center"/>
    </xf>
    <xf numFmtId="0" fontId="256" fillId="32" borderId="0" applyNumberFormat="0" applyBorder="0" applyAlignment="0" applyProtection="0">
      <alignment vertical="center"/>
    </xf>
    <xf numFmtId="0" fontId="256" fillId="32" borderId="0" applyNumberFormat="0" applyBorder="0" applyAlignment="0" applyProtection="0">
      <alignment vertical="center"/>
    </xf>
    <xf numFmtId="0" fontId="256" fillId="38" borderId="0" applyNumberFormat="0" applyBorder="0" applyAlignment="0" applyProtection="0">
      <alignment vertical="center"/>
    </xf>
    <xf numFmtId="0" fontId="256" fillId="38"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9" fillId="34" borderId="165" applyNumberFormat="0" applyAlignment="0" applyProtection="0">
      <alignment vertical="center"/>
    </xf>
    <xf numFmtId="0" fontId="269" fillId="34" borderId="165" applyNumberFormat="0" applyAlignment="0" applyProtection="0">
      <alignment vertical="center"/>
    </xf>
    <xf numFmtId="0" fontId="270" fillId="25" borderId="162" applyNumberFormat="0" applyAlignment="0" applyProtection="0">
      <alignment vertical="center"/>
    </xf>
    <xf numFmtId="0" fontId="270" fillId="25" borderId="162" applyNumberFormat="0" applyAlignment="0" applyProtection="0">
      <alignment vertical="center"/>
    </xf>
    <xf numFmtId="0" fontId="142" fillId="0" borderId="0" applyNumberFormat="0" applyFill="0" applyBorder="0" applyAlignment="0" applyProtection="0">
      <alignment vertical="center"/>
    </xf>
    <xf numFmtId="0" fontId="135" fillId="40" borderId="166" applyNumberFormat="0" applyFont="0" applyAlignment="0" applyProtection="0">
      <alignment vertical="center"/>
    </xf>
    <xf numFmtId="0" fontId="135" fillId="40" borderId="166" applyNumberFormat="0" applyFont="0" applyAlignment="0" applyProtection="0">
      <alignment vertical="center"/>
    </xf>
    <xf numFmtId="0" fontId="39" fillId="40" borderId="166" applyNumberFormat="0" applyFont="0" applyAlignment="0" applyProtection="0">
      <alignment vertical="center"/>
    </xf>
    <xf numFmtId="43" fontId="167" fillId="0" borderId="0" applyFont="0" applyFill="0" applyBorder="0" applyAlignment="0" applyProtection="0">
      <alignment vertical="center"/>
    </xf>
    <xf numFmtId="0" fontId="271" fillId="0" borderId="0" applyNumberFormat="0" applyFill="0" applyBorder="0" applyAlignment="0" applyProtection="0">
      <alignment vertical="center"/>
    </xf>
  </cellStyleXfs>
  <cellXfs count="324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lignment horizontal="center" vertical="center"/>
    </xf>
    <xf numFmtId="0" fontId="104" fillId="6" borderId="0" xfId="0" applyFont="1" applyFill="1">
      <alignment vertical="center"/>
    </xf>
    <xf numFmtId="0" fontId="50" fillId="6" borderId="5" xfId="0" applyFont="1" applyFill="1" applyBorder="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179" fontId="105" fillId="6" borderId="1" xfId="0" applyNumberFormat="1" applyFont="1" applyFill="1" applyBorder="1" applyAlignment="1">
      <alignment horizontal="center" vertical="center" wrapText="1"/>
    </xf>
    <xf numFmtId="0" fontId="51" fillId="6" borderId="5" xfId="0" applyFont="1" applyFill="1" applyBorder="1" applyAlignment="1">
      <alignment horizontal="left" vertical="center"/>
    </xf>
    <xf numFmtId="176" fontId="51" fillId="6" borderId="1" xfId="0" applyNumberFormat="1" applyFont="1" applyFill="1" applyBorder="1" applyAlignment="1">
      <alignment horizontal="center" vertical="center" wrapText="1"/>
    </xf>
    <xf numFmtId="0" fontId="51" fillId="6" borderId="6" xfId="0" applyFont="1" applyFill="1" applyBorder="1" applyAlignment="1">
      <alignment horizontal="center" vertical="center" wrapText="1"/>
    </xf>
    <xf numFmtId="176" fontId="51" fillId="6" borderId="9" xfId="0" applyNumberFormat="1" applyFont="1" applyFill="1" applyBorder="1" applyAlignment="1">
      <alignment horizontal="center" vertical="center" wrapText="1"/>
    </xf>
    <xf numFmtId="176" fontId="51" fillId="6" borderId="10" xfId="0" applyNumberFormat="1" applyFont="1" applyFill="1" applyBorder="1" applyAlignment="1">
      <alignment horizontal="center" vertical="center" wrapText="1"/>
    </xf>
    <xf numFmtId="176" fontId="51" fillId="6" borderId="13" xfId="0" applyNumberFormat="1" applyFont="1" applyFill="1" applyBorder="1" applyAlignment="1">
      <alignment horizontal="center" vertical="center" wrapText="1"/>
    </xf>
    <xf numFmtId="176" fontId="51" fillId="6" borderId="23"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8" xfId="0" applyFont="1" applyFill="1" applyBorder="1" applyAlignment="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176" fontId="51" fillId="0" borderId="2" xfId="0" applyNumberFormat="1" applyFont="1" applyBorder="1" applyAlignment="1" applyProtection="1">
      <alignment horizontal="center" vertical="center" wrapText="1"/>
      <protection locked="0"/>
    </xf>
    <xf numFmtId="176" fontId="51" fillId="6" borderId="2" xfId="0" applyNumberFormat="1"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0" fontId="48" fillId="6" borderId="3" xfId="0"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50" fillId="6" borderId="13" xfId="0" applyFont="1" applyFill="1" applyBorder="1">
      <alignment vertical="center"/>
    </xf>
    <xf numFmtId="0" fontId="48" fillId="6" borderId="11" xfId="0" applyFont="1" applyFill="1" applyBorder="1">
      <alignment vertical="center"/>
    </xf>
    <xf numFmtId="0" fontId="48" fillId="6" borderId="1" xfId="0" applyFont="1" applyFill="1" applyBorder="1">
      <alignment vertical="center"/>
    </xf>
    <xf numFmtId="176" fontId="48" fillId="6" borderId="24" xfId="0" applyNumberFormat="1" applyFont="1" applyFill="1" applyBorder="1">
      <alignment vertical="center"/>
    </xf>
    <xf numFmtId="0" fontId="48" fillId="6" borderId="13" xfId="0" applyFont="1" applyFill="1" applyBorder="1">
      <alignment vertical="center"/>
    </xf>
    <xf numFmtId="0" fontId="48" fillId="6" borderId="24" xfId="0" applyFont="1" applyFill="1" applyBorder="1">
      <alignment vertical="center"/>
    </xf>
    <xf numFmtId="0" fontId="48" fillId="0" borderId="24" xfId="0" applyFont="1" applyBorder="1" applyProtection="1">
      <alignment vertical="center"/>
      <protection locked="0"/>
    </xf>
    <xf numFmtId="0" fontId="48" fillId="6" borderId="61" xfId="0" applyFont="1" applyFill="1" applyBorder="1">
      <alignment vertical="center"/>
    </xf>
    <xf numFmtId="179"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176" fontId="48" fillId="6" borderId="1" xfId="0" applyNumberFormat="1" applyFont="1" applyFill="1" applyBorder="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Border="1" applyProtection="1">
      <alignment vertical="center"/>
      <protection locked="0"/>
    </xf>
    <xf numFmtId="177" fontId="48" fillId="0" borderId="3" xfId="1" applyNumberFormat="1" applyFont="1" applyBorder="1" applyProtection="1">
      <alignment vertical="center"/>
      <protection locked="0"/>
    </xf>
    <xf numFmtId="0" fontId="48" fillId="6" borderId="3" xfId="0" applyFont="1" applyFill="1" applyBorder="1">
      <alignment vertical="center"/>
    </xf>
    <xf numFmtId="0" fontId="48" fillId="6" borderId="48" xfId="0" applyFont="1" applyFill="1" applyBorder="1">
      <alignment vertical="center"/>
    </xf>
    <xf numFmtId="0" fontId="48" fillId="6" borderId="22" xfId="0" applyFont="1" applyFill="1" applyBorder="1">
      <alignment vertical="center"/>
    </xf>
    <xf numFmtId="0" fontId="50" fillId="6" borderId="27" xfId="0" applyFont="1" applyFill="1" applyBorder="1" applyAlignment="1">
      <alignment vertical="center" wrapText="1"/>
    </xf>
    <xf numFmtId="0" fontId="48" fillId="6" borderId="29"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28" xfId="0" applyFont="1" applyFill="1" applyBorder="1" applyAlignment="1">
      <alignment horizontal="center" vertical="center" wrapText="1"/>
    </xf>
    <xf numFmtId="179" fontId="55" fillId="6" borderId="1" xfId="1" applyNumberFormat="1" applyFont="1" applyFill="1" applyBorder="1" applyAlignment="1">
      <alignment horizontal="center" vertical="center"/>
    </xf>
    <xf numFmtId="180" fontId="55" fillId="6" borderId="1" xfId="1"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0" fontId="48" fillId="6" borderId="1" xfId="1" applyFont="1" applyFill="1" applyBorder="1" applyAlignment="1">
      <alignment horizontal="center" vertical="center"/>
    </xf>
    <xf numFmtId="0" fontId="48" fillId="6" borderId="5" xfId="0" applyFont="1" applyFill="1" applyBorder="1" applyAlignment="1">
      <alignment horizontal="center" vertical="center"/>
    </xf>
    <xf numFmtId="179" fontId="48" fillId="6" borderId="23" xfId="1" applyNumberFormat="1" applyFont="1" applyFill="1" applyBorder="1" applyAlignment="1">
      <alignment horizontal="center" vertical="center"/>
    </xf>
    <xf numFmtId="0"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0" fontId="48" fillId="0" borderId="3" xfId="0" applyFont="1" applyBorder="1" applyProtection="1">
      <alignment vertical="center"/>
      <protection locked="0"/>
    </xf>
    <xf numFmtId="181" fontId="48" fillId="0" borderId="5"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lignment vertical="center"/>
    </xf>
    <xf numFmtId="0" fontId="50" fillId="6" borderId="32" xfId="1" applyFont="1" applyFill="1" applyBorder="1" applyAlignment="1">
      <alignment horizontal="center" vertical="center"/>
    </xf>
    <xf numFmtId="181" fontId="50" fillId="6" borderId="32" xfId="1" applyNumberFormat="1" applyFont="1" applyFill="1" applyBorder="1">
      <alignment vertical="center"/>
    </xf>
    <xf numFmtId="0" fontId="50" fillId="6" borderId="49" xfId="1" applyFont="1" applyFill="1" applyBorder="1">
      <alignment vertical="center"/>
    </xf>
    <xf numFmtId="176" fontId="48" fillId="6" borderId="25" xfId="0" applyNumberFormat="1" applyFont="1" applyFill="1" applyBorder="1" applyAlignment="1">
      <alignment horizontal="center" vertical="center"/>
    </xf>
    <xf numFmtId="0" fontId="48" fillId="6" borderId="32" xfId="1" applyFont="1" applyFill="1" applyBorder="1" applyAlignment="1">
      <alignment horizontal="center" vertical="center"/>
    </xf>
    <xf numFmtId="10" fontId="48" fillId="6" borderId="32" xfId="1" applyNumberFormat="1" applyFont="1" applyFill="1" applyBorder="1" applyAlignment="1">
      <alignment horizontal="center" vertical="center"/>
    </xf>
    <xf numFmtId="9" fontId="48" fillId="6" borderId="33" xfId="0" applyNumberFormat="1" applyFont="1" applyFill="1" applyBorder="1" applyAlignment="1">
      <alignment horizontal="center" vertical="center"/>
    </xf>
    <xf numFmtId="179" fontId="48" fillId="6" borderId="66" xfId="1" applyNumberFormat="1" applyFont="1" applyFill="1" applyBorder="1" applyAlignment="1">
      <alignment horizontal="center" vertical="center"/>
    </xf>
    <xf numFmtId="0" fontId="48" fillId="6" borderId="68" xfId="1" applyFont="1" applyFill="1" applyBorder="1" applyAlignment="1">
      <alignment horizontal="center" vertical="center"/>
    </xf>
    <xf numFmtId="0" fontId="48" fillId="6" borderId="25"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48" fillId="6" borderId="66" xfId="0" applyFont="1" applyFill="1" applyBorder="1">
      <alignment vertical="center"/>
    </xf>
    <xf numFmtId="0" fontId="48" fillId="6" borderId="33" xfId="0" applyFont="1" applyFill="1" applyBorder="1">
      <alignment vertical="center"/>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176" fontId="55" fillId="6" borderId="24" xfId="1" applyNumberFormat="1" applyFont="1" applyFill="1" applyBorder="1" applyAlignment="1">
      <alignment horizontal="center" vertical="center"/>
    </xf>
    <xf numFmtId="176" fontId="55" fillId="6" borderId="49" xfId="1" applyNumberFormat="1" applyFont="1" applyFill="1" applyBorder="1" applyAlignment="1">
      <alignment horizontal="center" vertical="center"/>
    </xf>
    <xf numFmtId="0" fontId="57" fillId="0" borderId="10" xfId="1"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5" fillId="6" borderId="24" xfId="1" applyFont="1" applyFill="1" applyBorder="1" applyAlignment="1">
      <alignment horizontal="center" vertical="center"/>
    </xf>
    <xf numFmtId="0" fontId="57" fillId="0" borderId="49" xfId="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6" borderId="10" xfId="0" applyNumberFormat="1" applyFont="1" applyFill="1" applyBorder="1" applyAlignment="1">
      <alignment horizontal="center" vertical="center"/>
    </xf>
    <xf numFmtId="10" fontId="48" fillId="0" borderId="61" xfId="0" applyNumberFormat="1" applyFont="1" applyBorder="1" applyAlignment="1" applyProtection="1">
      <alignment horizontal="center" vertical="center"/>
      <protection locked="0"/>
    </xf>
    <xf numFmtId="183" fontId="48" fillId="6" borderId="61" xfId="0" applyNumberFormat="1" applyFont="1" applyFill="1" applyBorder="1" applyAlignment="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10" fontId="48" fillId="6" borderId="62" xfId="0" applyNumberFormat="1" applyFont="1" applyFill="1" applyBorder="1" applyAlignment="1">
      <alignment horizontal="center" vertical="center"/>
    </xf>
    <xf numFmtId="10" fontId="48" fillId="6" borderId="49" xfId="0" applyNumberFormat="1" applyFont="1" applyFill="1" applyBorder="1" applyAlignment="1">
      <alignment horizontal="center" vertical="center"/>
    </xf>
    <xf numFmtId="178" fontId="48" fillId="6" borderId="62" xfId="0" applyNumberFormat="1" applyFont="1" applyFill="1" applyBorder="1" applyAlignment="1">
      <alignment horizontal="center" vertical="center"/>
    </xf>
    <xf numFmtId="0" fontId="48" fillId="0" borderId="49" xfId="0" applyFont="1" applyBorder="1" applyProtection="1">
      <alignment vertical="center"/>
      <protection locked="0"/>
    </xf>
    <xf numFmtId="0" fontId="48" fillId="6" borderId="24" xfId="0" applyFont="1" applyFill="1" applyBorder="1" applyAlignment="1">
      <alignment horizontal="center" vertical="center" wrapText="1"/>
    </xf>
    <xf numFmtId="0" fontId="48" fillId="6" borderId="49" xfId="0" applyFont="1" applyFill="1" applyBorder="1" applyAlignment="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lignment vertical="center"/>
    </xf>
    <xf numFmtId="0" fontId="48" fillId="6" borderId="2" xfId="0" applyFont="1" applyFill="1" applyBorder="1" applyAlignment="1">
      <alignment horizontal="center" vertical="center"/>
    </xf>
    <xf numFmtId="179" fontId="48" fillId="6" borderId="13" xfId="0" applyNumberFormat="1" applyFont="1" applyFill="1" applyBorder="1" applyAlignment="1">
      <alignment horizontal="center" vertical="center"/>
    </xf>
    <xf numFmtId="0" fontId="104" fillId="6" borderId="9" xfId="0" applyFont="1" applyFill="1" applyBorder="1" applyAlignment="1">
      <alignment horizontal="center" vertical="center"/>
    </xf>
    <xf numFmtId="0" fontId="104" fillId="6" borderId="10" xfId="0" applyFont="1" applyFill="1" applyBorder="1" applyAlignment="1">
      <alignment horizontal="center" vertical="center"/>
    </xf>
    <xf numFmtId="0" fontId="48" fillId="6" borderId="28" xfId="0" applyFont="1" applyFill="1" applyBorder="1" applyAlignment="1">
      <alignment horizontal="right" vertical="center"/>
    </xf>
    <xf numFmtId="0" fontId="104" fillId="6" borderId="1" xfId="0" applyFont="1" applyFill="1" applyBorder="1" applyAlignment="1">
      <alignment horizontal="center" vertical="center"/>
    </xf>
    <xf numFmtId="0" fontId="104" fillId="6" borderId="24" xfId="0" applyFont="1" applyFill="1" applyBorder="1" applyAlignment="1">
      <alignment horizontal="center" vertical="center"/>
    </xf>
    <xf numFmtId="0" fontId="48" fillId="6" borderId="5" xfId="0" applyFont="1" applyFill="1" applyBorder="1" applyAlignment="1">
      <alignment horizontal="right" vertical="center"/>
    </xf>
    <xf numFmtId="0" fontId="48" fillId="6" borderId="33" xfId="0" applyFont="1" applyFill="1" applyBorder="1" applyAlignment="1">
      <alignment horizontal="right" vertical="center"/>
    </xf>
    <xf numFmtId="0" fontId="48" fillId="6" borderId="4" xfId="0" applyFont="1" applyFill="1" applyBorder="1" applyAlignment="1">
      <alignment horizontal="right" vertical="center"/>
    </xf>
    <xf numFmtId="0" fontId="106" fillId="0" borderId="1" xfId="0" applyFont="1" applyBorder="1" applyAlignment="1" applyProtection="1">
      <alignment horizontal="center" vertical="center"/>
      <protection locked="0"/>
    </xf>
    <xf numFmtId="0" fontId="106" fillId="0" borderId="24" xfId="0" applyFont="1" applyBorder="1" applyAlignment="1" applyProtection="1">
      <alignment horizontal="center" vertical="center"/>
      <protection locked="0"/>
    </xf>
    <xf numFmtId="0" fontId="48" fillId="6" borderId="2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0" fontId="51" fillId="6" borderId="1" xfId="0" applyFont="1" applyFill="1" applyBorder="1">
      <alignment vertical="center"/>
    </xf>
    <xf numFmtId="0" fontId="50" fillId="0" borderId="24" xfId="0" applyFont="1" applyBorder="1" applyAlignment="1" applyProtection="1">
      <alignment horizontal="center" vertical="center"/>
      <protection locked="0"/>
    </xf>
    <xf numFmtId="0" fontId="50" fillId="6" borderId="4" xfId="0" applyFont="1" applyFill="1" applyBorder="1" applyAlignment="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lignment vertical="center"/>
    </xf>
    <xf numFmtId="0" fontId="51" fillId="6" borderId="36" xfId="0" applyFont="1" applyFill="1" applyBorder="1" applyAlignment="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lignment horizontal="left" vertical="center" wrapText="1"/>
    </xf>
    <xf numFmtId="0" fontId="56" fillId="6" borderId="60"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1" fillId="6" borderId="46" xfId="0" applyFont="1" applyFill="1" applyBorder="1">
      <alignment vertical="center"/>
    </xf>
    <xf numFmtId="10" fontId="51" fillId="6" borderId="5" xfId="0" applyNumberFormat="1" applyFont="1" applyFill="1" applyBorder="1" applyAlignment="1">
      <alignment horizontal="center" vertical="center"/>
    </xf>
    <xf numFmtId="0" fontId="51" fillId="6" borderId="10" xfId="0" applyFont="1" applyFill="1" applyBorder="1" applyAlignment="1">
      <alignment horizontal="left" vertical="center" wrapText="1"/>
    </xf>
    <xf numFmtId="0" fontId="58" fillId="6" borderId="2" xfId="0" applyFont="1" applyFill="1" applyBorder="1" applyAlignment="1">
      <alignment horizontal="left" vertical="center" wrapText="1"/>
    </xf>
    <xf numFmtId="0" fontId="51" fillId="6" borderId="8" xfId="0" applyFont="1" applyFill="1" applyBorder="1" applyAlignment="1">
      <alignment horizontal="left" vertical="center" wrapText="1"/>
    </xf>
    <xf numFmtId="49" fontId="51"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0" fontId="51" fillId="6" borderId="24" xfId="0" applyFont="1" applyFill="1" applyBorder="1" applyAlignment="1">
      <alignment horizontal="left" vertical="center" wrapText="1"/>
    </xf>
    <xf numFmtId="49" fontId="56"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49" fontId="56" fillId="6" borderId="25" xfId="0" applyNumberFormat="1" applyFont="1" applyFill="1" applyBorder="1" applyAlignment="1">
      <alignment horizontal="left" vertical="center" wrapText="1"/>
    </xf>
    <xf numFmtId="0" fontId="58" fillId="6" borderId="32" xfId="0" applyFont="1" applyFill="1" applyBorder="1" applyAlignment="1">
      <alignment horizontal="left" vertical="center" wrapText="1"/>
    </xf>
    <xf numFmtId="10" fontId="57" fillId="6" borderId="32" xfId="0" applyNumberFormat="1" applyFont="1" applyFill="1" applyBorder="1" applyAlignment="1">
      <alignment horizontal="center" vertical="center" wrapText="1"/>
    </xf>
    <xf numFmtId="0" fontId="51" fillId="6" borderId="49" xfId="0" applyFont="1" applyFill="1" applyBorder="1" applyAlignment="1">
      <alignment horizontal="left" vertical="center"/>
    </xf>
    <xf numFmtId="0" fontId="51" fillId="6" borderId="28" xfId="0" applyFont="1" applyFill="1" applyBorder="1" applyAlignment="1">
      <alignment horizontal="left" vertical="center" wrapText="1"/>
    </xf>
    <xf numFmtId="0" fontId="51" fillId="6" borderId="20" xfId="0"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0" fontId="57" fillId="0" borderId="1" xfId="0" applyFont="1" applyBorder="1" applyAlignment="1" applyProtection="1">
      <alignment horizontal="center" vertical="center" wrapText="1"/>
      <protection locked="0"/>
    </xf>
    <xf numFmtId="0" fontId="48" fillId="6" borderId="1" xfId="2" applyFont="1" applyFill="1" applyBorder="1" applyAlignment="1">
      <alignment horizontal="left" vertical="center" wrapText="1"/>
    </xf>
    <xf numFmtId="0" fontId="57" fillId="6" borderId="2" xfId="0" applyFont="1" applyFill="1" applyBorder="1" applyAlignment="1">
      <alignment horizontal="left" vertical="center" wrapText="1"/>
    </xf>
    <xf numFmtId="0" fontId="48" fillId="6" borderId="54" xfId="0" applyFont="1" applyFill="1" applyBorder="1" applyAlignment="1">
      <alignment horizontal="left" vertical="center"/>
    </xf>
    <xf numFmtId="0" fontId="57" fillId="6" borderId="32" xfId="0" applyFont="1" applyFill="1" applyBorder="1" applyAlignment="1">
      <alignment horizontal="center" vertical="center" wrapText="1"/>
    </xf>
    <xf numFmtId="0" fontId="51" fillId="6" borderId="33" xfId="0" applyFont="1" applyFill="1" applyBorder="1" applyAlignment="1">
      <alignment horizontal="left" vertical="center"/>
    </xf>
    <xf numFmtId="0" fontId="51" fillId="6" borderId="52" xfId="0" applyFont="1" applyFill="1" applyBorder="1" applyAlignment="1">
      <alignment horizontal="left" vertical="center" wrapText="1"/>
    </xf>
    <xf numFmtId="0" fontId="48" fillId="6" borderId="68" xfId="2" applyFont="1" applyFill="1" applyBorder="1" applyAlignment="1">
      <alignment horizontal="left" vertical="center" wrapText="1"/>
    </xf>
    <xf numFmtId="0" fontId="51" fillId="6" borderId="21" xfId="2" applyFont="1" applyFill="1" applyBorder="1" applyAlignment="1">
      <alignment horizontal="left" vertical="center" wrapText="1"/>
    </xf>
    <xf numFmtId="0" fontId="51" fillId="6" borderId="48" xfId="2" applyFont="1" applyFill="1" applyBorder="1" applyAlignment="1">
      <alignment horizontal="left" vertical="center" wrapText="1"/>
    </xf>
    <xf numFmtId="10" fontId="51" fillId="6" borderId="5" xfId="0" applyNumberFormat="1" applyFont="1" applyFill="1" applyBorder="1" applyAlignment="1">
      <alignment horizontal="left" vertical="center"/>
    </xf>
    <xf numFmtId="0" fontId="59" fillId="6" borderId="0" xfId="0" applyFont="1" applyFill="1" applyAlignment="1">
      <alignment horizontal="left" vertical="center"/>
    </xf>
    <xf numFmtId="0" fontId="51" fillId="6" borderId="68" xfId="2" applyFont="1" applyFill="1" applyBorder="1" applyAlignment="1">
      <alignment horizontal="left" vertical="center" wrapText="1"/>
    </xf>
    <xf numFmtId="0" fontId="107" fillId="6" borderId="51" xfId="1" applyFont="1" applyFill="1" applyBorder="1">
      <alignment vertical="center"/>
    </xf>
    <xf numFmtId="0" fontId="61" fillId="6" borderId="20" xfId="1" applyFont="1" applyFill="1" applyBorder="1">
      <alignment vertical="center"/>
    </xf>
    <xf numFmtId="0" fontId="61" fillId="6" borderId="19" xfId="1" applyFont="1" applyFill="1" applyBorder="1">
      <alignment vertical="center"/>
    </xf>
    <xf numFmtId="0" fontId="61" fillId="6" borderId="0" xfId="1" applyFont="1" applyFill="1">
      <alignment vertical="center"/>
    </xf>
    <xf numFmtId="0" fontId="62" fillId="3" borderId="0" xfId="0" applyFont="1" applyFill="1" applyProtection="1">
      <alignment vertical="center"/>
      <protection locked="0"/>
    </xf>
    <xf numFmtId="0" fontId="61" fillId="6" borderId="1" xfId="1" applyFont="1" applyFill="1" applyBorder="1">
      <alignment vertical="center"/>
    </xf>
    <xf numFmtId="177" fontId="61" fillId="6" borderId="1" xfId="1" applyNumberFormat="1" applyFont="1" applyFill="1" applyBorder="1" applyAlignment="1">
      <alignment horizontal="right" vertical="center"/>
    </xf>
    <xf numFmtId="0" fontId="61" fillId="6" borderId="13" xfId="1" applyFont="1" applyFill="1" applyBorder="1">
      <alignment vertical="center"/>
    </xf>
    <xf numFmtId="0" fontId="61" fillId="6" borderId="13" xfId="1" applyFont="1" applyFill="1" applyBorder="1" applyAlignment="1">
      <alignment horizontal="right" vertical="center"/>
    </xf>
    <xf numFmtId="49" fontId="61" fillId="6" borderId="51" xfId="1" applyNumberFormat="1" applyFont="1" applyFill="1" applyBorder="1" applyAlignment="1"/>
    <xf numFmtId="49" fontId="61" fillId="6" borderId="20" xfId="1" applyNumberFormat="1" applyFont="1" applyFill="1" applyBorder="1" applyAlignment="1"/>
    <xf numFmtId="49" fontId="61" fillId="6" borderId="21" xfId="1" applyNumberFormat="1" applyFont="1" applyFill="1" applyBorder="1" applyAlignment="1"/>
    <xf numFmtId="0" fontId="61" fillId="3" borderId="0" xfId="0" applyFont="1" applyFill="1" applyProtection="1">
      <alignment vertical="center"/>
      <protection locked="0"/>
    </xf>
    <xf numFmtId="0" fontId="58" fillId="6" borderId="23" xfId="1" applyFont="1" applyFill="1" applyBorder="1" applyAlignment="1">
      <alignment horizontal="left"/>
    </xf>
    <xf numFmtId="0" fontId="58" fillId="6" borderId="5" xfId="1" applyFont="1" applyFill="1" applyBorder="1" applyAlignment="1"/>
    <xf numFmtId="177"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0" fontId="58" fillId="3" borderId="0" xfId="0" applyFont="1" applyFill="1" applyProtection="1">
      <alignment vertical="center"/>
      <protection locked="0"/>
    </xf>
    <xf numFmtId="0" fontId="57" fillId="6" borderId="5" xfId="1" applyFont="1" applyFill="1" applyBorder="1" applyAlignment="1"/>
    <xf numFmtId="177" fontId="57" fillId="0" borderId="1" xfId="1" applyNumberFormat="1" applyFont="1" applyBorder="1" applyAlignment="1" applyProtection="1">
      <alignment horizontal="center"/>
      <protection locked="0"/>
    </xf>
    <xf numFmtId="179"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177" fontId="57" fillId="6" borderId="1" xfId="1" applyNumberFormat="1" applyFont="1" applyFill="1" applyBorder="1" applyAlignment="1">
      <alignment horizontal="center"/>
    </xf>
    <xf numFmtId="10" fontId="57" fillId="6" borderId="1" xfId="1" applyNumberFormat="1" applyFont="1" applyFill="1" applyBorder="1" applyAlignment="1">
      <alignment horizontal="center"/>
    </xf>
    <xf numFmtId="177" fontId="57" fillId="6" borderId="1" xfId="1" applyNumberFormat="1" applyFont="1" applyFill="1" applyBorder="1" applyAlignment="1"/>
    <xf numFmtId="0" fontId="58" fillId="0" borderId="0" xfId="0" applyFont="1" applyProtection="1">
      <alignment vertical="center"/>
      <protection locked="0"/>
    </xf>
    <xf numFmtId="0" fontId="63" fillId="6" borderId="5" xfId="1" applyFont="1" applyFill="1" applyBorder="1" applyAlignment="1"/>
    <xf numFmtId="177" fontId="63" fillId="6" borderId="1" xfId="1" applyNumberFormat="1" applyFont="1" applyFill="1" applyBorder="1" applyAlignment="1">
      <alignment horizontal="center"/>
    </xf>
    <xf numFmtId="0" fontId="57" fillId="6" borderId="24" xfId="1" applyFont="1" applyFill="1" applyBorder="1" applyAlignment="1">
      <alignment vertical="center" wrapText="1"/>
    </xf>
    <xf numFmtId="0" fontId="57" fillId="6" borderId="23" xfId="1" applyFont="1" applyFill="1" applyBorder="1" applyAlignment="1">
      <alignment horizontal="left"/>
    </xf>
    <xf numFmtId="0" fontId="57" fillId="6" borderId="0" xfId="1" applyFont="1" applyFill="1" applyAlignment="1">
      <alignment horizontal="center"/>
    </xf>
    <xf numFmtId="0" fontId="57" fillId="6" borderId="1" xfId="0" applyFont="1" applyFill="1" applyBorder="1">
      <alignment vertical="center"/>
    </xf>
    <xf numFmtId="179" fontId="58" fillId="6" borderId="1" xfId="1" applyNumberFormat="1" applyFont="1" applyFill="1" applyBorder="1" applyAlignment="1">
      <alignment horizontal="center"/>
    </xf>
    <xf numFmtId="9" fontId="58" fillId="6" borderId="5" xfId="1" applyNumberFormat="1" applyFont="1" applyFill="1" applyBorder="1" applyAlignment="1">
      <alignment horizontal="center"/>
    </xf>
    <xf numFmtId="0" fontId="58" fillId="6" borderId="1" xfId="0" applyFont="1" applyFill="1" applyBorder="1" applyAlignment="1">
      <alignment horizontal="center" vertical="center"/>
    </xf>
    <xf numFmtId="10" fontId="58" fillId="6" borderId="5" xfId="1" applyNumberFormat="1" applyFont="1" applyFill="1" applyBorder="1" applyAlignment="1">
      <alignment horizontal="center"/>
    </xf>
    <xf numFmtId="0" fontId="58" fillId="6" borderId="24"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Alignment="1">
      <alignment horizontal="left" vertical="center"/>
    </xf>
    <xf numFmtId="10" fontId="58" fillId="6" borderId="5" xfId="1" applyNumberFormat="1" applyFont="1" applyFill="1" applyBorder="1" applyAlignment="1">
      <alignment horizontal="center" vertical="center"/>
    </xf>
    <xf numFmtId="0" fontId="57" fillId="6" borderId="1" xfId="0" applyFont="1" applyFill="1" applyBorder="1" applyAlignment="1">
      <alignment horizontal="center" vertical="center"/>
    </xf>
    <xf numFmtId="179" fontId="57" fillId="6" borderId="5" xfId="1" applyNumberFormat="1" applyFont="1" applyFill="1" applyBorder="1" applyAlignment="1">
      <alignment horizontal="center" vertical="center"/>
    </xf>
    <xf numFmtId="0" fontId="57" fillId="6" borderId="24" xfId="0" applyFont="1" applyFill="1" applyBorder="1">
      <alignment vertical="center"/>
    </xf>
    <xf numFmtId="0" fontId="58" fillId="6" borderId="1" xfId="0" applyFont="1" applyFill="1" applyBorder="1">
      <alignment vertical="center"/>
    </xf>
    <xf numFmtId="0" fontId="57" fillId="6" borderId="61" xfId="0" applyFont="1" applyFill="1" applyBorder="1" applyAlignment="1">
      <alignment vertical="center" wrapText="1"/>
    </xf>
    <xf numFmtId="0" fontId="57" fillId="6" borderId="8" xfId="0" applyFont="1" applyFill="1" applyBorder="1">
      <alignment vertical="center"/>
    </xf>
    <xf numFmtId="0" fontId="58" fillId="6" borderId="5" xfId="1" applyFont="1" applyFill="1" applyBorder="1">
      <alignment vertical="center"/>
    </xf>
    <xf numFmtId="177" fontId="58" fillId="6" borderId="1" xfId="1" applyNumberFormat="1" applyFont="1" applyFill="1" applyBorder="1" applyAlignment="1">
      <alignment horizontal="center" vertical="center"/>
    </xf>
    <xf numFmtId="9" fontId="58" fillId="6" borderId="5" xfId="1" applyNumberFormat="1" applyFont="1" applyFill="1" applyBorder="1" applyAlignment="1">
      <alignment horizontal="center" vertical="center"/>
    </xf>
    <xf numFmtId="0" fontId="58" fillId="6" borderId="24" xfId="0" applyFont="1" applyFill="1" applyBorder="1" applyAlignment="1">
      <alignment vertical="center" wrapText="1"/>
    </xf>
    <xf numFmtId="0" fontId="57" fillId="6" borderId="5" xfId="1" applyFont="1" applyFill="1" applyBorder="1" applyAlignment="1">
      <alignment horizontal="left"/>
    </xf>
    <xf numFmtId="177" fontId="57" fillId="6" borderId="1" xfId="1" applyNumberFormat="1" applyFont="1" applyFill="1" applyBorder="1" applyAlignment="1">
      <alignment horizontal="center" vertical="center"/>
    </xf>
    <xf numFmtId="9" fontId="58" fillId="6" borderId="1" xfId="1" applyNumberFormat="1" applyFont="1" applyFill="1" applyBorder="1" applyAlignment="1">
      <alignment horizontal="center"/>
    </xf>
    <xf numFmtId="0" fontId="57" fillId="3" borderId="0" xfId="0" applyFont="1" applyFill="1" applyProtection="1">
      <alignment vertical="center"/>
      <protection locked="0"/>
    </xf>
    <xf numFmtId="49" fontId="61" fillId="6" borderId="37" xfId="1" applyNumberFormat="1" applyFont="1" applyFill="1" applyBorder="1" applyAlignment="1"/>
    <xf numFmtId="49" fontId="61" fillId="6" borderId="54" xfId="1" applyNumberFormat="1" applyFont="1" applyFill="1" applyBorder="1" applyAlignment="1"/>
    <xf numFmtId="49" fontId="61" fillId="6" borderId="48" xfId="1" applyNumberFormat="1" applyFont="1" applyFill="1" applyBorder="1" applyAlignment="1"/>
    <xf numFmtId="49" fontId="58" fillId="6" borderId="23" xfId="1" applyNumberFormat="1" applyFont="1" applyFill="1" applyBorder="1" applyAlignment="1">
      <alignment horizontal="left"/>
    </xf>
    <xf numFmtId="177" fontId="58" fillId="6" borderId="1" xfId="0" applyNumberFormat="1" applyFont="1" applyFill="1" applyBorder="1" applyAlignment="1">
      <alignment horizontal="center" vertical="center"/>
    </xf>
    <xf numFmtId="181" fontId="58" fillId="6" borderId="5" xfId="1" applyNumberFormat="1" applyFont="1" applyFill="1" applyBorder="1" applyAlignment="1">
      <alignment horizontal="center"/>
    </xf>
    <xf numFmtId="0" fontId="57" fillId="0" borderId="0" xfId="0" applyFont="1" applyProtection="1">
      <alignment vertical="center"/>
      <protection locked="0"/>
    </xf>
    <xf numFmtId="10" fontId="57" fillId="6" borderId="5" xfId="1" applyNumberFormat="1" applyFont="1" applyFill="1" applyBorder="1" applyAlignment="1">
      <alignment horizontal="center"/>
    </xf>
    <xf numFmtId="0" fontId="57" fillId="6" borderId="24" xfId="0" applyFont="1" applyFill="1" applyBorder="1" applyAlignment="1">
      <alignment vertical="center" wrapText="1"/>
    </xf>
    <xf numFmtId="0" fontId="57" fillId="6" borderId="24" xfId="1" applyFont="1" applyFill="1" applyBorder="1" applyAlignment="1">
      <alignment horizontal="left" vertical="center"/>
    </xf>
    <xf numFmtId="10" fontId="58"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0" fontId="58" fillId="6" borderId="1" xfId="1" applyNumberFormat="1" applyFont="1" applyFill="1" applyBorder="1" applyAlignment="1">
      <alignment horizontal="center" vertical="center"/>
    </xf>
    <xf numFmtId="49" fontId="61" fillId="6" borderId="38" xfId="1" applyNumberFormat="1" applyFont="1" applyFill="1" applyBorder="1" applyAlignment="1"/>
    <xf numFmtId="49" fontId="61" fillId="6" borderId="52" xfId="1" applyNumberFormat="1" applyFont="1" applyFill="1" applyBorder="1" applyAlignment="1"/>
    <xf numFmtId="177" fontId="58" fillId="6" borderId="32" xfId="0" applyNumberFormat="1" applyFont="1" applyFill="1" applyBorder="1" applyAlignment="1">
      <alignment horizontal="center" vertical="center"/>
    </xf>
    <xf numFmtId="49" fontId="61" fillId="6" borderId="68" xfId="1" applyNumberFormat="1" applyFont="1" applyFill="1" applyBorder="1" applyAlignment="1"/>
    <xf numFmtId="0" fontId="57" fillId="3" borderId="0" xfId="0" applyFont="1" applyFill="1" applyAlignment="1" applyProtection="1">
      <alignment horizontal="left" vertical="center"/>
      <protection locked="0"/>
    </xf>
    <xf numFmtId="0" fontId="64" fillId="6" borderId="1" xfId="0" applyFont="1" applyFill="1" applyBorder="1" applyAlignment="1">
      <alignment horizontal="left"/>
    </xf>
    <xf numFmtId="0" fontId="62" fillId="6" borderId="1" xfId="0" applyFont="1" applyFill="1" applyBorder="1" applyAlignment="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xf numFmtId="181" fontId="57" fillId="6" borderId="1" xfId="0" applyNumberFormat="1" applyFont="1" applyFill="1" applyBorder="1" applyAlignment="1">
      <alignment horizontal="center"/>
    </xf>
    <xf numFmtId="181" fontId="51" fillId="6" borderId="1" xfId="0" applyNumberFormat="1" applyFont="1" applyFill="1" applyBorder="1" applyAlignment="1">
      <alignment horizontal="center"/>
    </xf>
    <xf numFmtId="0" fontId="49" fillId="6" borderId="0" xfId="1" applyFont="1" applyFill="1">
      <alignment vertical="center"/>
    </xf>
    <xf numFmtId="176" fontId="105" fillId="6" borderId="1" xfId="0" applyNumberFormat="1" applyFont="1" applyFill="1" applyBorder="1" applyAlignment="1">
      <alignment horizontal="center" vertical="center"/>
    </xf>
    <xf numFmtId="176" fontId="105" fillId="6" borderId="24" xfId="0" applyNumberFormat="1" applyFont="1" applyFill="1" applyBorder="1" applyAlignment="1">
      <alignment horizontal="center" vertical="center"/>
    </xf>
    <xf numFmtId="177" fontId="51" fillId="6" borderId="1" xfId="0" applyNumberFormat="1" applyFont="1" applyFill="1" applyBorder="1" applyAlignment="1">
      <alignment horizontal="center" vertical="center"/>
    </xf>
    <xf numFmtId="0" fontId="50" fillId="6" borderId="1" xfId="0" applyFont="1" applyFill="1" applyBorder="1" applyAlignment="1">
      <alignment horizontal="right" vertical="center"/>
    </xf>
    <xf numFmtId="177" fontId="50" fillId="6" borderId="1" xfId="1" applyNumberFormat="1" applyFont="1" applyFill="1" applyBorder="1">
      <alignment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87" fontId="51" fillId="6" borderId="1" xfId="0" applyNumberFormat="1" applyFont="1" applyFill="1" applyBorder="1" applyAlignment="1">
      <alignment horizontal="center"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77" fontId="50" fillId="6" borderId="3" xfId="0" applyNumberFormat="1" applyFont="1" applyFill="1" applyBorder="1" applyAlignment="1">
      <alignment horizontal="center" vertical="center" wrapText="1"/>
    </xf>
    <xf numFmtId="10" fontId="50"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lignment horizontal="center" vertical="center" wrapText="1"/>
    </xf>
    <xf numFmtId="0" fontId="67" fillId="0" borderId="0" xfId="0" applyFont="1" applyProtection="1">
      <alignment vertical="center"/>
      <protection locked="0"/>
    </xf>
    <xf numFmtId="0" fontId="49" fillId="6" borderId="1" xfId="0" applyFont="1" applyFill="1" applyBorder="1" applyAlignment="1">
      <alignment horizontal="center" vertical="center"/>
    </xf>
    <xf numFmtId="49" fontId="51" fillId="6" borderId="6"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28" xfId="0" applyFont="1" applyFill="1" applyBorder="1" applyAlignment="1">
      <alignment horizontal="right" vertical="center"/>
    </xf>
    <xf numFmtId="0" fontId="51" fillId="6" borderId="21" xfId="0" applyFont="1" applyFill="1" applyBorder="1" applyAlignment="1">
      <alignment horizontal="center" vertical="center"/>
    </xf>
    <xf numFmtId="49" fontId="56" fillId="6" borderId="11" xfId="0" applyNumberFormat="1" applyFont="1" applyFill="1" applyBorder="1">
      <alignment vertical="center"/>
    </xf>
    <xf numFmtId="0" fontId="56" fillId="6" borderId="13" xfId="0" applyFont="1" applyFill="1" applyBorder="1" applyAlignment="1">
      <alignment vertical="center" wrapText="1"/>
    </xf>
    <xf numFmtId="0" fontId="56" fillId="6" borderId="13" xfId="0" applyFont="1" applyFill="1" applyBorder="1" applyAlignment="1">
      <alignment horizontal="center" vertical="center"/>
    </xf>
    <xf numFmtId="0" fontId="51" fillId="6" borderId="1" xfId="0" applyFont="1" applyFill="1" applyBorder="1" applyAlignment="1">
      <alignment horizontal="left" vertical="center"/>
    </xf>
    <xf numFmtId="0" fontId="56" fillId="6" borderId="24" xfId="0" applyFont="1" applyFill="1" applyBorder="1" applyAlignment="1">
      <alignment horizontal="center" vertical="center"/>
    </xf>
    <xf numFmtId="49" fontId="56" fillId="6" borderId="14" xfId="0" applyNumberFormat="1" applyFont="1" applyFill="1" applyBorder="1">
      <alignment vertical="center"/>
    </xf>
    <xf numFmtId="0" fontId="56" fillId="6" borderId="15" xfId="0" applyFont="1" applyFill="1" applyBorder="1" applyAlignment="1">
      <alignment vertical="center" wrapText="1"/>
    </xf>
    <xf numFmtId="0" fontId="56" fillId="6" borderId="15" xfId="0" applyFont="1" applyFill="1" applyBorder="1" applyAlignment="1">
      <alignment horizontal="center" vertical="center"/>
    </xf>
    <xf numFmtId="0" fontId="51" fillId="6" borderId="15" xfId="0" applyFont="1" applyFill="1" applyBorder="1">
      <alignment vertical="center"/>
    </xf>
    <xf numFmtId="49" fontId="56" fillId="6" borderId="41" xfId="0" applyNumberFormat="1" applyFont="1" applyFill="1" applyBorder="1">
      <alignment vertical="center"/>
    </xf>
    <xf numFmtId="0" fontId="56" fillId="6" borderId="2" xfId="0" applyFont="1" applyFill="1" applyBorder="1" applyAlignment="1">
      <alignment vertical="center" wrapText="1"/>
    </xf>
    <xf numFmtId="0" fontId="56" fillId="6" borderId="2" xfId="0" applyFont="1" applyFill="1" applyBorder="1" applyAlignment="1">
      <alignment horizontal="center" vertical="center"/>
    </xf>
    <xf numFmtId="0" fontId="51" fillId="6" borderId="2" xfId="0" applyFont="1" applyFill="1" applyBorder="1">
      <alignment vertical="center"/>
    </xf>
    <xf numFmtId="181" fontId="56" fillId="6" borderId="24" xfId="0" applyNumberFormat="1" applyFont="1" applyFill="1" applyBorder="1" applyAlignment="1">
      <alignment horizontal="center" vertical="center"/>
    </xf>
    <xf numFmtId="0" fontId="51" fillId="6" borderId="13" xfId="0" applyFont="1" applyFill="1" applyBorder="1" applyAlignment="1">
      <alignment horizontal="left" vertical="center"/>
    </xf>
    <xf numFmtId="181" fontId="56" fillId="6" borderId="61" xfId="0" applyNumberFormat="1" applyFont="1" applyFill="1" applyBorder="1" applyAlignment="1">
      <alignment horizontal="center" vertical="center"/>
    </xf>
    <xf numFmtId="49" fontId="56" fillId="6" borderId="23" xfId="0" applyNumberFormat="1" applyFont="1" applyFill="1" applyBorder="1" applyAlignment="1">
      <alignment horizontal="left" vertical="center"/>
    </xf>
    <xf numFmtId="0" fontId="56" fillId="6" borderId="1" xfId="0" applyFont="1" applyFill="1" applyBorder="1" applyAlignment="1">
      <alignment horizontal="center" vertical="center"/>
    </xf>
    <xf numFmtId="181" fontId="51" fillId="6" borderId="61" xfId="0" applyNumberFormat="1" applyFont="1" applyFill="1" applyBorder="1" applyAlignment="1">
      <alignment horizontal="center" vertical="center"/>
    </xf>
    <xf numFmtId="0" fontId="105" fillId="6" borderId="5" xfId="0" applyFont="1" applyFill="1" applyBorder="1" applyAlignment="1">
      <alignment horizontal="center" vertical="center"/>
    </xf>
    <xf numFmtId="179" fontId="56" fillId="6" borderId="48" xfId="0" applyNumberFormat="1" applyFont="1" applyFill="1" applyBorder="1" applyAlignment="1">
      <alignment horizontal="center" vertical="center"/>
    </xf>
    <xf numFmtId="0" fontId="51" fillId="6" borderId="2" xfId="0" applyFont="1" applyFill="1" applyBorder="1" applyAlignment="1">
      <alignment horizontal="left" vertical="center"/>
    </xf>
    <xf numFmtId="181" fontId="51" fillId="6" borderId="8" xfId="0" applyNumberFormat="1" applyFont="1" applyFill="1" applyBorder="1" applyAlignment="1">
      <alignment horizontal="center" vertical="center"/>
    </xf>
    <xf numFmtId="181" fontId="51" fillId="6" borderId="24" xfId="0" applyNumberFormat="1" applyFont="1" applyFill="1" applyBorder="1" applyAlignment="1">
      <alignment horizontal="center" vertical="center"/>
    </xf>
    <xf numFmtId="0" fontId="51" fillId="6" borderId="1" xfId="0" applyFont="1" applyFill="1" applyBorder="1" applyAlignment="1">
      <alignment vertical="center" wrapText="1"/>
    </xf>
    <xf numFmtId="0" fontId="51" fillId="6" borderId="13" xfId="0" applyFont="1" applyFill="1" applyBorder="1" applyAlignment="1">
      <alignment horizontal="left" vertical="center" wrapText="1"/>
    </xf>
    <xf numFmtId="0" fontId="51" fillId="6" borderId="24" xfId="0" applyFont="1" applyFill="1" applyBorder="1" applyAlignment="1">
      <alignment horizontal="center" vertical="center"/>
    </xf>
    <xf numFmtId="49" fontId="51" fillId="6" borderId="41" xfId="0" applyNumberFormat="1" applyFont="1" applyFill="1" applyBorder="1">
      <alignment vertical="center"/>
    </xf>
    <xf numFmtId="0" fontId="51" fillId="6" borderId="2" xfId="0" applyFont="1" applyFill="1" applyBorder="1" applyAlignment="1">
      <alignment horizontal="left" vertical="center" wrapText="1"/>
    </xf>
    <xf numFmtId="10" fontId="56" fillId="6" borderId="24" xfId="0" applyNumberFormat="1" applyFont="1" applyFill="1" applyBorder="1" applyAlignment="1">
      <alignment horizontal="center" vertical="center"/>
    </xf>
    <xf numFmtId="183" fontId="56" fillId="6" borderId="24" xfId="0" applyNumberFormat="1" applyFont="1" applyFill="1" applyBorder="1" applyAlignment="1">
      <alignment horizontal="center" vertical="center"/>
    </xf>
    <xf numFmtId="10" fontId="51" fillId="6" borderId="24" xfId="0" applyNumberFormat="1" applyFont="1" applyFill="1" applyBorder="1" applyAlignment="1">
      <alignment horizontal="center" vertical="center"/>
    </xf>
    <xf numFmtId="0" fontId="51" fillId="6" borderId="15" xfId="0" applyFont="1" applyFill="1" applyBorder="1" applyAlignment="1">
      <alignment horizontal="left" vertical="center" wrapText="1"/>
    </xf>
    <xf numFmtId="179" fontId="56" fillId="6" borderId="24"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6" fillId="6" borderId="32" xfId="0" applyFont="1" applyFill="1" applyBorder="1" applyAlignment="1">
      <alignment horizontal="left" vertical="center"/>
    </xf>
    <xf numFmtId="0" fontId="56" fillId="6" borderId="32" xfId="0" applyFont="1" applyFill="1" applyBorder="1" applyAlignment="1">
      <alignment horizontal="center" vertical="center"/>
    </xf>
    <xf numFmtId="0" fontId="51" fillId="6" borderId="32" xfId="0" applyFont="1" applyFill="1" applyBorder="1">
      <alignment vertical="center"/>
    </xf>
    <xf numFmtId="0" fontId="51" fillId="6" borderId="32" xfId="0" applyFont="1" applyFill="1" applyBorder="1" applyAlignment="1">
      <alignment horizontal="left" vertical="center"/>
    </xf>
    <xf numFmtId="179" fontId="56" fillId="6" borderId="49" xfId="0" applyNumberFormat="1" applyFont="1" applyFill="1" applyBorder="1" applyAlignment="1">
      <alignment horizontal="center" vertical="center"/>
    </xf>
    <xf numFmtId="0" fontId="57" fillId="6" borderId="1" xfId="0" applyFont="1" applyFill="1" applyBorder="1" applyAlignment="1">
      <alignment horizontal="left"/>
    </xf>
    <xf numFmtId="186" fontId="57" fillId="6" borderId="1" xfId="0" applyNumberFormat="1" applyFont="1" applyFill="1" applyBorder="1" applyAlignment="1">
      <alignment horizontal="center"/>
    </xf>
    <xf numFmtId="0" fontId="57" fillId="6" borderId="1" xfId="0" applyFont="1" applyFill="1" applyBorder="1" applyAlignment="1">
      <alignment vertical="center" wrapText="1"/>
    </xf>
    <xf numFmtId="181" fontId="56" fillId="6" borderId="1" xfId="0" applyNumberFormat="1" applyFont="1" applyFill="1" applyBorder="1" applyAlignment="1">
      <alignment horizontal="center" vertical="center"/>
    </xf>
    <xf numFmtId="0" fontId="108" fillId="6" borderId="1" xfId="0" applyFont="1" applyFill="1" applyBorder="1" applyAlignment="1">
      <alignment horizontal="left"/>
    </xf>
    <xf numFmtId="0" fontId="108" fillId="6" borderId="1" xfId="0" applyFont="1" applyFill="1" applyBorder="1" applyAlignment="1">
      <alignment horizontal="center"/>
    </xf>
    <xf numFmtId="0" fontId="64" fillId="6" borderId="1" xfId="0" applyFont="1" applyFill="1" applyBorder="1" applyAlignment="1">
      <alignment horizontal="center"/>
    </xf>
    <xf numFmtId="0" fontId="62" fillId="0" borderId="0" xfId="0" applyFont="1" applyAlignment="1" applyProtection="1">
      <alignment horizontal="center" vertical="center"/>
      <protection locked="0"/>
    </xf>
    <xf numFmtId="0" fontId="107" fillId="6" borderId="46" xfId="0" applyFont="1" applyFill="1" applyBorder="1">
      <alignment vertical="center"/>
    </xf>
    <xf numFmtId="0" fontId="66" fillId="6" borderId="36" xfId="0" applyFont="1" applyFill="1" applyBorder="1" applyAlignment="1">
      <alignment horizontal="right" vertical="center"/>
    </xf>
    <xf numFmtId="0" fontId="66" fillId="6" borderId="0" xfId="0" applyFont="1" applyFill="1" applyAlignment="1">
      <alignment horizontal="center" vertical="center"/>
    </xf>
    <xf numFmtId="0" fontId="67" fillId="0" borderId="0" xfId="0" applyFont="1" applyAlignment="1" applyProtection="1">
      <alignment horizontal="center" vertical="center"/>
      <protection locked="0"/>
    </xf>
    <xf numFmtId="0" fontId="61" fillId="6" borderId="13" xfId="0" applyFont="1" applyFill="1" applyBorder="1" applyAlignment="1">
      <alignment horizontal="right" vertical="center"/>
    </xf>
    <xf numFmtId="0" fontId="61" fillId="6" borderId="13" xfId="0" applyFont="1" applyFill="1" applyBorder="1" applyAlignment="1">
      <alignment horizontal="center" vertical="center"/>
    </xf>
    <xf numFmtId="0" fontId="54" fillId="6" borderId="16" xfId="0" applyFont="1" applyFill="1" applyBorder="1" applyAlignment="1">
      <alignment vertical="center" wrapText="1"/>
    </xf>
    <xf numFmtId="0" fontId="54" fillId="6" borderId="19" xfId="0" applyFont="1" applyFill="1" applyBorder="1" applyAlignment="1">
      <alignment vertical="center" wrapText="1"/>
    </xf>
    <xf numFmtId="0" fontId="55" fillId="0" borderId="0" xfId="0" applyFont="1" applyAlignment="1" applyProtection="1">
      <alignment horizontal="center" vertical="center"/>
      <protection locked="0"/>
    </xf>
    <xf numFmtId="0" fontId="54" fillId="6" borderId="18" xfId="0" applyFont="1" applyFill="1" applyBorder="1" applyAlignment="1">
      <alignment vertical="center" wrapText="1"/>
    </xf>
    <xf numFmtId="0" fontId="54" fillId="6" borderId="0" xfId="0" applyFont="1" applyFill="1" applyAlignment="1">
      <alignment vertical="center" wrapText="1"/>
    </xf>
    <xf numFmtId="0" fontId="54" fillId="6" borderId="42" xfId="0" applyFont="1" applyFill="1" applyBorder="1" applyAlignment="1">
      <alignment vertical="center" wrapText="1"/>
    </xf>
    <xf numFmtId="0" fontId="54" fillId="6" borderId="47" xfId="0" applyFont="1" applyFill="1" applyBorder="1" applyAlignment="1">
      <alignment vertical="center" wrapText="1"/>
    </xf>
    <xf numFmtId="0" fontId="50" fillId="6" borderId="63" xfId="0" applyFont="1" applyFill="1" applyBorder="1" applyAlignment="1">
      <alignment vertical="center" wrapText="1"/>
    </xf>
    <xf numFmtId="0" fontId="50" fillId="6" borderId="64" xfId="0" applyFont="1" applyFill="1" applyBorder="1" applyAlignment="1">
      <alignment vertical="center" wrapText="1"/>
    </xf>
    <xf numFmtId="184" fontId="48" fillId="6" borderId="26" xfId="0" applyNumberFormat="1" applyFont="1" applyFill="1" applyBorder="1" applyAlignment="1">
      <alignment horizontal="center" vertical="center" wrapText="1"/>
    </xf>
    <xf numFmtId="0" fontId="48" fillId="6" borderId="67" xfId="0" applyFont="1" applyFill="1" applyBorder="1" applyAlignment="1">
      <alignment horizontal="center" vertical="center" wrapText="1"/>
    </xf>
    <xf numFmtId="184" fontId="48" fillId="0" borderId="70" xfId="0" applyNumberFormat="1" applyFont="1" applyBorder="1" applyAlignment="1" applyProtection="1">
      <alignment horizontal="center" vertical="center" wrapText="1"/>
      <protection locked="0"/>
    </xf>
    <xf numFmtId="0" fontId="48" fillId="6" borderId="34" xfId="0" applyFont="1" applyFill="1" applyBorder="1" applyAlignment="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lignment vertical="center" wrapText="1"/>
    </xf>
    <xf numFmtId="0" fontId="48" fillId="0" borderId="51" xfId="0" applyFont="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lignment vertical="center" wrapText="1"/>
    </xf>
    <xf numFmtId="0" fontId="48" fillId="6" borderId="5" xfId="0" applyFont="1" applyFill="1" applyBorder="1" applyAlignment="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62" fillId="0" borderId="48" xfId="0" applyFont="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54" fillId="6" borderId="14" xfId="0" applyFont="1" applyFill="1" applyBorder="1" applyAlignment="1">
      <alignment vertical="center" wrapText="1"/>
    </xf>
    <xf numFmtId="0" fontId="48" fillId="0" borderId="23"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0" fillId="6" borderId="14" xfId="0" applyFont="1" applyFill="1" applyBorder="1" applyAlignment="1">
      <alignment vertical="center" wrapText="1"/>
    </xf>
    <xf numFmtId="0" fontId="48" fillId="0" borderId="41" xfId="0" applyFont="1" applyBorder="1" applyAlignment="1" applyProtection="1">
      <alignment horizontal="center" vertical="center" wrapText="1"/>
      <protection locked="0"/>
    </xf>
    <xf numFmtId="0" fontId="48" fillId="6" borderId="71" xfId="0" applyFont="1" applyFill="1" applyBorder="1" applyAlignment="1">
      <alignment horizontal="center" vertical="center" wrapText="1"/>
    </xf>
    <xf numFmtId="0" fontId="55" fillId="0" borderId="37" xfId="0" applyFont="1" applyBorder="1" applyAlignment="1" applyProtection="1">
      <alignment horizontal="center" vertical="center" wrapText="1"/>
      <protection locked="0"/>
    </xf>
    <xf numFmtId="0" fontId="55" fillId="6" borderId="24" xfId="0" applyFont="1" applyFill="1" applyBorder="1" applyAlignment="1">
      <alignment horizontal="center" vertical="center" wrapText="1"/>
    </xf>
    <xf numFmtId="0" fontId="54" fillId="6" borderId="12" xfId="0" applyFont="1" applyFill="1" applyBorder="1" applyAlignment="1">
      <alignment vertical="center" wrapText="1"/>
    </xf>
    <xf numFmtId="0" fontId="55" fillId="0" borderId="38" xfId="0" applyFont="1" applyBorder="1" applyAlignment="1" applyProtection="1">
      <alignment horizontal="center" vertical="center" wrapText="1"/>
      <protection locked="0"/>
    </xf>
    <xf numFmtId="0" fontId="55" fillId="6" borderId="4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4" fillId="6" borderId="40" xfId="0" applyFont="1" applyFill="1" applyBorder="1" applyAlignment="1">
      <alignment vertical="center" wrapText="1"/>
    </xf>
    <xf numFmtId="0" fontId="55" fillId="6" borderId="62" xfId="0" applyFont="1" applyFill="1" applyBorder="1" applyAlignment="1">
      <alignment horizontal="center" vertical="center" wrapText="1"/>
    </xf>
    <xf numFmtId="49" fontId="55" fillId="0" borderId="39" xfId="0" applyNumberFormat="1" applyFont="1" applyBorder="1" applyAlignment="1" applyProtection="1">
      <alignment horizontal="center" vertical="center" wrapText="1"/>
      <protection locked="0"/>
    </xf>
    <xf numFmtId="0" fontId="55" fillId="6" borderId="29" xfId="0" applyFont="1" applyFill="1" applyBorder="1" applyAlignment="1">
      <alignment horizontal="center" vertical="center" wrapText="1"/>
    </xf>
    <xf numFmtId="49" fontId="55" fillId="0" borderId="40" xfId="0" applyNumberFormat="1"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55" fillId="6" borderId="0" xfId="0" applyFont="1" applyFill="1" applyAlignment="1">
      <alignment horizontal="center" vertical="center"/>
    </xf>
    <xf numFmtId="0" fontId="55" fillId="2" borderId="41" xfId="0" applyFont="1" applyFill="1" applyBorder="1" applyAlignment="1" applyProtection="1">
      <alignment horizontal="center" vertical="center" wrapText="1"/>
      <protection locked="0"/>
    </xf>
    <xf numFmtId="0" fontId="55" fillId="6" borderId="8"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48" fillId="6" borderId="46" xfId="0" applyFont="1" applyFill="1" applyBorder="1" applyAlignment="1">
      <alignment horizontal="center" vertical="center" wrapText="1"/>
    </xf>
    <xf numFmtId="49" fontId="55" fillId="0" borderId="35" xfId="0" applyNumberFormat="1" applyFont="1" applyBorder="1" applyAlignment="1" applyProtection="1">
      <alignment horizontal="center" vertical="center" wrapText="1"/>
      <protection locked="0"/>
    </xf>
    <xf numFmtId="0" fontId="55" fillId="6" borderId="58" xfId="0" applyFont="1" applyFill="1" applyBorder="1" applyAlignment="1">
      <alignment horizontal="center" vertical="center" wrapText="1"/>
    </xf>
    <xf numFmtId="49" fontId="55" fillId="0" borderId="14" xfId="0" applyNumberFormat="1" applyFont="1" applyBorder="1" applyAlignment="1" applyProtection="1">
      <alignment horizontal="center" vertical="center" wrapText="1"/>
      <protection locked="0"/>
    </xf>
    <xf numFmtId="0" fontId="55" fillId="6" borderId="61" xfId="0" applyFont="1" applyFill="1" applyBorder="1" applyAlignment="1">
      <alignment horizontal="center" vertical="center" wrapText="1"/>
    </xf>
    <xf numFmtId="0" fontId="48" fillId="6" borderId="4" xfId="0" applyFont="1" applyFill="1" applyBorder="1" applyAlignment="1">
      <alignment horizontal="center" vertical="center" wrapText="1"/>
    </xf>
    <xf numFmtId="49" fontId="55" fillId="0" borderId="22" xfId="0" applyNumberFormat="1" applyFont="1" applyBorder="1" applyAlignment="1" applyProtection="1">
      <alignment horizontal="center" vertical="center" wrapText="1"/>
      <protection locked="0"/>
    </xf>
    <xf numFmtId="0" fontId="55" fillId="6" borderId="46" xfId="0" applyFont="1" applyFill="1" applyBorder="1" applyAlignment="1">
      <alignment horizontal="center" vertical="center" wrapText="1"/>
    </xf>
    <xf numFmtId="49" fontId="55" fillId="0" borderId="11" xfId="0" applyNumberFormat="1" applyFont="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6" borderId="5" xfId="0" applyFont="1" applyFill="1" applyBorder="1" applyAlignment="1">
      <alignment horizontal="center" vertical="center" wrapText="1"/>
    </xf>
    <xf numFmtId="0" fontId="48" fillId="6" borderId="8" xfId="0" applyFont="1" applyFill="1" applyBorder="1" applyAlignment="1">
      <alignment horizontal="center" vertical="center" wrapText="1"/>
    </xf>
    <xf numFmtId="49" fontId="48" fillId="0" borderId="7" xfId="0" applyNumberFormat="1" applyFont="1" applyBorder="1" applyAlignment="1" applyProtection="1">
      <alignment horizontal="center" vertical="center" wrapText="1"/>
      <protection locked="0"/>
    </xf>
    <xf numFmtId="49" fontId="48" fillId="0" borderId="41" xfId="0" applyNumberFormat="1" applyFont="1" applyBorder="1" applyAlignment="1" applyProtection="1">
      <alignment horizontal="center" vertical="center" wrapText="1"/>
      <protection locked="0"/>
    </xf>
    <xf numFmtId="0" fontId="54" fillId="6" borderId="40" xfId="0" applyFont="1" applyFill="1" applyBorder="1" applyAlignment="1">
      <alignment vertical="center" textRotation="255" wrapText="1"/>
    </xf>
    <xf numFmtId="0" fontId="55" fillId="6" borderId="10" xfId="0" applyFont="1" applyFill="1" applyBorder="1" applyAlignment="1">
      <alignment horizontal="center" vertical="center" wrapText="1"/>
    </xf>
    <xf numFmtId="0" fontId="73" fillId="6" borderId="14" xfId="0" applyFont="1" applyFill="1" applyBorder="1" applyAlignment="1">
      <alignment vertical="center" textRotation="255" wrapText="1"/>
    </xf>
    <xf numFmtId="0" fontId="48" fillId="0" borderId="37" xfId="0" applyFont="1" applyBorder="1" applyAlignment="1" applyProtection="1">
      <alignment horizontal="center" vertical="center" wrapText="1"/>
      <protection locked="0"/>
    </xf>
    <xf numFmtId="0" fontId="53" fillId="0" borderId="0" xfId="0" applyFont="1" applyAlignment="1" applyProtection="1">
      <alignment horizontal="center" vertical="center"/>
      <protection locked="0"/>
    </xf>
    <xf numFmtId="0" fontId="54" fillId="6" borderId="14" xfId="0" applyFont="1" applyFill="1" applyBorder="1" applyAlignment="1">
      <alignment vertical="center" textRotation="255" wrapText="1"/>
    </xf>
    <xf numFmtId="0" fontId="50" fillId="6" borderId="14" xfId="0" applyFont="1" applyFill="1" applyBorder="1" applyAlignment="1">
      <alignment vertical="center" textRotation="255" wrapText="1"/>
    </xf>
    <xf numFmtId="9" fontId="48" fillId="0" borderId="37" xfId="0" applyNumberFormat="1" applyFont="1" applyBorder="1" applyAlignment="1" applyProtection="1">
      <alignment horizontal="center" vertical="center" wrapText="1"/>
      <protection locked="0"/>
    </xf>
    <xf numFmtId="9" fontId="48" fillId="0" borderId="3" xfId="0" applyNumberFormat="1" applyFont="1" applyBorder="1" applyAlignment="1" applyProtection="1">
      <alignment horizontal="center" vertical="center" wrapText="1"/>
      <protection locked="0"/>
    </xf>
    <xf numFmtId="9" fontId="48" fillId="0" borderId="23"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4" fillId="6" borderId="12" xfId="0" applyFont="1" applyFill="1" applyBorder="1" applyAlignment="1">
      <alignment vertical="center" textRotation="255" wrapText="1"/>
    </xf>
    <xf numFmtId="49" fontId="54" fillId="6" borderId="51" xfId="0" applyNumberFormat="1" applyFont="1" applyFill="1" applyBorder="1">
      <alignment vertical="center"/>
    </xf>
    <xf numFmtId="49" fontId="54" fillId="6" borderId="20" xfId="0" applyNumberFormat="1" applyFont="1" applyFill="1" applyBorder="1">
      <alignment vertical="center"/>
    </xf>
    <xf numFmtId="0" fontId="54" fillId="6" borderId="21" xfId="0" applyFont="1" applyFill="1" applyBorder="1" applyAlignment="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lignment vertical="center" wrapText="1"/>
    </xf>
    <xf numFmtId="49" fontId="54" fillId="6" borderId="38" xfId="0" applyNumberFormat="1" applyFont="1" applyFill="1" applyBorder="1">
      <alignment vertical="center"/>
    </xf>
    <xf numFmtId="49" fontId="54" fillId="6" borderId="52" xfId="0" applyNumberFormat="1" applyFont="1" applyFill="1" applyBorder="1">
      <alignment vertical="center"/>
    </xf>
    <xf numFmtId="186" fontId="54" fillId="6" borderId="38" xfId="0" applyNumberFormat="1" applyFont="1" applyFill="1" applyBorder="1" applyAlignment="1">
      <alignment vertical="center" wrapText="1"/>
    </xf>
    <xf numFmtId="186" fontId="54" fillId="6" borderId="52" xfId="0" applyNumberFormat="1" applyFont="1" applyFill="1" applyBorder="1" applyAlignment="1">
      <alignment vertical="center" wrapText="1"/>
    </xf>
    <xf numFmtId="49" fontId="54" fillId="0" borderId="42" xfId="0" applyNumberFormat="1" applyFont="1" applyBorder="1" applyProtection="1">
      <alignment vertical="center"/>
      <protection locked="0"/>
    </xf>
    <xf numFmtId="49" fontId="54" fillId="0" borderId="43" xfId="0" applyNumberFormat="1" applyFont="1" applyBorder="1" applyProtection="1">
      <alignment vertical="center"/>
      <protection locked="0"/>
    </xf>
    <xf numFmtId="186" fontId="54" fillId="6" borderId="47" xfId="0" applyNumberFormat="1" applyFont="1" applyFill="1" applyBorder="1" applyAlignment="1">
      <alignment vertical="center" wrapText="1"/>
    </xf>
    <xf numFmtId="189" fontId="55" fillId="0" borderId="0" xfId="0" applyNumberFormat="1" applyFont="1" applyAlignment="1" applyProtection="1">
      <alignment horizontal="center" vertical="center"/>
      <protection locked="0"/>
    </xf>
    <xf numFmtId="181" fontId="55" fillId="0" borderId="0" xfId="0" applyNumberFormat="1" applyFont="1" applyAlignment="1" applyProtection="1">
      <alignment horizontal="center" vertical="center"/>
      <protection locked="0"/>
    </xf>
    <xf numFmtId="0" fontId="54" fillId="6" borderId="1" xfId="0" applyFont="1" applyFill="1" applyBorder="1" applyAlignment="1">
      <alignment horizontal="left" vertical="center"/>
    </xf>
    <xf numFmtId="0" fontId="54" fillId="6" borderId="1" xfId="0" applyFont="1" applyFill="1" applyBorder="1" applyAlignment="1">
      <alignment horizontal="center" vertical="center" wrapText="1"/>
    </xf>
    <xf numFmtId="181" fontId="55" fillId="6" borderId="5" xfId="0" applyNumberFormat="1" applyFont="1" applyFill="1" applyBorder="1" applyAlignment="1">
      <alignment horizontal="center" vertical="center"/>
    </xf>
    <xf numFmtId="181" fontId="55" fillId="6" borderId="3" xfId="0" applyNumberFormat="1" applyFont="1" applyFill="1" applyBorder="1">
      <alignment vertical="center"/>
    </xf>
    <xf numFmtId="0" fontId="54" fillId="6" borderId="3" xfId="0" applyFont="1" applyFill="1" applyBorder="1" applyAlignment="1">
      <alignment horizontal="center" vertical="center" wrapText="1"/>
    </xf>
    <xf numFmtId="0" fontId="72" fillId="0" borderId="0" xfId="0" applyFont="1" applyAlignment="1" applyProtection="1">
      <alignment horizontal="center" vertical="center"/>
      <protection locked="0"/>
    </xf>
    <xf numFmtId="0" fontId="55"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50" fillId="6" borderId="16" xfId="0" applyFont="1" applyFill="1" applyBorder="1" applyAlignment="1">
      <alignment vertical="center" wrapText="1"/>
    </xf>
    <xf numFmtId="0" fontId="50" fillId="6" borderId="39" xfId="0" applyFont="1" applyFill="1" applyBorder="1" applyAlignment="1">
      <alignment vertical="center" wrapText="1"/>
    </xf>
    <xf numFmtId="49" fontId="48" fillId="0" borderId="0" xfId="0" applyNumberFormat="1"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35" xfId="0" applyFont="1" applyFill="1" applyBorder="1" applyAlignment="1">
      <alignment vertical="center" wrapText="1"/>
    </xf>
    <xf numFmtId="0" fontId="48" fillId="0" borderId="22"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48" fillId="0" borderId="46" xfId="0" applyFont="1" applyBorder="1" applyAlignment="1" applyProtection="1">
      <alignment horizontal="center" vertical="center" wrapText="1"/>
      <protection locked="0"/>
    </xf>
    <xf numFmtId="0" fontId="48" fillId="0" borderId="61" xfId="0" applyFont="1" applyBorder="1" applyAlignment="1" applyProtection="1">
      <alignment horizontal="center" vertical="center" wrapText="1"/>
      <protection locked="0"/>
    </xf>
    <xf numFmtId="0" fontId="50" fillId="6" borderId="42" xfId="0" applyFont="1" applyFill="1" applyBorder="1">
      <alignment vertical="center"/>
    </xf>
    <xf numFmtId="0" fontId="50" fillId="6" borderId="73" xfId="0" applyFont="1" applyFill="1" applyBorder="1" applyAlignment="1">
      <alignment vertical="center" wrapText="1"/>
    </xf>
    <xf numFmtId="0" fontId="48" fillId="0" borderId="73" xfId="0"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0" borderId="75" xfId="0" applyFont="1" applyBorder="1" applyAlignment="1" applyProtection="1">
      <alignment horizontal="center" vertical="center" wrapText="1"/>
      <protection locked="0"/>
    </xf>
    <xf numFmtId="0" fontId="48" fillId="0" borderId="76" xfId="0" applyFont="1" applyBorder="1" applyAlignment="1" applyProtection="1">
      <alignment horizontal="center" vertical="center" wrapText="1"/>
      <protection locked="0"/>
    </xf>
    <xf numFmtId="0" fontId="50" fillId="6" borderId="58" xfId="0" applyFont="1" applyFill="1" applyBorder="1" applyAlignment="1">
      <alignment vertical="center" wrapText="1"/>
    </xf>
    <xf numFmtId="0" fontId="48" fillId="6" borderId="7" xfId="0" applyFont="1" applyFill="1" applyBorder="1" applyAlignment="1">
      <alignment horizontal="center" vertical="center" wrapText="1"/>
    </xf>
    <xf numFmtId="0" fontId="48" fillId="0" borderId="2"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104" fillId="0" borderId="0" xfId="0" applyFont="1" applyProtection="1">
      <alignment vertical="center"/>
      <protection locked="0"/>
    </xf>
    <xf numFmtId="0" fontId="48" fillId="6" borderId="17" xfId="0" applyFont="1" applyFill="1" applyBorder="1" applyAlignment="1">
      <alignment horizontal="center" vertical="center" wrapText="1"/>
    </xf>
    <xf numFmtId="0" fontId="55" fillId="6" borderId="9" xfId="0" applyFont="1" applyFill="1" applyBorder="1" applyAlignment="1">
      <alignment horizontal="center" vertical="center" wrapText="1"/>
    </xf>
    <xf numFmtId="0" fontId="55" fillId="0" borderId="9" xfId="0"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72" fillId="0" borderId="9" xfId="0" applyFont="1" applyBorder="1" applyAlignment="1" applyProtection="1">
      <alignment horizontal="left" vertical="center" wrapText="1"/>
      <protection locked="0"/>
    </xf>
    <xf numFmtId="0" fontId="72" fillId="0" borderId="10" xfId="0" applyFont="1" applyBorder="1" applyAlignment="1" applyProtection="1">
      <alignment horizontal="center" vertical="center" wrapText="1"/>
      <protection locked="0"/>
    </xf>
    <xf numFmtId="0" fontId="53" fillId="6" borderId="77" xfId="0" applyFont="1" applyFill="1" applyBorder="1" applyAlignment="1">
      <alignment horizontal="center" vertical="center" wrapText="1"/>
    </xf>
    <xf numFmtId="0" fontId="55" fillId="0" borderId="78" xfId="0" applyFont="1" applyBorder="1" applyAlignment="1" applyProtection="1">
      <alignment horizontal="center" vertical="center" wrapText="1"/>
      <protection locked="0"/>
    </xf>
    <xf numFmtId="0" fontId="55" fillId="0" borderId="79" xfId="0" applyFont="1" applyBorder="1" applyAlignment="1" applyProtection="1">
      <alignment horizontal="center" vertical="center" wrapText="1"/>
      <protection locked="0"/>
    </xf>
    <xf numFmtId="0" fontId="48" fillId="6" borderId="57" xfId="0" applyFont="1" applyFill="1" applyBorder="1" applyAlignment="1">
      <alignment horizontal="center" vertical="center" wrapText="1"/>
    </xf>
    <xf numFmtId="0" fontId="55" fillId="6" borderId="44" xfId="0" applyFont="1" applyFill="1" applyBorder="1" applyAlignment="1">
      <alignment horizontal="center" vertical="center" wrapText="1"/>
    </xf>
    <xf numFmtId="0" fontId="72" fillId="6" borderId="44" xfId="0" applyFont="1" applyFill="1" applyBorder="1" applyAlignment="1">
      <alignment horizontal="center" vertical="center" wrapText="1"/>
    </xf>
    <xf numFmtId="0" fontId="72" fillId="6" borderId="44" xfId="0" applyFont="1" applyFill="1" applyBorder="1" applyAlignment="1">
      <alignment horizontal="left" vertical="center" wrapText="1"/>
    </xf>
    <xf numFmtId="0" fontId="72" fillId="6" borderId="45" xfId="0" applyFont="1" applyFill="1" applyBorder="1" applyAlignment="1">
      <alignment horizontal="center" vertical="center" wrapText="1"/>
    </xf>
    <xf numFmtId="0" fontId="48" fillId="6" borderId="77" xfId="0" applyFont="1" applyFill="1" applyBorder="1" applyAlignment="1">
      <alignment horizontal="center" vertical="center" wrapText="1"/>
    </xf>
    <xf numFmtId="0" fontId="55" fillId="6" borderId="78" xfId="0" applyFont="1" applyFill="1" applyBorder="1" applyAlignment="1">
      <alignment horizontal="center" vertical="center" wrapText="1"/>
    </xf>
    <xf numFmtId="0" fontId="55" fillId="6" borderId="79"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1" xfId="0" applyFont="1" applyBorder="1" applyAlignment="1" applyProtection="1">
      <alignment horizontal="left" vertical="center" wrapText="1"/>
      <protection locked="0"/>
    </xf>
    <xf numFmtId="0" fontId="72" fillId="0" borderId="24" xfId="0" applyFont="1" applyBorder="1" applyAlignment="1" applyProtection="1">
      <alignment horizontal="center" vertical="center" wrapText="1"/>
      <protection locked="0"/>
    </xf>
    <xf numFmtId="0" fontId="73" fillId="6" borderId="14" xfId="0" applyFont="1" applyFill="1" applyBorder="1" applyAlignment="1">
      <alignment vertical="center" wrapText="1"/>
    </xf>
    <xf numFmtId="0" fontId="48"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9" fontId="53" fillId="0" borderId="0" xfId="0" applyNumberFormat="1" applyFont="1" applyAlignment="1" applyProtection="1">
      <alignment horizontal="center" vertical="center"/>
      <protection locked="0"/>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2" xfId="0" applyFont="1" applyBorder="1" applyAlignment="1" applyProtection="1">
      <alignment horizontal="left" vertical="center" wrapText="1"/>
      <protection locked="0"/>
    </xf>
    <xf numFmtId="0" fontId="53" fillId="0" borderId="8" xfId="0" applyFont="1" applyBorder="1" applyAlignment="1" applyProtection="1">
      <alignment horizontal="center" vertical="center" wrapText="1"/>
      <protection locked="0"/>
    </xf>
    <xf numFmtId="0" fontId="53" fillId="0" borderId="0" xfId="0" applyFont="1" applyAlignment="1" applyProtection="1">
      <alignment vertical="center" wrapText="1"/>
      <protection locked="0"/>
    </xf>
    <xf numFmtId="0" fontId="73" fillId="6" borderId="12" xfId="0" applyFont="1" applyFill="1" applyBorder="1" applyAlignment="1">
      <alignment vertical="center" wrapText="1"/>
    </xf>
    <xf numFmtId="0" fontId="48" fillId="6" borderId="74" xfId="0" applyFont="1" applyFill="1" applyBorder="1" applyAlignment="1">
      <alignment horizontal="center" vertical="center" wrapText="1"/>
    </xf>
    <xf numFmtId="0" fontId="48"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8" fillId="6" borderId="9"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2" fillId="6" borderId="9" xfId="0" applyFont="1" applyFill="1" applyBorder="1" applyAlignment="1">
      <alignment horizontal="left" vertical="center" wrapText="1"/>
    </xf>
    <xf numFmtId="0" fontId="72" fillId="6" borderId="10" xfId="0" applyFont="1" applyFill="1" applyBorder="1" applyAlignment="1">
      <alignment horizontal="center" vertical="center" wrapText="1"/>
    </xf>
    <xf numFmtId="0" fontId="48" fillId="0" borderId="0" xfId="0" applyFont="1" applyAlignment="1" applyProtection="1">
      <alignment vertical="center" wrapText="1"/>
      <protection locked="0"/>
    </xf>
    <xf numFmtId="0" fontId="48" fillId="6" borderId="44" xfId="0" applyFont="1" applyFill="1" applyBorder="1" applyAlignment="1">
      <alignment horizontal="center" vertical="center" wrapText="1"/>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6" borderId="78" xfId="0" applyFont="1" applyFill="1" applyBorder="1" applyAlignment="1">
      <alignment horizontal="center" vertical="center" wrapText="1"/>
    </xf>
    <xf numFmtId="0" fontId="55"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72" fillId="0" borderId="44" xfId="0" applyFont="1" applyBorder="1" applyAlignment="1" applyProtection="1">
      <alignment horizontal="left" vertical="center" wrapText="1"/>
      <protection locked="0"/>
    </xf>
    <xf numFmtId="0" fontId="72" fillId="0" borderId="45"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48" fillId="6" borderId="58" xfId="0" applyFont="1" applyFill="1" applyBorder="1" applyAlignment="1">
      <alignment horizontal="center" vertical="center"/>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24" xfId="0" applyFont="1" applyBorder="1" applyAlignment="1" applyProtection="1">
      <alignment horizontal="center" vertical="center" wrapText="1"/>
      <protection locked="0"/>
    </xf>
    <xf numFmtId="0" fontId="53" fillId="6" borderId="44" xfId="0" applyFont="1" applyFill="1" applyBorder="1" applyAlignment="1">
      <alignment horizontal="center" vertical="center" wrapText="1"/>
    </xf>
    <xf numFmtId="0" fontId="53" fillId="6" borderId="44" xfId="0" applyFont="1" applyFill="1" applyBorder="1" applyAlignment="1">
      <alignment horizontal="left" vertical="center" wrapText="1"/>
    </xf>
    <xf numFmtId="0" fontId="53" fillId="6" borderId="45"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24"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186" fontId="61" fillId="6" borderId="13" xfId="0" applyNumberFormat="1" applyFont="1" applyFill="1" applyBorder="1" applyAlignment="1">
      <alignment horizontal="right" vertical="center"/>
    </xf>
    <xf numFmtId="189" fontId="48" fillId="6" borderId="3" xfId="0" applyNumberFormat="1"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62" fillId="6" borderId="3"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62" fillId="6" borderId="41" xfId="0" applyFont="1" applyFill="1" applyBorder="1" applyAlignment="1">
      <alignment horizontal="center" vertical="center" wrapText="1"/>
    </xf>
    <xf numFmtId="0" fontId="55" fillId="2" borderId="37" xfId="0" applyFont="1" applyFill="1" applyBorder="1" applyAlignment="1" applyProtection="1">
      <alignment horizontal="center" vertical="center" wrapText="1"/>
      <protection locked="0"/>
    </xf>
    <xf numFmtId="17" fontId="53" fillId="0" borderId="37" xfId="0" applyNumberFormat="1"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Font="1" applyFill="1" applyBorder="1" applyAlignment="1">
      <alignment horizontal="center" vertical="center" wrapText="1"/>
    </xf>
    <xf numFmtId="0" fontId="55"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left" vertical="center" wrapText="1"/>
      <protection locked="0"/>
    </xf>
    <xf numFmtId="0" fontId="72" fillId="0" borderId="53" xfId="0" applyFont="1" applyBorder="1" applyAlignment="1" applyProtection="1">
      <alignment horizontal="center" vertical="center" wrapText="1"/>
      <protection locked="0"/>
    </xf>
    <xf numFmtId="0" fontId="104" fillId="0" borderId="44" xfId="0" applyFont="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48" fillId="6" borderId="62" xfId="0" applyFont="1" applyFill="1" applyBorder="1" applyAlignment="1">
      <alignment horizontal="center" vertical="center" wrapText="1"/>
    </xf>
    <xf numFmtId="0" fontId="55" fillId="6" borderId="56" xfId="0" applyFont="1" applyFill="1" applyBorder="1" applyAlignment="1">
      <alignment horizontal="center" vertical="center"/>
    </xf>
    <xf numFmtId="0" fontId="48" fillId="6" borderId="61"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55" fillId="2" borderId="54" xfId="0" applyFont="1" applyFill="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55" fillId="6" borderId="57" xfId="0"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0" fontId="48" fillId="6" borderId="22" xfId="0" applyFont="1" applyFill="1" applyBorder="1" applyAlignment="1">
      <alignment horizontal="center" vertical="center" wrapText="1"/>
    </xf>
    <xf numFmtId="0" fontId="48" fillId="6" borderId="20" xfId="0" applyFont="1" applyFill="1" applyBorder="1" applyAlignment="1">
      <alignment horizontal="center" vertical="center" wrapText="1"/>
    </xf>
    <xf numFmtId="0" fontId="70" fillId="6" borderId="80" xfId="0" applyFont="1" applyFill="1" applyBorder="1" applyAlignment="1">
      <alignment vertical="center" wrapText="1"/>
    </xf>
    <xf numFmtId="0" fontId="48" fillId="6" borderId="54" xfId="0" applyFont="1" applyFill="1" applyBorder="1" applyAlignment="1">
      <alignment horizontal="center" vertical="center" wrapText="1"/>
    </xf>
    <xf numFmtId="0" fontId="54" fillId="6" borderId="80" xfId="0" applyFont="1" applyFill="1" applyBorder="1" applyAlignment="1">
      <alignment vertical="center" wrapText="1"/>
    </xf>
    <xf numFmtId="0" fontId="48" fillId="0" borderId="36" xfId="0" applyFont="1" applyBorder="1" applyAlignment="1" applyProtection="1">
      <alignment horizontal="center" vertical="center" wrapText="1"/>
      <protection locked="0"/>
    </xf>
    <xf numFmtId="0" fontId="50" fillId="6" borderId="80" xfId="0" applyFont="1" applyFill="1" applyBorder="1" applyAlignment="1">
      <alignment vertical="center" wrapText="1"/>
    </xf>
    <xf numFmtId="0" fontId="54" fillId="6" borderId="81" xfId="0" applyFont="1" applyFill="1" applyBorder="1" applyAlignment="1">
      <alignment vertical="center" wrapText="1"/>
    </xf>
    <xf numFmtId="0" fontId="55" fillId="6" borderId="53" xfId="0" applyFont="1" applyFill="1" applyBorder="1" applyAlignment="1">
      <alignment horizontal="center" vertical="center"/>
    </xf>
    <xf numFmtId="0" fontId="48" fillId="6" borderId="76" xfId="0" applyFont="1" applyFill="1" applyBorder="1" applyAlignment="1">
      <alignment horizontal="center" vertical="center" wrapText="1"/>
    </xf>
    <xf numFmtId="0" fontId="48" fillId="6" borderId="75" xfId="0" applyFont="1" applyFill="1" applyBorder="1" applyAlignment="1">
      <alignment horizontal="center" vertical="center" wrapText="1"/>
    </xf>
    <xf numFmtId="0" fontId="54" fillId="6" borderId="16" xfId="0" applyFont="1" applyFill="1" applyBorder="1" applyAlignment="1">
      <alignment vertical="center" textRotation="255" wrapText="1"/>
    </xf>
    <xf numFmtId="0" fontId="73" fillId="6" borderId="18" xfId="0" applyFont="1" applyFill="1" applyBorder="1" applyAlignment="1">
      <alignment vertical="center" textRotation="255" wrapText="1"/>
    </xf>
    <xf numFmtId="49" fontId="48" fillId="0" borderId="37" xfId="0" applyNumberFormat="1" applyFont="1" applyBorder="1" applyAlignment="1" applyProtection="1">
      <alignment horizontal="center" vertical="center" wrapText="1"/>
      <protection locked="0"/>
    </xf>
    <xf numFmtId="0" fontId="54" fillId="6" borderId="18" xfId="0" applyFont="1" applyFill="1" applyBorder="1" applyAlignment="1">
      <alignment vertical="center" textRotation="255" wrapText="1"/>
    </xf>
    <xf numFmtId="0" fontId="48" fillId="2" borderId="37" xfId="0" applyFont="1" applyFill="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54" fillId="6" borderId="42" xfId="0" applyFont="1" applyFill="1" applyBorder="1" applyAlignment="1">
      <alignment vertical="center" textRotation="255" wrapText="1"/>
    </xf>
    <xf numFmtId="0" fontId="55" fillId="6" borderId="15" xfId="0" applyFont="1" applyFill="1" applyBorder="1" applyAlignment="1">
      <alignment horizontal="center" vertical="center" wrapText="1"/>
    </xf>
    <xf numFmtId="49" fontId="55"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center" vertical="center" wrapText="1"/>
      <protection locked="0"/>
    </xf>
    <xf numFmtId="49" fontId="72" fillId="0" borderId="9" xfId="0" applyNumberFormat="1" applyFont="1" applyBorder="1" applyAlignment="1" applyProtection="1">
      <alignment horizontal="left" vertical="center" wrapText="1"/>
      <protection locked="0"/>
    </xf>
    <xf numFmtId="49" fontId="72" fillId="0" borderId="10" xfId="0" applyNumberFormat="1" applyFont="1" applyBorder="1" applyAlignment="1" applyProtection="1">
      <alignment horizontal="center" vertical="center" wrapText="1"/>
      <protection locked="0"/>
    </xf>
    <xf numFmtId="0" fontId="48" fillId="6" borderId="58"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72" fillId="6" borderId="15" xfId="0" applyFont="1" applyFill="1" applyBorder="1" applyAlignment="1">
      <alignment horizontal="center" vertical="center" wrapText="1"/>
    </xf>
    <xf numFmtId="0" fontId="72" fillId="6" borderId="15" xfId="0" applyFont="1" applyFill="1" applyBorder="1" applyAlignment="1">
      <alignment horizontal="left" vertical="center" wrapText="1"/>
    </xf>
    <xf numFmtId="0" fontId="72" fillId="6" borderId="53" xfId="0" applyFont="1" applyFill="1" applyBorder="1" applyAlignment="1">
      <alignment horizontal="center" vertical="center" wrapText="1"/>
    </xf>
    <xf numFmtId="177" fontId="61" fillId="6" borderId="1" xfId="0" applyNumberFormat="1" applyFont="1" applyFill="1" applyBorder="1" applyAlignment="1">
      <alignment horizontal="right" vertical="center"/>
    </xf>
    <xf numFmtId="0" fontId="65" fillId="6" borderId="3"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6" borderId="18" xfId="0" applyFont="1" applyFill="1" applyBorder="1" applyAlignment="1">
      <alignment horizontal="center" vertical="center"/>
    </xf>
    <xf numFmtId="0" fontId="73" fillId="6" borderId="42" xfId="0" applyFont="1" applyFill="1" applyBorder="1" applyAlignment="1">
      <alignment vertical="center" textRotation="255" wrapText="1"/>
    </xf>
    <xf numFmtId="0" fontId="55" fillId="0" borderId="1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75" fillId="6" borderId="3" xfId="0" applyFont="1" applyFill="1" applyBorder="1" applyAlignment="1">
      <alignment horizontal="center" vertical="center" wrapText="1"/>
    </xf>
    <xf numFmtId="0" fontId="54" fillId="6" borderId="20" xfId="0" applyFont="1" applyFill="1" applyBorder="1" applyAlignment="1">
      <alignment horizontal="right" vertical="center" wrapText="1"/>
    </xf>
    <xf numFmtId="49" fontId="54" fillId="6" borderId="68" xfId="0" applyNumberFormat="1" applyFont="1" applyFill="1" applyBorder="1">
      <alignment vertical="center"/>
    </xf>
    <xf numFmtId="14" fontId="55" fillId="6" borderId="6" xfId="0" applyNumberFormat="1" applyFont="1" applyFill="1" applyBorder="1" applyAlignment="1">
      <alignment horizontal="left" vertical="center"/>
    </xf>
    <xf numFmtId="176" fontId="55" fillId="6" borderId="9" xfId="0" applyNumberFormat="1" applyFont="1" applyFill="1" applyBorder="1" applyAlignment="1">
      <alignment horizontal="center" vertical="center"/>
    </xf>
    <xf numFmtId="0" fontId="55" fillId="6" borderId="9" xfId="0" applyFont="1" applyFill="1" applyBorder="1" applyAlignment="1">
      <alignment horizontal="center" vertical="center"/>
    </xf>
    <xf numFmtId="0" fontId="55" fillId="6" borderId="10" xfId="0" applyFont="1" applyFill="1" applyBorder="1" applyAlignment="1">
      <alignment horizontal="center" vertical="center"/>
    </xf>
    <xf numFmtId="0" fontId="57" fillId="6" borderId="23" xfId="0" applyFont="1" applyFill="1" applyBorder="1" applyAlignment="1"/>
    <xf numFmtId="186" fontId="57" fillId="6" borderId="1" xfId="1" applyNumberFormat="1" applyFont="1" applyFill="1" applyBorder="1" applyAlignment="1">
      <alignment horizontal="center"/>
    </xf>
    <xf numFmtId="0" fontId="57" fillId="6" borderId="1" xfId="0" applyFont="1" applyFill="1" applyBorder="1" applyAlignment="1">
      <alignment horizontal="center"/>
    </xf>
    <xf numFmtId="177" fontId="57" fillId="6" borderId="24" xfId="1" applyNumberFormat="1" applyFont="1" applyFill="1" applyBorder="1" applyAlignment="1">
      <alignment horizontal="center"/>
    </xf>
    <xf numFmtId="0" fontId="76" fillId="0" borderId="0" xfId="0" applyFont="1" applyAlignment="1" applyProtection="1">
      <alignment horizontal="center" vertical="center"/>
      <protection locked="0"/>
    </xf>
    <xf numFmtId="0" fontId="57" fillId="6" borderId="23" xfId="1" applyFont="1" applyFill="1" applyBorder="1" applyAlignment="1"/>
    <xf numFmtId="179" fontId="57" fillId="0" borderId="1" xfId="1" applyNumberFormat="1" applyFont="1" applyBorder="1" applyAlignment="1" applyProtection="1">
      <alignment horizontal="center"/>
      <protection locked="0"/>
    </xf>
    <xf numFmtId="0" fontId="58" fillId="6" borderId="25" xfId="1" applyFont="1" applyFill="1" applyBorder="1" applyAlignment="1"/>
    <xf numFmtId="0" fontId="57" fillId="6" borderId="32" xfId="0" applyFont="1" applyFill="1" applyBorder="1" applyAlignment="1">
      <alignment horizontal="center"/>
    </xf>
    <xf numFmtId="177" fontId="58" fillId="6" borderId="49" xfId="0" applyNumberFormat="1" applyFont="1" applyFill="1" applyBorder="1" applyAlignment="1">
      <alignment horizontal="center"/>
    </xf>
    <xf numFmtId="0" fontId="48" fillId="6" borderId="44" xfId="0" applyFont="1" applyFill="1" applyBorder="1" applyAlignment="1">
      <alignment horizontal="left" vertical="center" wrapText="1"/>
    </xf>
    <xf numFmtId="0" fontId="55" fillId="0" borderId="61" xfId="0" applyFont="1" applyBorder="1" applyAlignment="1" applyProtection="1">
      <alignment horizontal="center" vertical="center" wrapText="1"/>
      <protection locked="0"/>
    </xf>
    <xf numFmtId="0" fontId="53" fillId="6" borderId="74" xfId="0" applyFont="1" applyFill="1" applyBorder="1" applyAlignment="1">
      <alignment horizontal="center" vertical="center" wrapText="1"/>
    </xf>
    <xf numFmtId="0" fontId="55" fillId="0" borderId="66" xfId="0" applyFont="1" applyBorder="1" applyAlignment="1" applyProtection="1">
      <alignment horizontal="center" vertical="center" wrapText="1"/>
      <protection locked="0"/>
    </xf>
    <xf numFmtId="0" fontId="51" fillId="6" borderId="1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31" xfId="0" applyFont="1" applyFill="1" applyBorder="1" applyAlignment="1">
      <alignment horizontal="center" vertical="center" wrapText="1"/>
    </xf>
    <xf numFmtId="0" fontId="57" fillId="0" borderId="0" xfId="0" applyFont="1" applyAlignment="1" applyProtection="1">
      <alignment horizontal="center" vertical="center"/>
      <protection locked="0"/>
    </xf>
    <xf numFmtId="0" fontId="51" fillId="6" borderId="18" xfId="0" applyFont="1" applyFill="1" applyBorder="1" applyAlignment="1">
      <alignment horizontal="center" vertical="center"/>
    </xf>
    <xf numFmtId="0" fontId="51" fillId="0" borderId="2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6" borderId="59" xfId="0" applyFont="1" applyFill="1" applyBorder="1" applyAlignment="1">
      <alignment horizontal="center" vertical="center" wrapText="1"/>
    </xf>
    <xf numFmtId="0" fontId="52" fillId="0" borderId="0" xfId="0" applyFont="1" applyAlignment="1" applyProtection="1">
      <alignment horizontal="center" vertical="center"/>
      <protection locked="0"/>
    </xf>
    <xf numFmtId="0" fontId="51" fillId="0" borderId="56" xfId="0" applyFont="1" applyBorder="1" applyAlignment="1" applyProtection="1">
      <alignment horizontal="center" vertical="center" wrapText="1"/>
      <protection locked="0"/>
    </xf>
    <xf numFmtId="0" fontId="57" fillId="6" borderId="25" xfId="0" applyFont="1" applyFill="1" applyBorder="1" applyAlignment="1">
      <alignment horizontal="center" vertical="center" wrapText="1"/>
    </xf>
    <xf numFmtId="0" fontId="49" fillId="6" borderId="1" xfId="0" applyFont="1" applyFill="1" applyBorder="1">
      <alignment vertical="center"/>
    </xf>
    <xf numFmtId="0" fontId="64" fillId="0" borderId="1" xfId="0" applyFont="1" applyBorder="1" applyAlignment="1" applyProtection="1">
      <alignment horizontal="center" vertical="center"/>
      <protection locked="0"/>
    </xf>
    <xf numFmtId="0" fontId="64" fillId="6" borderId="1" xfId="0" applyFont="1" applyFill="1" applyBorder="1" applyAlignment="1">
      <alignment horizontal="center" vertical="center"/>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lignment vertical="center"/>
    </xf>
    <xf numFmtId="0" fontId="57" fillId="0" borderId="8" xfId="1" applyFont="1" applyBorder="1" applyAlignment="1" applyProtection="1">
      <alignment horizontal="center" vertical="center"/>
      <protection locked="0"/>
    </xf>
    <xf numFmtId="0" fontId="57" fillId="0" borderId="61"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0" fontId="50" fillId="0" borderId="32" xfId="0" applyFont="1" applyBorder="1" applyAlignment="1" applyProtection="1">
      <alignment horizontal="center" vertical="center"/>
      <protection locked="0"/>
    </xf>
    <xf numFmtId="0" fontId="104" fillId="0" borderId="0" xfId="0" applyFont="1">
      <alignment vertical="center"/>
    </xf>
    <xf numFmtId="179" fontId="50" fillId="6" borderId="66" xfId="0" applyNumberFormat="1" applyFont="1" applyFill="1" applyBorder="1">
      <alignment vertical="center"/>
    </xf>
    <xf numFmtId="179" fontId="50" fillId="6" borderId="32" xfId="0" applyNumberFormat="1" applyFont="1" applyFill="1" applyBorder="1">
      <alignment vertical="center"/>
    </xf>
    <xf numFmtId="179" fontId="50" fillId="6" borderId="49" xfId="0" applyNumberFormat="1" applyFont="1" applyFill="1" applyBorder="1">
      <alignment vertical="center"/>
    </xf>
    <xf numFmtId="0" fontId="51" fillId="6" borderId="0" xfId="0" applyFont="1" applyFill="1">
      <alignment vertical="center"/>
    </xf>
    <xf numFmtId="0" fontId="104" fillId="6" borderId="0" xfId="0" applyFont="1" applyFill="1" applyAlignment="1">
      <alignment horizontal="left" vertical="center"/>
    </xf>
    <xf numFmtId="0" fontId="104" fillId="6" borderId="0" xfId="2" applyFont="1" applyFill="1" applyAlignment="1">
      <alignment horizontal="left"/>
    </xf>
    <xf numFmtId="49" fontId="61" fillId="6" borderId="0" xfId="0" applyNumberFormat="1" applyFont="1" applyFill="1" applyAlignment="1">
      <alignment horizontal="center"/>
    </xf>
    <xf numFmtId="0" fontId="69" fillId="6" borderId="36" xfId="0" applyFont="1" applyFill="1" applyBorder="1">
      <alignment vertical="center"/>
    </xf>
    <xf numFmtId="0" fontId="66" fillId="6" borderId="36" xfId="0" applyFont="1" applyFill="1" applyBorder="1">
      <alignment vertical="center"/>
    </xf>
    <xf numFmtId="189" fontId="66" fillId="6" borderId="36" xfId="0" applyNumberFormat="1" applyFont="1" applyFill="1" applyBorder="1" applyAlignment="1">
      <alignment horizontal="center" vertical="center"/>
    </xf>
    <xf numFmtId="181" fontId="66" fillId="6" borderId="36" xfId="0" applyNumberFormat="1" applyFont="1" applyFill="1" applyBorder="1">
      <alignment vertical="center"/>
    </xf>
    <xf numFmtId="0" fontId="66" fillId="6" borderId="36" xfId="0" applyFont="1" applyFill="1" applyBorder="1" applyAlignment="1">
      <alignment horizontal="center" vertical="center"/>
    </xf>
    <xf numFmtId="0" fontId="72" fillId="6" borderId="0" xfId="0" applyFont="1" applyFill="1" applyAlignment="1">
      <alignment horizontal="center" vertical="center"/>
    </xf>
    <xf numFmtId="14" fontId="55" fillId="6" borderId="0" xfId="0" applyNumberFormat="1" applyFont="1" applyFill="1" applyAlignment="1">
      <alignment horizontal="center" vertical="center"/>
    </xf>
    <xf numFmtId="176" fontId="55" fillId="6" borderId="0" xfId="0" applyNumberFormat="1" applyFont="1" applyFill="1" applyAlignment="1">
      <alignment horizontal="center" vertical="center"/>
    </xf>
    <xf numFmtId="0" fontId="60" fillId="6" borderId="0" xfId="0" applyFont="1" applyFill="1" applyAlignment="1"/>
    <xf numFmtId="0" fontId="55" fillId="6" borderId="0" xfId="0" applyFont="1" applyFill="1" applyAlignment="1"/>
    <xf numFmtId="0" fontId="55" fillId="6" borderId="0" xfId="0" applyFont="1" applyFill="1" applyAlignment="1">
      <alignment horizontal="center"/>
    </xf>
    <xf numFmtId="189" fontId="55" fillId="6" borderId="0" xfId="0" applyNumberFormat="1" applyFont="1" applyFill="1" applyAlignment="1">
      <alignment horizontal="center"/>
    </xf>
    <xf numFmtId="181" fontId="55" fillId="6" borderId="0" xfId="0" applyNumberFormat="1" applyFont="1" applyFill="1" applyAlignment="1"/>
    <xf numFmtId="0" fontId="67" fillId="6" borderId="0" xfId="0" applyFont="1" applyFill="1" applyAlignment="1">
      <alignment horizontal="center" vertical="center"/>
    </xf>
    <xf numFmtId="188" fontId="48" fillId="6" borderId="5" xfId="0" applyNumberFormat="1" applyFont="1" applyFill="1" applyBorder="1" applyAlignment="1">
      <alignment horizontal="center" vertical="center"/>
    </xf>
    <xf numFmtId="49" fontId="48" fillId="6" borderId="3" xfId="0" applyNumberFormat="1" applyFont="1" applyFill="1" applyBorder="1" applyAlignment="1">
      <alignment horizontal="center" vertical="center"/>
    </xf>
    <xf numFmtId="0" fontId="48" fillId="6" borderId="15" xfId="0" applyFont="1" applyFill="1" applyBorder="1" applyAlignment="1">
      <alignment horizontal="center" vertical="center"/>
    </xf>
    <xf numFmtId="188" fontId="55" fillId="6" borderId="5" xfId="0" applyNumberFormat="1" applyFont="1" applyFill="1" applyBorder="1" applyAlignment="1">
      <alignment horizontal="center" vertical="center"/>
    </xf>
    <xf numFmtId="49" fontId="55" fillId="6" borderId="3" xfId="0" applyNumberFormat="1"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0" fontId="53" fillId="6" borderId="15" xfId="0" applyFont="1" applyFill="1" applyBorder="1" applyAlignment="1">
      <alignment horizontal="center" vertical="center"/>
    </xf>
    <xf numFmtId="0" fontId="53" fillId="6" borderId="1" xfId="0" applyFont="1" applyFill="1" applyBorder="1" applyAlignment="1">
      <alignment horizontal="center" vertical="center"/>
    </xf>
    <xf numFmtId="0" fontId="55" fillId="6" borderId="2" xfId="0" applyFont="1" applyFill="1" applyBorder="1" applyAlignment="1">
      <alignment vertical="center" textRotation="255" wrapText="1"/>
    </xf>
    <xf numFmtId="189" fontId="55" fillId="6" borderId="3" xfId="0" applyNumberFormat="1" applyFont="1" applyFill="1" applyBorder="1" applyAlignment="1">
      <alignment horizontal="center" vertical="center"/>
    </xf>
    <xf numFmtId="189" fontId="55" fillId="6" borderId="1" xfId="0" applyNumberFormat="1" applyFont="1" applyFill="1" applyBorder="1" applyAlignment="1">
      <alignment horizontal="center" vertical="center" wrapText="1"/>
    </xf>
    <xf numFmtId="0" fontId="66" fillId="6" borderId="60" xfId="0" applyFont="1" applyFill="1" applyBorder="1" applyAlignment="1">
      <alignment horizontal="center" vertical="center"/>
    </xf>
    <xf numFmtId="0" fontId="57" fillId="6" borderId="0" xfId="0" applyFont="1" applyFill="1" applyAlignment="1"/>
    <xf numFmtId="0" fontId="48" fillId="6" borderId="32" xfId="0" applyFont="1" applyFill="1" applyBorder="1" applyAlignment="1">
      <alignment horizontal="center" vertical="center"/>
    </xf>
    <xf numFmtId="0" fontId="48" fillId="6" borderId="49" xfId="0" applyFont="1" applyFill="1" applyBorder="1" applyAlignment="1">
      <alignment horizontal="center" vertical="center"/>
    </xf>
    <xf numFmtId="181" fontId="111" fillId="6" borderId="65" xfId="0" applyNumberFormat="1" applyFont="1" applyFill="1" applyBorder="1" applyAlignment="1">
      <alignment horizontal="center" vertical="center"/>
    </xf>
    <xf numFmtId="179" fontId="57" fillId="7" borderId="0" xfId="0" applyNumberFormat="1" applyFont="1" applyFill="1" applyAlignment="1" applyProtection="1">
      <alignment horizontal="center" vertical="center"/>
      <protection locked="0"/>
    </xf>
    <xf numFmtId="49" fontId="58" fillId="7" borderId="0" xfId="0" applyNumberFormat="1" applyFont="1" applyFill="1" applyAlignment="1" applyProtection="1">
      <alignment horizontal="left" vertical="center"/>
      <protection locked="0"/>
    </xf>
    <xf numFmtId="0" fontId="67" fillId="7" borderId="0" xfId="0" applyFont="1" applyFill="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Border="1" applyAlignment="1" applyProtection="1">
      <alignment horizontal="center" vertical="center"/>
      <protection locked="0"/>
    </xf>
    <xf numFmtId="181" fontId="105"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9" fontId="51" fillId="0" borderId="5" xfId="0"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7" fillId="6" borderId="24" xfId="0" applyFont="1" applyFill="1" applyBorder="1" applyAlignment="1">
      <alignment horizontal="center" vertical="center" wrapText="1"/>
    </xf>
    <xf numFmtId="9" fontId="105" fillId="6" borderId="1" xfId="0" applyNumberFormat="1" applyFont="1" applyFill="1" applyBorder="1" applyAlignment="1">
      <alignment horizontal="center" vertical="center" wrapText="1"/>
    </xf>
    <xf numFmtId="10" fontId="57" fillId="6" borderId="61" xfId="0" applyNumberFormat="1" applyFont="1" applyFill="1" applyBorder="1" applyAlignment="1">
      <alignment horizontal="center" vertical="center" wrapText="1"/>
    </xf>
    <xf numFmtId="10" fontId="57"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5" fillId="6" borderId="32" xfId="0" applyNumberFormat="1" applyFont="1" applyFill="1" applyBorder="1" applyAlignment="1">
      <alignment horizontal="center" vertical="center" wrapText="1"/>
    </xf>
    <xf numFmtId="10" fontId="57" fillId="6" borderId="76" xfId="0" applyNumberFormat="1" applyFont="1" applyFill="1" applyBorder="1" applyAlignment="1">
      <alignment vertical="center" wrapText="1"/>
    </xf>
    <xf numFmtId="10" fontId="57" fillId="6" borderId="53" xfId="0" applyNumberFormat="1" applyFont="1" applyFill="1" applyBorder="1" applyAlignment="1">
      <alignment horizontal="center" vertical="center" wrapText="1"/>
    </xf>
    <xf numFmtId="10" fontId="57" fillId="6" borderId="76" xfId="0" applyNumberFormat="1" applyFont="1" applyFill="1" applyBorder="1" applyAlignment="1">
      <alignment horizontal="center" vertical="center" wrapText="1"/>
    </xf>
    <xf numFmtId="0" fontId="0" fillId="6" borderId="18" xfId="0" applyFill="1" applyBorder="1">
      <alignment vertical="center"/>
    </xf>
    <xf numFmtId="0" fontId="101"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1" fillId="6" borderId="19" xfId="0" applyFont="1" applyFill="1" applyBorder="1">
      <alignment vertical="center"/>
    </xf>
    <xf numFmtId="0" fontId="116" fillId="6" borderId="28" xfId="0" applyFont="1" applyFill="1" applyBorder="1" applyAlignment="1">
      <alignment horizontal="center" vertical="center"/>
    </xf>
    <xf numFmtId="0" fontId="101"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2" fillId="6" borderId="6" xfId="0" applyFont="1" applyFill="1" applyBorder="1" applyAlignment="1">
      <alignment horizontal="center" vertical="center" wrapText="1"/>
    </xf>
    <xf numFmtId="0" fontId="112" fillId="6" borderId="9" xfId="0" applyFont="1" applyFill="1" applyBorder="1" applyAlignment="1">
      <alignment horizontal="center" vertical="center" wrapText="1"/>
    </xf>
    <xf numFmtId="0" fontId="112" fillId="6" borderId="10" xfId="0" applyFont="1" applyFill="1" applyBorder="1" applyAlignment="1">
      <alignment horizontal="center" vertical="center" wrapText="1"/>
    </xf>
    <xf numFmtId="0" fontId="112" fillId="6" borderId="24"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112"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5" xfId="0" applyFont="1" applyFill="1" applyBorder="1" applyAlignment="1">
      <alignment horizontal="center" vertical="center" wrapText="1"/>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lignmen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2" fillId="0" borderId="60" xfId="3" applyNumberFormat="1" applyFont="1" applyBorder="1">
      <alignment vertical="center"/>
    </xf>
    <xf numFmtId="0" fontId="82" fillId="0" borderId="60" xfId="3" applyFont="1" applyBorder="1">
      <alignment vertical="center"/>
    </xf>
    <xf numFmtId="179" fontId="83" fillId="6" borderId="1" xfId="3" applyNumberFormat="1" applyFont="1" applyFill="1" applyBorder="1" applyAlignment="1">
      <alignment horizontal="center" vertical="center"/>
    </xf>
    <xf numFmtId="0" fontId="83" fillId="6" borderId="1" xfId="3" applyFont="1" applyFill="1" applyBorder="1" applyAlignment="1">
      <alignment horizontal="center" vertical="center"/>
    </xf>
    <xf numFmtId="0" fontId="83" fillId="6" borderId="1" xfId="3" applyFont="1" applyFill="1" applyBorder="1" applyAlignment="1">
      <alignment horizontal="center" vertical="center" wrapText="1"/>
    </xf>
    <xf numFmtId="0" fontId="83" fillId="6" borderId="15" xfId="3" applyFont="1" applyFill="1" applyBorder="1" applyAlignment="1">
      <alignment horizontal="center" vertical="center"/>
    </xf>
    <xf numFmtId="0" fontId="57" fillId="6" borderId="15" xfId="0" applyFont="1" applyFill="1" applyBorder="1" applyAlignment="1">
      <alignment horizontal="center" vertical="center" wrapText="1"/>
    </xf>
    <xf numFmtId="0" fontId="57"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7" fillId="6" borderId="16" xfId="0" applyFont="1" applyFill="1" applyBorder="1" applyAlignment="1">
      <alignment vertical="center" wrapText="1"/>
    </xf>
    <xf numFmtId="0" fontId="57"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3" fillId="6" borderId="1" xfId="3" applyNumberFormat="1" applyFont="1" applyFill="1" applyBorder="1" applyAlignment="1">
      <alignment horizontal="center" vertical="center" wrapText="1"/>
    </xf>
    <xf numFmtId="179" fontId="0" fillId="0" borderId="0" xfId="0" applyNumberFormat="1">
      <alignment vertical="center"/>
    </xf>
    <xf numFmtId="179" fontId="55" fillId="6" borderId="1" xfId="0" applyNumberFormat="1" applyFont="1" applyFill="1" applyBorder="1" applyAlignment="1">
      <alignment horizontal="center" vertical="center" wrapText="1"/>
    </xf>
    <xf numFmtId="0" fontId="54" fillId="6" borderId="36" xfId="0" applyFont="1" applyFill="1" applyBorder="1" applyAlignment="1">
      <alignment horizontal="center" vertical="center"/>
    </xf>
    <xf numFmtId="0" fontId="58" fillId="6" borderId="34" xfId="0" applyFont="1" applyFill="1" applyBorder="1" applyAlignment="1">
      <alignment horizontal="center" vertical="center"/>
    </xf>
    <xf numFmtId="0" fontId="58" fillId="6" borderId="28"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4" xfId="0" applyFont="1" applyFill="1" applyBorder="1" applyAlignment="1">
      <alignment horizontal="center" vertical="center" wrapText="1"/>
    </xf>
    <xf numFmtId="9" fontId="57" fillId="6" borderId="1" xfId="0" applyNumberFormat="1" applyFont="1" applyFill="1" applyBorder="1" applyAlignment="1">
      <alignment horizontal="center" vertical="center" wrapText="1"/>
    </xf>
    <xf numFmtId="0" fontId="57" fillId="6" borderId="13" xfId="0" applyFont="1" applyFill="1" applyBorder="1" applyAlignment="1">
      <alignment horizontal="center" vertical="center" wrapText="1"/>
    </xf>
    <xf numFmtId="187" fontId="54" fillId="6" borderId="84" xfId="0" applyNumberFormat="1" applyFont="1" applyFill="1" applyBorder="1" applyAlignment="1">
      <alignment horizontal="center" vertical="center" wrapText="1"/>
    </xf>
    <xf numFmtId="14" fontId="55" fillId="6" borderId="84" xfId="0" applyNumberFormat="1" applyFont="1" applyFill="1" applyBorder="1" applyAlignment="1">
      <alignment horizontal="center" vertical="center" wrapText="1"/>
    </xf>
    <xf numFmtId="14" fontId="55" fillId="6" borderId="64" xfId="0" applyNumberFormat="1" applyFont="1" applyFill="1" applyBorder="1" applyAlignment="1">
      <alignment horizontal="center" vertical="center" wrapText="1"/>
    </xf>
    <xf numFmtId="10" fontId="55" fillId="6" borderId="64" xfId="0" applyNumberFormat="1" applyFont="1" applyFill="1" applyBorder="1" applyAlignment="1">
      <alignment horizontal="center" vertical="center" wrapText="1"/>
    </xf>
    <xf numFmtId="0" fontId="105" fillId="6" borderId="67" xfId="0" applyFont="1" applyFill="1" applyBorder="1" applyAlignment="1">
      <alignment horizontal="center" vertical="center" wrapText="1"/>
    </xf>
    <xf numFmtId="187" fontId="54" fillId="6" borderId="17" xfId="0" applyNumberFormat="1"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6" borderId="15" xfId="0" applyFont="1" applyFill="1" applyBorder="1" applyAlignment="1">
      <alignment horizontal="center" vertical="center" wrapText="1"/>
    </xf>
    <xf numFmtId="0" fontId="58" fillId="6" borderId="32" xfId="0" applyFont="1" applyFill="1" applyBorder="1" applyAlignment="1">
      <alignment horizontal="center" vertical="center" wrapText="1"/>
    </xf>
    <xf numFmtId="181" fontId="105" fillId="6" borderId="17" xfId="0" applyNumberFormat="1" applyFont="1" applyFill="1" applyBorder="1" applyAlignment="1">
      <alignment horizontal="center" vertical="center" wrapText="1"/>
    </xf>
    <xf numFmtId="0" fontId="57" fillId="6" borderId="29" xfId="0" applyFont="1" applyFill="1" applyBorder="1" applyAlignment="1">
      <alignment horizontal="center" vertical="center" wrapText="1"/>
    </xf>
    <xf numFmtId="0" fontId="57" fillId="6" borderId="62" xfId="0" applyFont="1" applyFill="1" applyBorder="1" applyAlignment="1">
      <alignment horizontal="center" vertical="center" wrapText="1"/>
    </xf>
    <xf numFmtId="0" fontId="105" fillId="6" borderId="1"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177" fontId="55" fillId="0" borderId="1" xfId="0" applyNumberFormat="1" applyFont="1" applyBorder="1" applyAlignment="1" applyProtection="1">
      <alignment horizontal="center" vertical="center" wrapText="1"/>
      <protection locked="0"/>
    </xf>
    <xf numFmtId="0" fontId="57" fillId="0" borderId="9" xfId="0" applyFont="1" applyBorder="1" applyAlignment="1" applyProtection="1">
      <alignment horizontal="center" vertical="center" wrapText="1"/>
      <protection locked="0"/>
    </xf>
    <xf numFmtId="0" fontId="57" fillId="0" borderId="32" xfId="0" applyFont="1" applyBorder="1" applyAlignment="1" applyProtection="1">
      <alignment horizontal="center" vertical="center" wrapText="1"/>
      <protection locked="0"/>
    </xf>
    <xf numFmtId="0" fontId="57" fillId="0" borderId="49" xfId="0" applyFont="1" applyBorder="1" applyAlignment="1" applyProtection="1">
      <alignment horizontal="center" vertical="center" wrapText="1"/>
      <protection locked="0"/>
    </xf>
    <xf numFmtId="49" fontId="85" fillId="6" borderId="23" xfId="1" applyNumberFormat="1" applyFont="1" applyFill="1" applyBorder="1" applyAlignment="1">
      <alignment horizontal="left"/>
    </xf>
    <xf numFmtId="49" fontId="57" fillId="6" borderId="23" xfId="1" applyNumberFormat="1" applyFont="1" applyFill="1" applyBorder="1" applyAlignment="1">
      <alignment horizontal="center"/>
    </xf>
    <xf numFmtId="0" fontId="63" fillId="6" borderId="23" xfId="1" applyFont="1" applyFill="1" applyBorder="1" applyAlignment="1">
      <alignment horizontal="right"/>
    </xf>
    <xf numFmtId="0" fontId="57" fillId="6" borderId="23" xfId="0" applyFont="1" applyFill="1" applyBorder="1" applyAlignment="1">
      <alignment horizontal="center" vertical="center"/>
    </xf>
    <xf numFmtId="0" fontId="51" fillId="3" borderId="0" xfId="0" applyFont="1" applyFill="1" applyProtection="1">
      <alignment vertical="center"/>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21" xfId="0" applyFont="1" applyFill="1" applyBorder="1">
      <alignment vertical="center"/>
    </xf>
    <xf numFmtId="0" fontId="65" fillId="7" borderId="0" xfId="0" applyFont="1" applyFill="1" applyProtection="1">
      <alignment vertical="center"/>
      <protection locked="0"/>
    </xf>
    <xf numFmtId="0" fontId="50" fillId="6" borderId="23" xfId="0" applyFont="1" applyFill="1" applyBorder="1" applyAlignment="1">
      <alignment horizontal="center" vertical="center"/>
    </xf>
    <xf numFmtId="0" fontId="50" fillId="6" borderId="46"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49" fontId="51" fillId="6" borderId="23" xfId="0" applyNumberFormat="1" applyFont="1" applyFill="1" applyBorder="1" applyAlignment="1">
      <alignment horizontal="center" vertical="center"/>
    </xf>
    <xf numFmtId="186" fontId="51" fillId="0" borderId="1" xfId="0" applyNumberFormat="1" applyFont="1" applyBorder="1" applyAlignment="1" applyProtection="1">
      <alignment horizontal="center" vertical="center"/>
      <protection locked="0"/>
    </xf>
    <xf numFmtId="186" fontId="51" fillId="0" borderId="24" xfId="0" applyNumberFormat="1" applyFont="1" applyBorder="1" applyAlignment="1" applyProtection="1">
      <alignment horizontal="center" vertical="center"/>
      <protection locked="0"/>
    </xf>
    <xf numFmtId="186"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0" fontId="50" fillId="6" borderId="54" xfId="0" applyFont="1" applyFill="1" applyBorder="1">
      <alignment vertical="center"/>
    </xf>
    <xf numFmtId="0" fontId="50" fillId="6" borderId="48" xfId="0" applyFont="1" applyFill="1" applyBorder="1">
      <alignment vertical="center"/>
    </xf>
    <xf numFmtId="0" fontId="48" fillId="7" borderId="0" xfId="0" applyFont="1" applyFill="1" applyProtection="1">
      <alignment vertical="center"/>
      <protection locked="0"/>
    </xf>
    <xf numFmtId="0" fontId="51" fillId="6" borderId="23" xfId="1" applyFont="1" applyFill="1" applyBorder="1" applyAlignment="1">
      <alignment horizontal="right" vertical="center"/>
    </xf>
    <xf numFmtId="0" fontId="51" fillId="6" borderId="5" xfId="1" applyFont="1" applyFill="1" applyBorder="1">
      <alignment vertical="center"/>
    </xf>
    <xf numFmtId="179" fontId="51" fillId="6" borderId="1" xfId="1" applyNumberFormat="1" applyFont="1" applyFill="1" applyBorder="1" applyAlignment="1">
      <alignment horizontal="center" vertical="center"/>
    </xf>
    <xf numFmtId="181" fontId="51" fillId="6" borderId="1" xfId="1" applyNumberFormat="1" applyFont="1" applyFill="1" applyBorder="1" applyAlignment="1">
      <alignment horizontal="center" vertical="center"/>
    </xf>
    <xf numFmtId="0" fontId="53" fillId="7" borderId="0" xfId="0" applyFont="1" applyFill="1" applyProtection="1">
      <alignment vertical="center"/>
      <protection locked="0"/>
    </xf>
    <xf numFmtId="9" fontId="51" fillId="6" borderId="1" xfId="1" applyNumberFormat="1" applyFont="1" applyFill="1" applyBorder="1" applyAlignment="1">
      <alignment horizontal="center" vertical="center"/>
    </xf>
    <xf numFmtId="0" fontId="53" fillId="0" borderId="0" xfId="0" applyFont="1" applyProtection="1">
      <alignment vertical="center"/>
      <protection locked="0"/>
    </xf>
    <xf numFmtId="177" fontId="51" fillId="6" borderId="1" xfId="1" applyNumberFormat="1" applyFont="1" applyFill="1" applyBorder="1">
      <alignment vertical="center"/>
    </xf>
    <xf numFmtId="0" fontId="51" fillId="6" borderId="54" xfId="0" applyFont="1" applyFill="1" applyBorder="1">
      <alignment vertical="center"/>
    </xf>
    <xf numFmtId="0" fontId="51" fillId="6" borderId="48" xfId="0" applyFont="1" applyFill="1" applyBorder="1">
      <alignment vertical="center"/>
    </xf>
    <xf numFmtId="0" fontId="51" fillId="6" borderId="54" xfId="0" applyFont="1" applyFill="1" applyBorder="1" applyAlignment="1">
      <alignment horizontal="left" vertical="center"/>
    </xf>
    <xf numFmtId="0" fontId="51" fillId="6" borderId="48" xfId="0" applyFont="1" applyFill="1" applyBorder="1" applyAlignment="1">
      <alignment horizontal="left" vertical="center"/>
    </xf>
    <xf numFmtId="177" fontId="51" fillId="6" borderId="1" xfId="1" applyNumberFormat="1" applyFont="1" applyFill="1" applyBorder="1" applyAlignment="1">
      <alignment horizontal="center" vertical="center"/>
    </xf>
    <xf numFmtId="10" fontId="51" fillId="6" borderId="1" xfId="1" applyNumberFormat="1" applyFont="1" applyFill="1" applyBorder="1" applyAlignment="1">
      <alignment horizontal="center" vertical="center"/>
    </xf>
    <xf numFmtId="0" fontId="50" fillId="6" borderId="5" xfId="1" applyFont="1" applyFill="1" applyBorder="1">
      <alignment vertical="center"/>
    </xf>
    <xf numFmtId="177" fontId="50" fillId="6" borderId="1" xfId="1" applyNumberFormat="1" applyFont="1" applyFill="1" applyBorder="1" applyAlignment="1">
      <alignment horizontal="center" vertical="center"/>
    </xf>
    <xf numFmtId="0" fontId="50" fillId="6" borderId="1" xfId="1" applyFont="1" applyFill="1" applyBorder="1">
      <alignment vertical="center"/>
    </xf>
    <xf numFmtId="10" fontId="50" fillId="6" borderId="1" xfId="1" applyNumberFormat="1" applyFont="1" applyFill="1" applyBorder="1" applyAlignment="1">
      <alignment horizontal="center" vertical="center"/>
    </xf>
    <xf numFmtId="0" fontId="48" fillId="6" borderId="5" xfId="0" applyFont="1" applyFill="1" applyBorder="1">
      <alignment vertical="center"/>
    </xf>
    <xf numFmtId="0" fontId="48" fillId="6" borderId="54" xfId="0" applyFont="1" applyFill="1" applyBorder="1">
      <alignment vertical="center"/>
    </xf>
    <xf numFmtId="0" fontId="51" fillId="6" borderId="1" xfId="1" applyFont="1" applyFill="1" applyBorder="1" applyAlignment="1">
      <alignment horizontal="left" vertical="center"/>
    </xf>
    <xf numFmtId="0" fontId="52" fillId="3" borderId="0" xfId="0" applyFont="1" applyFill="1" applyProtection="1">
      <alignment vertical="center"/>
      <protection locked="0"/>
    </xf>
    <xf numFmtId="0" fontId="51" fillId="6" borderId="5" xfId="1" applyFont="1" applyFill="1" applyBorder="1" applyAlignment="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lignment horizontal="center" vertical="center"/>
    </xf>
    <xf numFmtId="186" fontId="105" fillId="0" borderId="13" xfId="0" applyNumberFormat="1" applyFont="1" applyBorder="1" applyAlignment="1" applyProtection="1">
      <alignment horizontal="center" vertical="center"/>
      <protection locked="0"/>
    </xf>
    <xf numFmtId="186" fontId="51" fillId="0" borderId="13" xfId="0" applyNumberFormat="1" applyFont="1" applyBorder="1" applyAlignment="1" applyProtection="1">
      <alignment horizontal="center" vertical="center"/>
      <protection locked="0"/>
    </xf>
    <xf numFmtId="186" fontId="51" fillId="0" borderId="61" xfId="0" applyNumberFormat="1" applyFont="1" applyBorder="1" applyAlignment="1" applyProtection="1">
      <alignment horizontal="center" vertical="center"/>
      <protection locked="0"/>
    </xf>
    <xf numFmtId="0" fontId="50" fillId="6" borderId="47" xfId="0" applyFont="1" applyFill="1" applyBorder="1">
      <alignment vertical="center"/>
    </xf>
    <xf numFmtId="186" fontId="49" fillId="6" borderId="74" xfId="0" applyNumberFormat="1" applyFont="1" applyFill="1" applyBorder="1" applyAlignment="1">
      <alignment horizontal="center" vertical="center"/>
    </xf>
    <xf numFmtId="0" fontId="49" fillId="6" borderId="75" xfId="0" applyFont="1" applyFill="1" applyBorder="1">
      <alignment vertical="center"/>
    </xf>
    <xf numFmtId="0" fontId="50" fillId="6" borderId="43" xfId="0" applyFont="1" applyFill="1" applyBorder="1">
      <alignment vertical="center"/>
    </xf>
    <xf numFmtId="0" fontId="50" fillId="6" borderId="33" xfId="1" applyFont="1" applyFill="1" applyBorder="1">
      <alignment vertical="center"/>
    </xf>
    <xf numFmtId="177" fontId="50" fillId="6" borderId="32" xfId="0" applyNumberFormat="1" applyFont="1" applyFill="1" applyBorder="1" applyAlignment="1">
      <alignment horizontal="center" vertical="center"/>
    </xf>
    <xf numFmtId="0" fontId="50" fillId="6" borderId="32" xfId="0" applyFont="1" applyFill="1" applyBorder="1">
      <alignment vertical="center"/>
    </xf>
    <xf numFmtId="177" fontId="50" fillId="6" borderId="32" xfId="0" applyNumberFormat="1" applyFont="1" applyFill="1" applyBorder="1">
      <alignment vertical="center"/>
    </xf>
    <xf numFmtId="10" fontId="50" fillId="6" borderId="32" xfId="0" applyNumberFormat="1" applyFont="1" applyFill="1" applyBorder="1" applyAlignment="1">
      <alignment horizontal="center" vertical="center"/>
    </xf>
    <xf numFmtId="177" fontId="50" fillId="6" borderId="33" xfId="0" applyNumberFormat="1" applyFont="1" applyFill="1" applyBorder="1">
      <alignment vertical="center"/>
    </xf>
    <xf numFmtId="177" fontId="50" fillId="6" borderId="52" xfId="0" applyNumberFormat="1" applyFont="1" applyFill="1" applyBorder="1">
      <alignment vertical="center"/>
    </xf>
    <xf numFmtId="177" fontId="50" fillId="6" borderId="68" xfId="0" applyNumberFormat="1" applyFont="1" applyFill="1" applyBorder="1">
      <alignment vertical="center"/>
    </xf>
    <xf numFmtId="0" fontId="54" fillId="6" borderId="15" xfId="0" applyFont="1" applyFill="1" applyBorder="1" applyAlignment="1">
      <alignment horizontal="center" vertical="center" wrapText="1"/>
    </xf>
    <xf numFmtId="0" fontId="122" fillId="0" borderId="0" xfId="5" applyFont="1">
      <alignment vertical="center"/>
    </xf>
    <xf numFmtId="0" fontId="100" fillId="0" borderId="0" xfId="5">
      <alignment vertical="center"/>
    </xf>
    <xf numFmtId="0" fontId="122" fillId="0" borderId="0" xfId="5" applyFont="1" applyAlignment="1">
      <alignment vertical="top" wrapText="1"/>
    </xf>
    <xf numFmtId="0" fontId="63" fillId="6" borderId="1" xfId="1" applyFont="1" applyFill="1" applyBorder="1" applyAlignment="1"/>
    <xf numFmtId="0" fontId="51" fillId="6" borderId="1" xfId="1" applyFont="1" applyFill="1" applyBorder="1" applyAlignment="1">
      <alignment horizontal="center" vertical="center"/>
    </xf>
    <xf numFmtId="0" fontId="49" fillId="0" borderId="2" xfId="7" applyFont="1" applyBorder="1" applyAlignment="1">
      <alignment horizontal="center" vertical="center" wrapText="1"/>
    </xf>
    <xf numFmtId="0" fontId="49" fillId="0" borderId="1" xfId="7" applyFont="1" applyBorder="1" applyAlignment="1">
      <alignment horizontal="center" vertical="center" wrapText="1"/>
    </xf>
    <xf numFmtId="0" fontId="65" fillId="0" borderId="1" xfId="7" applyFont="1" applyBorder="1" applyAlignment="1">
      <alignment horizontal="center" vertical="center" wrapText="1"/>
    </xf>
    <xf numFmtId="0" fontId="49" fillId="0" borderId="3" xfId="7" applyFont="1" applyBorder="1" applyAlignment="1">
      <alignment horizontal="center" vertical="center" wrapText="1"/>
    </xf>
    <xf numFmtId="0" fontId="65" fillId="0" borderId="1" xfId="0" applyFont="1" applyBorder="1" applyAlignment="1">
      <alignment horizontal="center" vertical="center" wrapText="1"/>
    </xf>
    <xf numFmtId="0" fontId="48" fillId="6" borderId="24" xfId="0" applyFont="1" applyFill="1" applyBorder="1" applyAlignment="1">
      <alignment horizontal="center" vertical="center"/>
    </xf>
    <xf numFmtId="184" fontId="51" fillId="0" borderId="1" xfId="0" applyNumberFormat="1" applyFont="1" applyBorder="1" applyAlignment="1" applyProtection="1">
      <alignment horizontal="center" vertical="center" shrinkToFit="1"/>
      <protection locked="0"/>
    </xf>
    <xf numFmtId="184" fontId="51" fillId="6" borderId="1" xfId="0" applyNumberFormat="1" applyFont="1" applyFill="1" applyBorder="1" applyAlignment="1">
      <alignment horizontal="center" vertical="center"/>
    </xf>
    <xf numFmtId="177" fontId="51" fillId="6" borderId="23" xfId="1" applyNumberFormat="1" applyFont="1" applyFill="1" applyBorder="1" applyAlignment="1">
      <alignment horizontal="center" vertical="center"/>
    </xf>
    <xf numFmtId="0" fontId="65" fillId="0" borderId="3" xfId="7" applyFont="1" applyBorder="1" applyAlignment="1">
      <alignment horizontal="center" vertical="center" wrapText="1"/>
    </xf>
    <xf numFmtId="0" fontId="65" fillId="0" borderId="78" xfId="7" applyFont="1" applyBorder="1" applyAlignment="1">
      <alignment horizontal="center" vertical="center" wrapText="1"/>
    </xf>
    <xf numFmtId="181" fontId="48" fillId="6" borderId="8" xfId="0" applyNumberFormat="1" applyFont="1" applyFill="1" applyBorder="1">
      <alignment vertical="center"/>
    </xf>
    <xf numFmtId="181" fontId="56"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5"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5"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Font="1" applyFill="1" applyBorder="1">
      <alignment vertical="center"/>
    </xf>
    <xf numFmtId="0" fontId="104" fillId="6" borderId="5" xfId="0" applyFont="1" applyFill="1" applyBorder="1">
      <alignment vertical="center"/>
    </xf>
    <xf numFmtId="0" fontId="104" fillId="6" borderId="33" xfId="0" applyFont="1" applyFill="1" applyBorder="1">
      <alignment vertical="center"/>
    </xf>
    <xf numFmtId="10" fontId="57" fillId="6" borderId="1" xfId="0" applyNumberFormat="1" applyFont="1" applyFill="1" applyBorder="1" applyAlignment="1">
      <alignment vertical="center" wrapText="1"/>
    </xf>
    <xf numFmtId="0" fontId="62" fillId="6" borderId="41" xfId="0" applyFont="1" applyFill="1" applyBorder="1" applyAlignment="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lignment horizontal="center" vertical="center"/>
    </xf>
    <xf numFmtId="0" fontId="62" fillId="6" borderId="23"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lignment horizontal="center" vertical="center"/>
    </xf>
    <xf numFmtId="178" fontId="62" fillId="6" borderId="24" xfId="0" applyNumberFormat="1" applyFont="1" applyFill="1" applyBorder="1" applyAlignment="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Border="1" applyAlignment="1" applyProtection="1">
      <alignment horizontal="center" vertical="center"/>
      <protection locked="0"/>
    </xf>
    <xf numFmtId="0" fontId="62" fillId="6" borderId="32" xfId="0" applyFont="1" applyFill="1" applyBorder="1" applyAlignment="1">
      <alignment horizontal="center" vertical="center"/>
    </xf>
    <xf numFmtId="0" fontId="62" fillId="6" borderId="47" xfId="0" applyFont="1" applyFill="1" applyBorder="1" applyAlignment="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lignment horizontal="center" vertical="center"/>
    </xf>
    <xf numFmtId="177" fontId="57" fillId="6" borderId="5" xfId="1" applyNumberFormat="1" applyFont="1" applyFill="1" applyBorder="1" applyAlignment="1">
      <alignment horizontal="center"/>
    </xf>
    <xf numFmtId="0" fontId="76" fillId="6" borderId="1" xfId="0" applyFont="1" applyFill="1" applyBorder="1" applyAlignment="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lignment horizontal="center" vertical="center"/>
    </xf>
    <xf numFmtId="0" fontId="105" fillId="6" borderId="24" xfId="0" applyFont="1" applyFill="1" applyBorder="1" applyAlignment="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lignment horizontal="center" vertical="center"/>
    </xf>
    <xf numFmtId="0" fontId="105" fillId="6" borderId="86" xfId="0" applyFont="1" applyFill="1" applyBorder="1" applyAlignment="1">
      <alignment horizontal="center" vertical="center"/>
    </xf>
    <xf numFmtId="0" fontId="105" fillId="0" borderId="86" xfId="0" applyFont="1" applyBorder="1" applyAlignment="1" applyProtection="1">
      <alignment horizontal="center" vertical="center"/>
      <protection locked="0"/>
    </xf>
    <xf numFmtId="0" fontId="105" fillId="0" borderId="96" xfId="0" applyFont="1" applyBorder="1" applyAlignment="1" applyProtection="1">
      <alignment horizontal="center" vertical="center"/>
      <protection locked="0"/>
    </xf>
    <xf numFmtId="0" fontId="76" fillId="6" borderId="32" xfId="0" applyFont="1" applyFill="1" applyBorder="1" applyAlignment="1">
      <alignment horizontal="center" vertical="center"/>
    </xf>
    <xf numFmtId="0" fontId="51" fillId="0" borderId="2" xfId="0" applyFont="1" applyBorder="1" applyAlignment="1" applyProtection="1">
      <alignment horizontal="center" vertical="center" wrapText="1"/>
      <protection locked="0"/>
    </xf>
    <xf numFmtId="0" fontId="51" fillId="6" borderId="97" xfId="0" applyFont="1" applyFill="1" applyBorder="1" applyAlignment="1">
      <alignment horizontal="center" vertical="center" wrapText="1"/>
    </xf>
    <xf numFmtId="0" fontId="57" fillId="0" borderId="98" xfId="0" applyFont="1" applyBorder="1" applyAlignment="1" applyProtection="1">
      <alignment horizontal="center" vertical="center" wrapText="1"/>
      <protection locked="0"/>
    </xf>
    <xf numFmtId="0" fontId="57" fillId="6" borderId="99" xfId="0" applyFont="1" applyFill="1" applyBorder="1" applyAlignment="1">
      <alignment horizontal="center" vertical="center" wrapText="1"/>
    </xf>
    <xf numFmtId="0" fontId="57" fillId="6" borderId="98" xfId="0" applyFont="1" applyFill="1" applyBorder="1" applyAlignment="1">
      <alignment horizontal="center" vertical="center" wrapText="1"/>
    </xf>
    <xf numFmtId="0" fontId="51" fillId="0" borderId="100" xfId="0" applyFont="1" applyBorder="1" applyAlignment="1" applyProtection="1">
      <alignment horizontal="center" vertical="center" wrapText="1"/>
      <protection locked="0"/>
    </xf>
    <xf numFmtId="0" fontId="51" fillId="0" borderId="41" xfId="0" applyFont="1" applyBorder="1" applyAlignment="1" applyProtection="1">
      <alignment horizontal="center" vertical="center" wrapText="1"/>
      <protection locked="0"/>
    </xf>
    <xf numFmtId="0" fontId="51" fillId="6" borderId="100" xfId="0" applyFont="1" applyFill="1" applyBorder="1" applyAlignment="1">
      <alignment horizontal="center" vertical="center" wrapText="1"/>
    </xf>
    <xf numFmtId="0" fontId="55" fillId="0" borderId="58" xfId="0" applyFont="1" applyBorder="1" applyAlignment="1" applyProtection="1">
      <alignment horizontal="center" vertical="center"/>
      <protection locked="0"/>
    </xf>
    <xf numFmtId="0" fontId="61" fillId="6" borderId="0" xfId="0" applyFont="1" applyFill="1" applyProtection="1">
      <alignment vertical="center"/>
      <protection locked="0"/>
    </xf>
    <xf numFmtId="0" fontId="66" fillId="6" borderId="0" xfId="0" applyFont="1" applyFill="1" applyProtection="1">
      <alignment vertical="center"/>
      <protection locked="0"/>
    </xf>
    <xf numFmtId="0" fontId="69" fillId="6" borderId="0" xfId="0" applyFont="1" applyFill="1" applyProtection="1">
      <alignment vertical="center"/>
      <protection locked="0"/>
    </xf>
    <xf numFmtId="189" fontId="66" fillId="6" borderId="0" xfId="0" applyNumberFormat="1" applyFont="1" applyFill="1" applyAlignment="1" applyProtection="1">
      <alignment horizontal="center" vertical="center"/>
      <protection locked="0"/>
    </xf>
    <xf numFmtId="181" fontId="66" fillId="6" borderId="0" xfId="0" applyNumberFormat="1" applyFont="1" applyFill="1" applyProtection="1">
      <alignment vertical="center"/>
      <protection locked="0"/>
    </xf>
    <xf numFmtId="0" fontId="66" fillId="6" borderId="0" xfId="0" applyFont="1" applyFill="1" applyAlignment="1" applyProtection="1">
      <alignment horizontal="center" vertical="center"/>
      <protection locked="0"/>
    </xf>
    <xf numFmtId="181" fontId="48" fillId="6" borderId="0" xfId="0" applyNumberFormat="1" applyFont="1" applyFill="1" applyAlignment="1" applyProtection="1">
      <alignment vertical="center" wrapText="1"/>
      <protection locked="0"/>
    </xf>
    <xf numFmtId="0" fontId="55" fillId="6" borderId="0" xfId="0" applyFont="1" applyFill="1" applyAlignment="1" applyProtection="1">
      <alignment horizontal="center" vertical="center"/>
      <protection locked="0"/>
    </xf>
    <xf numFmtId="181" fontId="48" fillId="6" borderId="0" xfId="0" applyNumberFormat="1" applyFont="1" applyFill="1" applyAlignment="1" applyProtection="1">
      <alignment horizontal="center" vertical="center" wrapText="1"/>
      <protection locked="0"/>
    </xf>
    <xf numFmtId="0" fontId="48" fillId="6" borderId="0" xfId="0" applyFont="1" applyFill="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71" fillId="6" borderId="0" xfId="0" applyFont="1" applyFill="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72" fillId="6" borderId="0" xfId="0" applyFont="1" applyFill="1" applyAlignment="1" applyProtection="1">
      <alignment horizontal="center" vertical="center" wrapText="1"/>
      <protection locked="0"/>
    </xf>
    <xf numFmtId="0" fontId="55"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5" fillId="0" borderId="0" xfId="0" applyFont="1" applyAlignment="1">
      <alignment horizontal="center" vertical="center"/>
    </xf>
    <xf numFmtId="189" fontId="55" fillId="0" borderId="0" xfId="0" applyNumberFormat="1" applyFont="1" applyAlignment="1">
      <alignment horizontal="center" vertical="center"/>
    </xf>
    <xf numFmtId="181" fontId="55" fillId="0" borderId="0" xfId="0" applyNumberFormat="1" applyFont="1" applyAlignment="1">
      <alignment horizontal="center" vertical="center"/>
    </xf>
    <xf numFmtId="0" fontId="57" fillId="6" borderId="0" xfId="0" applyFont="1" applyFill="1" applyAlignment="1" applyProtection="1">
      <protection locked="0"/>
    </xf>
    <xf numFmtId="0" fontId="55" fillId="6" borderId="0" xfId="0" applyFont="1" applyFill="1" applyAlignment="1" applyProtection="1">
      <protection locked="0"/>
    </xf>
    <xf numFmtId="189" fontId="55" fillId="6" borderId="0" xfId="0" applyNumberFormat="1" applyFont="1" applyFill="1" applyAlignment="1" applyProtection="1">
      <alignment horizontal="center"/>
      <protection locked="0"/>
    </xf>
    <xf numFmtId="181" fontId="55" fillId="6" borderId="0" xfId="0" applyNumberFormat="1" applyFont="1" applyFill="1" applyAlignment="1" applyProtection="1">
      <protection locked="0"/>
    </xf>
    <xf numFmtId="0" fontId="48" fillId="0" borderId="43" xfId="0" applyFont="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Protection="1">
      <alignment vertical="center"/>
      <protection locked="0"/>
    </xf>
    <xf numFmtId="49" fontId="56" fillId="6" borderId="41" xfId="0" applyNumberFormat="1" applyFont="1" applyFill="1" applyBorder="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lignment horizontal="left" vertical="center"/>
    </xf>
    <xf numFmtId="0" fontId="51" fillId="6" borderId="32" xfId="0" applyFont="1" applyFill="1" applyBorder="1" applyAlignment="1">
      <alignment horizontal="center" vertical="center"/>
    </xf>
    <xf numFmtId="0" fontId="58" fillId="6" borderId="46" xfId="0" applyFont="1" applyFill="1" applyBorder="1" applyAlignment="1" applyProtection="1">
      <alignment vertical="center" wrapText="1"/>
      <protection locked="0"/>
    </xf>
    <xf numFmtId="0" fontId="51" fillId="6" borderId="21" xfId="0" applyFont="1" applyFill="1" applyBorder="1" applyAlignment="1">
      <alignment horizontal="center" vertical="center" wrapText="1"/>
    </xf>
    <xf numFmtId="0" fontId="64" fillId="6" borderId="58" xfId="0" applyFont="1" applyFill="1" applyBorder="1" applyAlignment="1" applyProtection="1">
      <alignment vertical="center" textRotation="255" wrapText="1"/>
      <protection locked="0"/>
    </xf>
    <xf numFmtId="0" fontId="64" fillId="6" borderId="58" xfId="0" applyFont="1" applyFill="1" applyBorder="1" applyAlignment="1" applyProtection="1">
      <alignment vertical="center" wrapText="1"/>
      <protection locked="0"/>
    </xf>
    <xf numFmtId="0" fontId="51" fillId="6" borderId="18"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46" xfId="0" applyFont="1" applyBorder="1" applyAlignment="1" applyProtection="1">
      <alignment horizontal="center" vertical="center" wrapText="1"/>
      <protection locked="0"/>
    </xf>
    <xf numFmtId="0" fontId="57" fillId="0" borderId="59" xfId="0" applyFont="1" applyBorder="1" applyAlignment="1" applyProtection="1">
      <alignment horizontal="center" vertical="center" wrapText="1"/>
      <protection locked="0"/>
    </xf>
    <xf numFmtId="0" fontId="57" fillId="6" borderId="56" xfId="0" applyFont="1" applyFill="1" applyBorder="1" applyAlignment="1">
      <alignment horizontal="center" vertical="center" wrapText="1"/>
    </xf>
    <xf numFmtId="0" fontId="51" fillId="0" borderId="109" xfId="0" applyFont="1" applyBorder="1" applyAlignment="1" applyProtection="1">
      <alignment horizontal="center" vertical="center" wrapText="1"/>
      <protection locked="0"/>
    </xf>
    <xf numFmtId="0" fontId="51" fillId="0" borderId="110" xfId="0" applyFont="1" applyBorder="1" applyAlignment="1" applyProtection="1">
      <alignment horizontal="center" vertical="center" wrapText="1"/>
      <protection locked="0"/>
    </xf>
    <xf numFmtId="0" fontId="51" fillId="0" borderId="111"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0" borderId="116" xfId="0" applyFont="1" applyBorder="1" applyAlignment="1" applyProtection="1">
      <alignment horizontal="center" vertical="center"/>
      <protection locked="0"/>
    </xf>
    <xf numFmtId="0" fontId="51" fillId="0" borderId="117" xfId="0" applyFont="1" applyBorder="1" applyAlignment="1" applyProtection="1">
      <alignment horizontal="center" vertical="center" wrapText="1"/>
      <protection locked="0"/>
    </xf>
    <xf numFmtId="9" fontId="51" fillId="0" borderId="117" xfId="0" applyNumberFormat="1" applyFont="1" applyBorder="1" applyAlignment="1" applyProtection="1">
      <alignment horizontal="center" vertical="center" wrapText="1"/>
      <protection locked="0"/>
    </xf>
    <xf numFmtId="0" fontId="51" fillId="0" borderId="117" xfId="0" applyFont="1" applyBorder="1" applyAlignment="1" applyProtection="1">
      <alignment horizontal="center" vertical="center"/>
      <protection locked="0"/>
    </xf>
    <xf numFmtId="0" fontId="51" fillId="0" borderId="113" xfId="0" applyFont="1" applyBorder="1" applyAlignment="1" applyProtection="1">
      <alignment horizontal="center" vertical="center"/>
      <protection locked="0"/>
    </xf>
    <xf numFmtId="0" fontId="51" fillId="6" borderId="113" xfId="0" applyFont="1" applyFill="1" applyBorder="1" applyAlignment="1">
      <alignment horizontal="center" vertical="center" wrapText="1"/>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1" fillId="10" borderId="6"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center" vertical="center" wrapText="1"/>
      <protection locked="0"/>
    </xf>
    <xf numFmtId="0" fontId="51" fillId="10" borderId="9" xfId="0" applyFont="1" applyFill="1" applyBorder="1" applyAlignment="1" applyProtection="1">
      <alignment horizontal="left" vertical="center" wrapText="1"/>
      <protection locked="0"/>
    </xf>
    <xf numFmtId="0" fontId="51" fillId="10" borderId="28" xfId="0"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Font="1" applyFill="1" applyBorder="1" applyAlignment="1" applyProtection="1">
      <alignment vertical="center" wrapText="1"/>
      <protection locked="0"/>
    </xf>
    <xf numFmtId="0" fontId="51" fillId="10" borderId="42" xfId="0" applyFont="1" applyFill="1" applyBorder="1" applyAlignment="1">
      <alignment horizontal="center" vertical="center" wrapText="1"/>
    </xf>
    <xf numFmtId="0" fontId="57" fillId="10" borderId="32" xfId="0" applyFont="1" applyFill="1" applyBorder="1" applyAlignment="1" applyProtection="1">
      <alignment horizontal="center" vertical="center" wrapText="1"/>
      <protection locked="0"/>
    </xf>
    <xf numFmtId="0" fontId="57" fillId="10" borderId="33" xfId="0" applyFont="1" applyFill="1" applyBorder="1" applyAlignment="1" applyProtection="1">
      <alignment horizontal="center" vertical="center" wrapText="1"/>
      <protection locked="0"/>
    </xf>
    <xf numFmtId="0" fontId="57" fillId="10" borderId="68" xfId="0" applyFont="1" applyFill="1" applyBorder="1" applyAlignment="1" applyProtection="1">
      <alignment horizontal="center" vertical="center" wrapText="1"/>
      <protection locked="0"/>
    </xf>
    <xf numFmtId="0" fontId="48" fillId="6" borderId="1" xfId="0" applyFont="1" applyFill="1" applyBorder="1" applyAlignment="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lignment horizontal="center"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9" fontId="48" fillId="6" borderId="5" xfId="0" applyNumberFormat="1" applyFont="1" applyFill="1" applyBorder="1" applyAlignment="1">
      <alignment horizontal="center" vertical="center"/>
    </xf>
    <xf numFmtId="179" fontId="48" fillId="6" borderId="25" xfId="1" applyNumberFormat="1" applyFont="1" applyFill="1" applyBorder="1" applyAlignment="1">
      <alignment horizontal="center" vertical="center"/>
    </xf>
    <xf numFmtId="181" fontId="48" fillId="6" borderId="1" xfId="0" applyNumberFormat="1" applyFont="1" applyFill="1" applyBorder="1">
      <alignment vertical="center"/>
    </xf>
    <xf numFmtId="181" fontId="48" fillId="6" borderId="5" xfId="0" applyNumberFormat="1" applyFont="1" applyFill="1" applyBorder="1">
      <alignment vertical="center"/>
    </xf>
    <xf numFmtId="181" fontId="48" fillId="6" borderId="24" xfId="0" applyNumberFormat="1" applyFont="1" applyFill="1" applyBorder="1">
      <alignment vertical="center"/>
    </xf>
    <xf numFmtId="181" fontId="48" fillId="6" borderId="1" xfId="0" applyNumberFormat="1" applyFont="1" applyFill="1" applyBorder="1" applyAlignment="1">
      <alignment horizontal="center" vertical="center"/>
    </xf>
    <xf numFmtId="181" fontId="48" fillId="6" borderId="5" xfId="0" applyNumberFormat="1" applyFont="1" applyFill="1" applyBorder="1" applyAlignment="1">
      <alignment horizontal="center" vertical="center"/>
    </xf>
    <xf numFmtId="0" fontId="48" fillId="6" borderId="23" xfId="0" applyFont="1" applyFill="1" applyBorder="1" applyAlignment="1">
      <alignment horizontal="center" vertical="center"/>
    </xf>
    <xf numFmtId="10" fontId="48" fillId="6" borderId="1" xfId="0" applyNumberFormat="1" applyFont="1" applyFill="1" applyBorder="1" applyAlignment="1">
      <alignment horizontal="center" vertical="center"/>
    </xf>
    <xf numFmtId="183" fontId="48" fillId="6" borderId="1"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4" fontId="48" fillId="6" borderId="67" xfId="0" applyNumberFormat="1" applyFont="1" applyFill="1" applyBorder="1" applyAlignment="1">
      <alignment horizontal="center" vertical="center"/>
    </xf>
    <xf numFmtId="0" fontId="48" fillId="6" borderId="6"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horizontal="center" vertical="center" wrapText="1"/>
      <protection locked="0"/>
    </xf>
    <xf numFmtId="179" fontId="48" fillId="6" borderId="2" xfId="0" applyNumberFormat="1" applyFont="1" applyFill="1" applyBorder="1">
      <alignment vertical="center"/>
    </xf>
    <xf numFmtId="181" fontId="56" fillId="0" borderId="24" xfId="0" applyNumberFormat="1" applyFont="1" applyBorder="1" applyAlignment="1" applyProtection="1">
      <alignment horizontal="center" vertical="center"/>
      <protection locked="0"/>
    </xf>
    <xf numFmtId="0" fontId="51" fillId="6" borderId="46" xfId="0" applyFont="1" applyFill="1" applyBorder="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lignment horizontal="center" vertical="center"/>
    </xf>
    <xf numFmtId="0" fontId="62" fillId="6" borderId="0" xfId="0" applyFont="1" applyFill="1" applyAlignment="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xf>
    <xf numFmtId="0" fontId="14" fillId="6" borderId="24" xfId="0" applyFont="1" applyFill="1" applyBorder="1">
      <alignment vertical="center"/>
    </xf>
    <xf numFmtId="0" fontId="56" fillId="6" borderId="4" xfId="0" applyFont="1" applyFill="1" applyBorder="1" applyAlignment="1">
      <alignment horizontal="center" vertical="center"/>
    </xf>
    <xf numFmtId="49" fontId="51" fillId="6" borderId="11" xfId="0" applyNumberFormat="1" applyFont="1" applyFill="1" applyBorder="1" applyAlignment="1">
      <alignment horizontal="left" vertical="center"/>
    </xf>
    <xf numFmtId="0" fontId="51" fillId="6" borderId="15" xfId="0" applyFont="1" applyFill="1" applyBorder="1" applyAlignment="1">
      <alignment horizontal="center" vertical="center"/>
    </xf>
    <xf numFmtId="0" fontId="51" fillId="6" borderId="4" xfId="0" applyFont="1" applyFill="1" applyBorder="1" applyAlignment="1">
      <alignment horizontal="right" vertical="center"/>
    </xf>
    <xf numFmtId="0" fontId="51" fillId="6" borderId="71" xfId="0" applyFont="1" applyFill="1" applyBorder="1" applyAlignment="1">
      <alignment horizontal="center" vertical="center"/>
    </xf>
    <xf numFmtId="49" fontId="51" fillId="6" borderId="35" xfId="0" applyNumberFormat="1" applyFont="1" applyFill="1" applyBorder="1" applyAlignment="1">
      <alignment horizontal="left" vertical="center"/>
    </xf>
    <xf numFmtId="0" fontId="56" fillId="6" borderId="22" xfId="0" applyFont="1" applyFill="1" applyBorder="1" applyAlignment="1">
      <alignment horizontal="center" vertical="center"/>
    </xf>
    <xf numFmtId="0" fontId="56" fillId="6" borderId="0" xfId="0" applyFont="1" applyFill="1" applyAlignment="1">
      <alignment horizontal="center" vertical="center"/>
    </xf>
    <xf numFmtId="0" fontId="51" fillId="6" borderId="3" xfId="0" applyFont="1" applyFill="1" applyBorder="1" applyAlignment="1">
      <alignment horizontal="left" vertical="center"/>
    </xf>
    <xf numFmtId="49" fontId="56" fillId="6" borderId="69" xfId="0" applyNumberFormat="1" applyFont="1" applyFill="1" applyBorder="1">
      <alignment vertical="center"/>
    </xf>
    <xf numFmtId="10" fontId="51" fillId="6" borderId="61" xfId="0" applyNumberFormat="1" applyFont="1" applyFill="1" applyBorder="1" applyAlignment="1">
      <alignment horizontal="center" vertical="center"/>
    </xf>
    <xf numFmtId="0" fontId="21" fillId="0" borderId="1" xfId="0" applyFont="1" applyBorder="1" applyAlignment="1">
      <alignment horizontal="center" vertical="center"/>
    </xf>
    <xf numFmtId="177" fontId="21" fillId="0" borderId="24" xfId="0" applyNumberFormat="1" applyFont="1" applyBorder="1" applyAlignment="1">
      <alignment horizontal="center" vertical="center"/>
    </xf>
    <xf numFmtId="0" fontId="129" fillId="0" borderId="1" xfId="0" applyFont="1" applyBorder="1" applyAlignment="1">
      <alignment horizontal="center" vertical="center"/>
    </xf>
    <xf numFmtId="9" fontId="21" fillId="0" borderId="1"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24" xfId="0" applyFont="1" applyBorder="1" applyAlignment="1">
      <alignment horizontal="center" vertical="center"/>
    </xf>
    <xf numFmtId="0" fontId="143" fillId="0" borderId="1" xfId="0" applyFont="1" applyBorder="1" applyAlignment="1">
      <alignment horizontal="center" vertical="center"/>
    </xf>
    <xf numFmtId="9" fontId="85"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85" fillId="0" borderId="24" xfId="0" applyFont="1" applyBorder="1" applyAlignment="1">
      <alignment horizontal="center" vertical="center"/>
    </xf>
    <xf numFmtId="0" fontId="39" fillId="0" borderId="1" xfId="0" applyFont="1" applyBorder="1" applyAlignment="1">
      <alignment horizontal="center" vertical="center"/>
    </xf>
    <xf numFmtId="0" fontId="0" fillId="0" borderId="1" xfId="0" applyBorder="1">
      <alignment vertical="center"/>
    </xf>
    <xf numFmtId="0" fontId="143" fillId="0" borderId="24" xfId="0" applyFont="1" applyBorder="1" applyAlignment="1">
      <alignment horizontal="center" vertical="center"/>
    </xf>
    <xf numFmtId="0" fontId="129" fillId="0" borderId="1" xfId="0" applyFont="1" applyBorder="1" applyAlignment="1">
      <alignment horizontal="center" vertical="center" wrapText="1"/>
    </xf>
    <xf numFmtId="0" fontId="39" fillId="0" borderId="1" xfId="0" applyFont="1" applyBorder="1">
      <alignment vertical="center"/>
    </xf>
    <xf numFmtId="0" fontId="129" fillId="0" borderId="24"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Border="1" applyAlignment="1">
      <alignment horizontal="center" vertical="center"/>
    </xf>
    <xf numFmtId="9" fontId="143" fillId="0" borderId="32" xfId="0" applyNumberFormat="1" applyFont="1" applyBorder="1" applyAlignment="1">
      <alignment horizontal="center" vertical="center"/>
    </xf>
    <xf numFmtId="177" fontId="143" fillId="0" borderId="32" xfId="0" applyNumberFormat="1" applyFont="1" applyBorder="1" applyAlignment="1">
      <alignment horizontal="center" vertical="center"/>
    </xf>
    <xf numFmtId="0" fontId="85" fillId="0" borderId="49" xfId="0" applyFont="1" applyBorder="1" applyAlignment="1">
      <alignment horizontal="center" vertical="center"/>
    </xf>
    <xf numFmtId="0" fontId="143" fillId="11" borderId="1" xfId="0" applyFont="1" applyFill="1" applyBorder="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49" fontId="56" fillId="6" borderId="41" xfId="0" applyNumberFormat="1" applyFont="1" applyFill="1" applyBorder="1" applyAlignment="1">
      <alignment horizontal="left" vertical="center"/>
    </xf>
    <xf numFmtId="0" fontId="56" fillId="6" borderId="2" xfId="0" applyFont="1" applyFill="1" applyBorder="1" applyAlignment="1">
      <alignment horizontal="left" vertical="center"/>
    </xf>
    <xf numFmtId="0" fontId="51" fillId="6" borderId="15" xfId="0" applyFont="1" applyFill="1" applyBorder="1" applyAlignment="1">
      <alignment horizontal="left" vertical="center"/>
    </xf>
    <xf numFmtId="181" fontId="51" fillId="6" borderId="53" xfId="0" applyNumberFormat="1" applyFont="1" applyFill="1" applyBorder="1" applyAlignment="1">
      <alignment horizontal="center" vertical="center"/>
    </xf>
    <xf numFmtId="49" fontId="51" fillId="6" borderId="91" xfId="0" applyNumberFormat="1" applyFont="1" applyFill="1" applyBorder="1">
      <alignment vertical="center"/>
    </xf>
    <xf numFmtId="0" fontId="56" fillId="0" borderId="78" xfId="0" applyFont="1" applyBorder="1" applyAlignment="1" applyProtection="1">
      <alignment horizontal="center" vertical="center"/>
      <protection locked="0"/>
    </xf>
    <xf numFmtId="0" fontId="51" fillId="6" borderId="78" xfId="0" applyFont="1" applyFill="1" applyBorder="1">
      <alignment vertical="center"/>
    </xf>
    <xf numFmtId="181" fontId="56" fillId="6" borderId="79" xfId="0" applyNumberFormat="1" applyFont="1" applyFill="1" applyBorder="1" applyAlignment="1">
      <alignment horizontal="center" vertical="center"/>
    </xf>
    <xf numFmtId="0" fontId="51" fillId="6" borderId="4" xfId="0" applyFont="1" applyFill="1" applyBorder="1" applyAlignment="1">
      <alignment horizontal="left" vertical="center"/>
    </xf>
    <xf numFmtId="0" fontId="51" fillId="6" borderId="60" xfId="0" applyFont="1" applyFill="1" applyBorder="1" applyAlignment="1">
      <alignment horizontal="center" vertical="center"/>
    </xf>
    <xf numFmtId="49" fontId="51" fillId="6" borderId="91" xfId="0" applyNumberFormat="1" applyFont="1" applyFill="1" applyBorder="1" applyAlignment="1">
      <alignment horizontal="left" vertical="center"/>
    </xf>
    <xf numFmtId="0" fontId="51" fillId="6" borderId="78" xfId="0" applyFont="1" applyFill="1" applyBorder="1" applyAlignment="1">
      <alignment horizontal="left" vertical="center"/>
    </xf>
    <xf numFmtId="0" fontId="51" fillId="6" borderId="78" xfId="0" applyFont="1" applyFill="1" applyBorder="1" applyAlignment="1">
      <alignment horizontal="center" vertical="center"/>
    </xf>
    <xf numFmtId="0" fontId="51" fillId="6" borderId="78" xfId="0" applyFont="1" applyFill="1" applyBorder="1" applyAlignment="1">
      <alignment horizontal="left" vertical="center" wrapText="1"/>
    </xf>
    <xf numFmtId="181" fontId="51" fillId="6" borderId="79"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60" xfId="0" applyFont="1" applyFill="1" applyBorder="1" applyAlignment="1">
      <alignment horizontal="center" vertical="center" wrapText="1"/>
    </xf>
    <xf numFmtId="0" fontId="51" fillId="6" borderId="71" xfId="0" applyFont="1" applyFill="1" applyBorder="1" applyAlignment="1">
      <alignment horizontal="center" vertical="center" wrapText="1"/>
    </xf>
    <xf numFmtId="0" fontId="51" fillId="6" borderId="85" xfId="0" applyFont="1" applyFill="1" applyBorder="1">
      <alignment vertical="center"/>
    </xf>
    <xf numFmtId="181" fontId="56" fillId="6" borderId="78" xfId="0" applyNumberFormat="1" applyFont="1" applyFill="1" applyBorder="1" applyAlignment="1">
      <alignment horizontal="center" vertical="center"/>
    </xf>
    <xf numFmtId="0" fontId="51" fillId="6" borderId="85" xfId="0" applyFont="1" applyFill="1" applyBorder="1" applyAlignment="1">
      <alignment horizontal="left" vertical="center"/>
    </xf>
    <xf numFmtId="0" fontId="51" fillId="6" borderId="7" xfId="0" applyFont="1" applyFill="1" applyBorder="1">
      <alignment vertical="center"/>
    </xf>
    <xf numFmtId="49" fontId="51" fillId="6" borderId="41" xfId="0" applyNumberFormat="1" applyFont="1" applyFill="1" applyBorder="1" applyAlignment="1">
      <alignment horizontal="left" vertical="center"/>
    </xf>
    <xf numFmtId="49" fontId="51" fillId="6" borderId="7" xfId="0" applyNumberFormat="1" applyFont="1" applyFill="1" applyBorder="1">
      <alignment vertical="center"/>
    </xf>
    <xf numFmtId="178" fontId="58" fillId="6" borderId="1" xfId="0" applyNumberFormat="1" applyFont="1" applyFill="1" applyBorder="1" applyAlignment="1">
      <alignment horizontal="center" vertical="center"/>
    </xf>
    <xf numFmtId="178" fontId="57" fillId="6" borderId="1"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187" fontId="51" fillId="6" borderId="3"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0" fontId="50" fillId="6" borderId="39" xfId="0" applyFont="1" applyFill="1" applyBorder="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lignment horizontal="center" vertical="center"/>
    </xf>
    <xf numFmtId="0" fontId="61" fillId="6" borderId="0" xfId="0" applyFont="1" applyFill="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6" fillId="6" borderId="58" xfId="0" applyFont="1" applyFill="1" applyBorder="1" applyAlignment="1">
      <alignment horizontal="center" vertical="center"/>
    </xf>
    <xf numFmtId="9" fontId="57" fillId="6" borderId="24" xfId="0" applyNumberFormat="1"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lignment horizontal="center" vertical="center" wrapText="1"/>
    </xf>
    <xf numFmtId="10" fontId="57" fillId="6" borderId="49" xfId="0" applyNumberFormat="1" applyFont="1" applyFill="1" applyBorder="1" applyAlignment="1">
      <alignment horizontal="center" vertical="center" wrapText="1"/>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Alignment="1">
      <alignment horizontal="right" vertical="center"/>
    </xf>
    <xf numFmtId="0" fontId="55" fillId="6" borderId="45" xfId="0" applyFont="1" applyFill="1" applyBorder="1" applyAlignment="1">
      <alignment horizontal="center" vertical="center" wrapText="1"/>
    </xf>
    <xf numFmtId="0" fontId="62" fillId="6" borderId="1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53" fillId="0" borderId="33" xfId="0" applyFont="1" applyBorder="1" applyAlignment="1" applyProtection="1">
      <alignment horizontal="center" vertical="center"/>
      <protection locked="0"/>
    </xf>
    <xf numFmtId="0" fontId="55"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8" fillId="6" borderId="0" xfId="0" applyFont="1" applyFill="1" applyProtection="1">
      <alignment vertical="center"/>
      <protection locked="0"/>
    </xf>
    <xf numFmtId="176" fontId="50" fillId="6" borderId="1" xfId="0" applyNumberFormat="1" applyFont="1" applyFill="1" applyBorder="1">
      <alignment vertical="center"/>
    </xf>
    <xf numFmtId="176" fontId="50" fillId="6" borderId="1" xfId="0" applyNumberFormat="1" applyFont="1" applyFill="1" applyBorder="1" applyAlignment="1">
      <alignment horizontal="center" vertical="center"/>
    </xf>
    <xf numFmtId="176" fontId="50" fillId="6" borderId="24" xfId="0" applyNumberFormat="1" applyFont="1" applyFill="1" applyBorder="1">
      <alignment vertical="center"/>
    </xf>
    <xf numFmtId="176" fontId="50" fillId="6" borderId="25" xfId="0" applyNumberFormat="1" applyFont="1" applyFill="1" applyBorder="1">
      <alignment vertical="center"/>
    </xf>
    <xf numFmtId="176" fontId="50" fillId="6" borderId="76" xfId="0" applyNumberFormat="1" applyFont="1" applyFill="1" applyBorder="1">
      <alignment vertical="center"/>
    </xf>
    <xf numFmtId="0" fontId="50" fillId="6" borderId="25" xfId="0" applyFont="1" applyFill="1" applyBorder="1">
      <alignment vertical="center"/>
    </xf>
    <xf numFmtId="0" fontId="50" fillId="6" borderId="49" xfId="0" applyFont="1" applyFill="1" applyBorder="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Font="1" applyFill="1" applyBorder="1" applyAlignment="1">
      <alignment horizontal="right" vertical="center" wrapText="1"/>
    </xf>
    <xf numFmtId="0" fontId="54" fillId="6" borderId="38" xfId="0" applyFont="1" applyFill="1" applyBorder="1" applyAlignment="1">
      <alignment vertical="center" wrapText="1"/>
    </xf>
    <xf numFmtId="0" fontId="54" fillId="6" borderId="52" xfId="0" applyFont="1" applyFill="1" applyBorder="1" applyAlignment="1">
      <alignment vertical="center" wrapText="1"/>
    </xf>
    <xf numFmtId="0" fontId="54" fillId="6" borderId="47" xfId="0" applyFont="1" applyFill="1" applyBorder="1" applyAlignment="1" applyProtection="1">
      <alignment vertical="center" wrapText="1"/>
      <protection locked="0"/>
    </xf>
    <xf numFmtId="0" fontId="61" fillId="6" borderId="2" xfId="0" applyFont="1" applyFill="1" applyBorder="1" applyAlignment="1">
      <alignment horizontal="right" vertical="center"/>
    </xf>
    <xf numFmtId="0" fontId="66" fillId="6" borderId="58" xfId="0" applyFont="1" applyFill="1" applyBorder="1" applyAlignment="1">
      <alignment horizontal="center" vertical="center"/>
    </xf>
    <xf numFmtId="0" fontId="60" fillId="6" borderId="0" xfId="0" applyFont="1" applyFill="1" applyAlignment="1" applyProtection="1">
      <protection locked="0"/>
    </xf>
    <xf numFmtId="0" fontId="55" fillId="6" borderId="0" xfId="0" applyFont="1" applyFill="1" applyAlignment="1" applyProtection="1">
      <alignment horizontal="center"/>
      <protection locked="0"/>
    </xf>
    <xf numFmtId="0" fontId="61" fillId="6" borderId="5" xfId="1" applyFont="1" applyFill="1" applyBorder="1" applyAlignment="1">
      <alignment horizontal="right" vertical="center"/>
    </xf>
    <xf numFmtId="0" fontId="50" fillId="6" borderId="33" xfId="0" applyFont="1" applyFill="1" applyBorder="1" applyAlignment="1">
      <alignment horizontal="center" vertical="center"/>
    </xf>
    <xf numFmtId="181" fontId="48" fillId="6" borderId="49" xfId="0" applyNumberFormat="1" applyFont="1" applyFill="1" applyBorder="1">
      <alignment vertical="center"/>
    </xf>
    <xf numFmtId="0" fontId="48" fillId="6" borderId="24" xfId="1" applyFont="1" applyFill="1" applyBorder="1" applyAlignment="1">
      <alignment horizontal="center" vertical="center"/>
    </xf>
    <xf numFmtId="10" fontId="55" fillId="0" borderId="3" xfId="8" applyNumberFormat="1" applyFont="1" applyBorder="1" applyAlignment="1" applyProtection="1">
      <alignment horizontal="center" vertical="center" wrapText="1"/>
      <protection locked="0"/>
    </xf>
    <xf numFmtId="10" fontId="57" fillId="6" borderId="24" xfId="8" applyNumberFormat="1" applyFont="1" applyFill="1" applyBorder="1" applyAlignment="1">
      <alignment horizontal="center" vertical="center" wrapText="1"/>
    </xf>
    <xf numFmtId="10" fontId="55" fillId="0" borderId="66" xfId="8" applyNumberFormat="1" applyFont="1" applyBorder="1" applyAlignment="1" applyProtection="1">
      <alignment horizontal="center" vertical="center" wrapText="1"/>
      <protection locked="0"/>
    </xf>
    <xf numFmtId="10" fontId="57" fillId="6" borderId="49" xfId="8" applyNumberFormat="1" applyFont="1" applyFill="1" applyBorder="1" applyAlignment="1">
      <alignment horizontal="center" vertical="center" wrapText="1"/>
    </xf>
    <xf numFmtId="0" fontId="48" fillId="6" borderId="22" xfId="0" applyFont="1" applyFill="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protection locked="0"/>
    </xf>
    <xf numFmtId="0" fontId="48" fillId="6" borderId="30" xfId="0" applyFont="1" applyFill="1" applyBorder="1" applyAlignment="1">
      <alignment horizontal="center" vertical="center" wrapText="1"/>
    </xf>
    <xf numFmtId="0" fontId="55" fillId="6" borderId="13" xfId="0" applyFont="1" applyFill="1" applyBorder="1" applyAlignment="1" applyProtection="1">
      <alignment horizontal="center" vertical="center" wrapText="1"/>
      <protection locked="0"/>
    </xf>
    <xf numFmtId="190" fontId="48" fillId="6" borderId="30" xfId="0" applyNumberFormat="1" applyFont="1" applyFill="1" applyBorder="1" applyAlignment="1">
      <alignment horizontal="center" vertical="center" wrapText="1"/>
    </xf>
    <xf numFmtId="190" fontId="48" fillId="6" borderId="9" xfId="0" applyNumberFormat="1" applyFont="1" applyFill="1" applyBorder="1" applyAlignment="1">
      <alignment horizontal="center" vertical="center" wrapText="1"/>
    </xf>
    <xf numFmtId="190" fontId="48" fillId="6" borderId="39" xfId="0" applyNumberFormat="1" applyFont="1" applyFill="1" applyBorder="1" applyAlignment="1">
      <alignment horizontal="center" vertical="center" wrapText="1"/>
    </xf>
    <xf numFmtId="0" fontId="51" fillId="0" borderId="54" xfId="0" applyFont="1" applyBorder="1" applyProtection="1">
      <alignment vertical="center"/>
      <protection locked="0"/>
    </xf>
    <xf numFmtId="0" fontId="51" fillId="6" borderId="36" xfId="0" applyFont="1" applyFill="1" applyBorder="1">
      <alignment vertical="center"/>
    </xf>
    <xf numFmtId="0" fontId="51" fillId="6" borderId="60" xfId="0" applyFont="1" applyFill="1" applyBorder="1" applyAlignment="1">
      <alignment horizontal="left" vertical="center"/>
    </xf>
    <xf numFmtId="0" fontId="49" fillId="5" borderId="3" xfId="1" applyFont="1" applyFill="1" applyBorder="1">
      <alignment vertical="center"/>
    </xf>
    <xf numFmtId="0" fontId="49" fillId="5" borderId="5" xfId="1" applyFont="1" applyFill="1" applyBorder="1" applyAlignment="1" applyProtection="1">
      <alignment horizontal="left" vertical="center"/>
      <protection locked="0"/>
    </xf>
    <xf numFmtId="0" fontId="66"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2" fillId="6" borderId="1" xfId="8" applyFont="1" applyFill="1" applyBorder="1" applyAlignment="1">
      <alignment horizontal="center" vertical="center" wrapText="1"/>
    </xf>
    <xf numFmtId="0" fontId="62" fillId="0" borderId="1" xfId="8" applyFont="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lignment horizontal="center" vertical="center" wrapText="1"/>
    </xf>
    <xf numFmtId="0" fontId="57" fillId="0" borderId="0" xfId="8" applyFont="1" applyAlignment="1">
      <alignment horizontal="center" vertical="center" wrapText="1"/>
    </xf>
    <xf numFmtId="0" fontId="105" fillId="6" borderId="1" xfId="8" applyFont="1" applyFill="1" applyBorder="1" applyAlignment="1">
      <alignment horizontal="center" vertical="center"/>
    </xf>
    <xf numFmtId="186" fontId="105"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7" fillId="6" borderId="1" xfId="8" applyFont="1" applyFill="1" applyBorder="1" applyAlignment="1">
      <alignment horizontal="center" vertical="center" wrapText="1"/>
    </xf>
    <xf numFmtId="0" fontId="105" fillId="6" borderId="1" xfId="8" applyFont="1" applyFill="1" applyBorder="1" applyAlignment="1">
      <alignment vertical="center" wrapText="1"/>
    </xf>
    <xf numFmtId="0" fontId="61" fillId="6" borderId="2" xfId="1" applyFont="1" applyFill="1" applyBorder="1">
      <alignment vertical="center"/>
    </xf>
    <xf numFmtId="0" fontId="107" fillId="6" borderId="85" xfId="0" applyFont="1" applyFill="1" applyBorder="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lignment horizontal="center" vertical="center"/>
    </xf>
    <xf numFmtId="0" fontId="66" fillId="2" borderId="88" xfId="0" applyFont="1" applyFill="1" applyBorder="1" applyProtection="1">
      <alignment vertical="center"/>
      <protection locked="0"/>
    </xf>
    <xf numFmtId="0" fontId="66" fillId="6" borderId="88" xfId="0" applyFont="1" applyFill="1" applyBorder="1" applyProtection="1">
      <alignment vertical="center"/>
      <protection locked="0"/>
    </xf>
    <xf numFmtId="0" fontId="69" fillId="6" borderId="88" xfId="0" applyFont="1" applyFill="1" applyBorder="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lignment horizontal="center" vertical="center"/>
    </xf>
    <xf numFmtId="0" fontId="67" fillId="6" borderId="87" xfId="0" applyFont="1" applyFill="1" applyBorder="1" applyAlignment="1">
      <alignment horizontal="center" vertical="center"/>
    </xf>
    <xf numFmtId="0" fontId="67" fillId="0" borderId="87" xfId="0" applyFont="1" applyBorder="1" applyAlignment="1" applyProtection="1">
      <alignment horizontal="center" vertical="center"/>
      <protection locked="0"/>
    </xf>
    <xf numFmtId="0" fontId="66" fillId="6" borderId="88" xfId="0" applyFont="1" applyFill="1" applyBorder="1">
      <alignment vertical="center"/>
    </xf>
    <xf numFmtId="0" fontId="69" fillId="6" borderId="88" xfId="0" applyFont="1" applyFill="1" applyBorder="1">
      <alignment vertical="center"/>
    </xf>
    <xf numFmtId="189" fontId="66" fillId="6" borderId="88" xfId="0" applyNumberFormat="1" applyFont="1" applyFill="1" applyBorder="1" applyAlignment="1">
      <alignment horizontal="center" vertical="center"/>
    </xf>
    <xf numFmtId="181" fontId="66" fillId="6" borderId="88" xfId="0" applyNumberFormat="1" applyFont="1" applyFill="1" applyBorder="1">
      <alignment vertical="center"/>
    </xf>
    <xf numFmtId="0" fontId="66" fillId="6" borderId="88" xfId="0" applyFont="1" applyFill="1" applyBorder="1" applyAlignment="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29"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9"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9"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1"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0" fontId="105" fillId="0" borderId="5"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46"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0" fontId="105" fillId="0" borderId="110" xfId="0" applyFont="1" applyBorder="1" applyAlignment="1" applyProtection="1">
      <alignment horizontal="center" vertical="center" wrapText="1"/>
      <protection locked="0"/>
    </xf>
    <xf numFmtId="0" fontId="105" fillId="0" borderId="110" xfId="0" applyFont="1" applyBorder="1" applyAlignment="1" applyProtection="1">
      <alignment horizontal="left" vertical="center" wrapText="1"/>
      <protection locked="0"/>
    </xf>
    <xf numFmtId="0" fontId="105" fillId="0" borderId="111" xfId="0" applyFont="1" applyBorder="1" applyAlignment="1" applyProtection="1">
      <alignment horizontal="center" vertical="center" wrapText="1"/>
      <protection locked="0"/>
    </xf>
    <xf numFmtId="0" fontId="105" fillId="0" borderId="112" xfId="0" applyFont="1" applyBorder="1" applyAlignment="1" applyProtection="1">
      <alignment horizontal="center" vertical="center" wrapText="1"/>
      <protection locked="0"/>
    </xf>
    <xf numFmtId="0" fontId="105" fillId="6" borderId="98"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58" xfId="0" applyFont="1" applyBorder="1" applyAlignment="1" applyProtection="1">
      <alignment horizontal="center" vertical="center"/>
      <protection locked="0"/>
    </xf>
    <xf numFmtId="0" fontId="105" fillId="0" borderId="15" xfId="0" applyFont="1" applyBorder="1" applyAlignment="1" applyProtection="1">
      <alignment horizontal="center" vertical="center" wrapText="1"/>
      <protection locked="0"/>
    </xf>
    <xf numFmtId="9" fontId="105" fillId="0" borderId="15" xfId="0" applyNumberFormat="1" applyFont="1" applyBorder="1" applyAlignment="1" applyProtection="1">
      <alignment horizontal="center" vertical="center" wrapText="1"/>
      <protection locked="0"/>
    </xf>
    <xf numFmtId="0" fontId="105" fillId="0" borderId="15" xfId="0" applyFont="1" applyBorder="1" applyAlignment="1" applyProtection="1">
      <alignment horizontal="center" vertical="center"/>
      <protection locked="0"/>
    </xf>
    <xf numFmtId="0" fontId="105" fillId="0" borderId="56" xfId="0" applyFont="1" applyBorder="1" applyAlignment="1" applyProtection="1">
      <alignment horizontal="center" vertical="center"/>
      <protection locked="0"/>
    </xf>
    <xf numFmtId="0" fontId="105" fillId="0" borderId="2" xfId="0" applyFont="1" applyBorder="1" applyAlignment="1" applyProtection="1">
      <alignment horizontal="left" vertical="center" wrapText="1"/>
      <protection locked="0"/>
    </xf>
    <xf numFmtId="0" fontId="105" fillId="6" borderId="13"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49" xfId="0" applyFont="1" applyFill="1" applyBorder="1" applyAlignment="1">
      <alignment horizontal="center" vertical="center" wrapText="1"/>
    </xf>
    <xf numFmtId="0" fontId="51"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Border="1" applyAlignment="1">
      <alignment horizontal="center" vertical="center"/>
    </xf>
    <xf numFmtId="0" fontId="104" fillId="6" borderId="9" xfId="0" applyFont="1" applyFill="1" applyBorder="1" applyAlignment="1">
      <alignment horizontal="center" vertical="center" wrapText="1"/>
    </xf>
    <xf numFmtId="0" fontId="104" fillId="6" borderId="10" xfId="0" applyFont="1" applyFill="1" applyBorder="1" applyAlignment="1">
      <alignment horizontal="center" vertical="center" wrapText="1"/>
    </xf>
    <xf numFmtId="10" fontId="57"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2" fillId="6" borderId="32" xfId="0" applyFont="1" applyFill="1" applyBorder="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05" fillId="6"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1" xfId="0" applyFont="1" applyFill="1" applyBorder="1" applyAlignment="1">
      <alignment horizontal="center" vertical="center"/>
    </xf>
    <xf numFmtId="0" fontId="55" fillId="6" borderId="15" xfId="0" applyFont="1" applyFill="1" applyBorder="1" applyAlignment="1">
      <alignment horizontal="center" vertical="center"/>
    </xf>
    <xf numFmtId="0" fontId="48" fillId="6" borderId="3" xfId="0" applyFont="1" applyFill="1" applyBorder="1" applyAlignment="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Alignment="1">
      <alignment horizontal="center"/>
    </xf>
    <xf numFmtId="0" fontId="57" fillId="6" borderId="13" xfId="0" applyFont="1" applyFill="1" applyBorder="1">
      <alignment vertical="center"/>
    </xf>
    <xf numFmtId="0" fontId="51"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19" fillId="6" borderId="15" xfId="0" applyFont="1" applyFill="1" applyBorder="1">
      <alignment vertical="center"/>
    </xf>
    <xf numFmtId="0" fontId="51" fillId="6" borderId="118" xfId="0" applyFont="1" applyFill="1" applyBorder="1" applyAlignment="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lignment vertical="center" wrapText="1"/>
    </xf>
    <xf numFmtId="0" fontId="51" fillId="6" borderId="36" xfId="0" applyFont="1" applyFill="1" applyBorder="1" applyAlignment="1">
      <alignment horizontal="left" vertical="center"/>
    </xf>
    <xf numFmtId="49" fontId="68" fillId="6" borderId="60" xfId="0" applyNumberFormat="1" applyFont="1" applyFill="1" applyBorder="1" applyAlignment="1"/>
    <xf numFmtId="0" fontId="81" fillId="6" borderId="13" xfId="0" applyFont="1" applyFill="1" applyBorder="1">
      <alignment vertical="center"/>
    </xf>
    <xf numFmtId="0" fontId="81" fillId="6" borderId="22" xfId="0" applyFont="1" applyFill="1" applyBorder="1">
      <alignment vertical="center"/>
    </xf>
    <xf numFmtId="177" fontId="61" fillId="6" borderId="60" xfId="0" applyNumberFormat="1" applyFont="1" applyFill="1" applyBorder="1" applyAlignment="1"/>
    <xf numFmtId="49" fontId="61" fillId="2" borderId="27" xfId="0" applyNumberFormat="1" applyFont="1" applyFill="1" applyBorder="1" applyAlignment="1" applyProtection="1">
      <alignment horizontal="right"/>
      <protection locked="0"/>
    </xf>
    <xf numFmtId="0" fontId="57" fillId="6" borderId="0" xfId="0" applyFont="1" applyFill="1" applyAlignment="1">
      <alignment horizontal="center" vertical="center"/>
    </xf>
    <xf numFmtId="0" fontId="57" fillId="6" borderId="0" xfId="0" applyFont="1" applyFill="1">
      <alignment vertical="center"/>
    </xf>
    <xf numFmtId="49" fontId="58" fillId="6" borderId="0" xfId="0" applyNumberFormat="1" applyFont="1" applyFill="1" applyAlignment="1">
      <alignment horizontal="center"/>
    </xf>
    <xf numFmtId="49" fontId="58" fillId="6" borderId="0" xfId="0" applyNumberFormat="1" applyFont="1" applyFill="1" applyAlignment="1">
      <alignment horizontal="left"/>
    </xf>
    <xf numFmtId="0" fontId="57" fillId="7" borderId="0" xfId="0" applyFont="1" applyFill="1" applyProtection="1">
      <alignment vertical="center"/>
      <protection locked="0"/>
    </xf>
    <xf numFmtId="0" fontId="58" fillId="6" borderId="1" xfId="1" applyFont="1" applyFill="1" applyBorder="1">
      <alignment vertical="center"/>
    </xf>
    <xf numFmtId="0" fontId="56" fillId="6" borderId="1" xfId="0" applyFont="1" applyFill="1" applyBorder="1" applyAlignment="1">
      <alignment horizontal="right" vertical="center"/>
    </xf>
    <xf numFmtId="49" fontId="57" fillId="6" borderId="0" xfId="0" applyNumberFormat="1" applyFont="1" applyFill="1" applyAlignment="1"/>
    <xf numFmtId="49" fontId="58" fillId="6" borderId="0" xfId="0" applyNumberFormat="1" applyFont="1" applyFill="1" applyAlignment="1"/>
    <xf numFmtId="0" fontId="58" fillId="6" borderId="32" xfId="1" applyFont="1" applyFill="1" applyBorder="1">
      <alignment vertical="center"/>
    </xf>
    <xf numFmtId="0" fontId="56" fillId="6" borderId="32" xfId="0" applyFont="1" applyFill="1" applyBorder="1" applyAlignment="1">
      <alignment horizontal="right" vertical="center"/>
    </xf>
    <xf numFmtId="0" fontId="51" fillId="6" borderId="60" xfId="0" applyFont="1" applyFill="1" applyBorder="1">
      <alignment vertical="center"/>
    </xf>
    <xf numFmtId="0" fontId="51" fillId="6" borderId="71" xfId="0" applyFont="1" applyFill="1" applyBorder="1">
      <alignment vertical="center"/>
    </xf>
    <xf numFmtId="0" fontId="51" fillId="6" borderId="88" xfId="0" applyFont="1" applyFill="1" applyBorder="1">
      <alignment vertical="center"/>
    </xf>
    <xf numFmtId="0" fontId="51" fillId="6" borderId="90" xfId="0" applyFont="1" applyFill="1" applyBorder="1">
      <alignment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0" fontId="58" fillId="6" borderId="0" xfId="0" applyFont="1" applyFill="1" applyAlignment="1" applyProtection="1">
      <alignment horizontal="left" vertical="center"/>
      <protection locked="0"/>
    </xf>
    <xf numFmtId="0" fontId="64" fillId="6" borderId="0" xfId="0" applyFont="1" applyFill="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7" fillId="6" borderId="16" xfId="0" applyFont="1" applyFill="1" applyBorder="1" applyAlignment="1">
      <alignment horizontal="center" vertical="center"/>
    </xf>
    <xf numFmtId="0" fontId="51" fillId="6" borderId="31" xfId="0" applyFont="1" applyFill="1" applyBorder="1" applyAlignment="1"/>
    <xf numFmtId="0" fontId="146" fillId="7" borderId="63" xfId="0" applyFont="1" applyFill="1" applyBorder="1" applyProtection="1">
      <alignment vertical="center"/>
      <protection locked="0"/>
    </xf>
    <xf numFmtId="0" fontId="57" fillId="7" borderId="64" xfId="0" applyFont="1" applyFill="1" applyBorder="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lignment horizontal="center" vertical="center"/>
    </xf>
    <xf numFmtId="0" fontId="105" fillId="6" borderId="82" xfId="0" applyFont="1" applyFill="1" applyBorder="1" applyAlignment="1">
      <alignment vertical="center" wrapText="1"/>
    </xf>
    <xf numFmtId="0" fontId="105" fillId="6" borderId="65" xfId="0" applyFont="1" applyFill="1" applyBorder="1">
      <alignment vertical="center"/>
    </xf>
    <xf numFmtId="0" fontId="105" fillId="6" borderId="65" xfId="0" applyFont="1" applyFill="1" applyBorder="1" applyAlignment="1">
      <alignment vertical="center" wrapText="1"/>
    </xf>
    <xf numFmtId="0" fontId="57" fillId="6" borderId="6" xfId="0" applyFont="1" applyFill="1" applyBorder="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lignment horizontal="center" vertical="center"/>
    </xf>
    <xf numFmtId="0" fontId="105" fillId="6" borderId="81" xfId="0" applyFont="1" applyFill="1" applyBorder="1" applyAlignment="1">
      <alignment vertical="center" wrapText="1"/>
    </xf>
    <xf numFmtId="0" fontId="105" fillId="6" borderId="43" xfId="0" applyFont="1" applyFill="1" applyBorder="1">
      <alignment vertical="center"/>
    </xf>
    <xf numFmtId="0" fontId="105" fillId="6" borderId="43" xfId="0" applyFont="1" applyFill="1" applyBorder="1" applyAlignment="1">
      <alignment vertical="center" wrapText="1"/>
    </xf>
    <xf numFmtId="0" fontId="57" fillId="6" borderId="23" xfId="0" applyFont="1" applyFill="1" applyBorder="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lignment horizontal="center" vertical="center"/>
    </xf>
    <xf numFmtId="0" fontId="57" fillId="7" borderId="24"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105" fillId="6" borderId="81" xfId="0" applyFont="1" applyFill="1" applyBorder="1" applyAlignment="1">
      <alignment horizontal="right" vertical="center" wrapText="1"/>
    </xf>
    <xf numFmtId="0" fontId="105" fillId="6" borderId="24" xfId="0" applyFont="1" applyFill="1" applyBorder="1" applyAlignment="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lignment vertical="center" wrapText="1"/>
    </xf>
    <xf numFmtId="49" fontId="57" fillId="6" borderId="23" xfId="0" applyNumberFormat="1" applyFont="1" applyFill="1" applyBorder="1" applyAlignment="1">
      <alignment horizontal="left" vertical="center"/>
    </xf>
    <xf numFmtId="0" fontId="57" fillId="6" borderId="23" xfId="0" applyFont="1" applyFill="1" applyBorder="1" applyProtection="1">
      <alignment vertical="center"/>
      <protection locked="0"/>
    </xf>
    <xf numFmtId="195" fontId="57" fillId="6" borderId="24" xfId="0" applyNumberFormat="1" applyFont="1" applyFill="1" applyBorder="1" applyAlignment="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lignment vertical="center"/>
    </xf>
    <xf numFmtId="10" fontId="57" fillId="0" borderId="49" xfId="0" applyNumberFormat="1" applyFont="1" applyBorder="1" applyAlignment="1" applyProtection="1">
      <alignment horizontal="center" vertical="center"/>
      <protection locked="0"/>
    </xf>
    <xf numFmtId="0" fontId="57" fillId="6" borderId="26" xfId="0" applyFont="1" applyFill="1" applyBorder="1" applyAlignment="1">
      <alignment vertical="center" wrapText="1"/>
    </xf>
    <xf numFmtId="0" fontId="57"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8" fillId="6" borderId="51" xfId="0" applyFont="1" applyFill="1" applyBorder="1" applyAlignment="1">
      <alignment horizontal="left" vertical="center" wrapText="1"/>
    </xf>
    <xf numFmtId="181" fontId="57" fillId="6" borderId="9" xfId="0" applyNumberFormat="1" applyFont="1" applyFill="1" applyBorder="1" applyAlignment="1">
      <alignment horizontal="center" vertical="center"/>
    </xf>
    <xf numFmtId="0" fontId="58" fillId="6" borderId="16" xfId="0" applyFont="1" applyFill="1" applyBorder="1" applyAlignment="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Protection="1">
      <alignment vertical="center"/>
      <protection locked="0"/>
    </xf>
    <xf numFmtId="0" fontId="57" fillId="6" borderId="54" xfId="0" applyFont="1" applyFill="1" applyBorder="1" applyProtection="1">
      <alignment vertical="center"/>
      <protection locked="0"/>
    </xf>
    <xf numFmtId="0" fontId="57" fillId="6" borderId="41" xfId="0" applyFont="1" applyFill="1" applyBorder="1" applyAlignment="1">
      <alignment vertical="center" wrapText="1"/>
    </xf>
    <xf numFmtId="0" fontId="57" fillId="5" borderId="0" xfId="0" applyFont="1" applyFill="1" applyAlignment="1" applyProtection="1">
      <alignment horizontal="center" vertical="center"/>
      <protection locked="0"/>
    </xf>
    <xf numFmtId="0" fontId="57" fillId="6" borderId="18" xfId="0" applyFont="1" applyFill="1" applyBorder="1" applyProtection="1">
      <alignment vertical="center"/>
      <protection locked="0"/>
    </xf>
    <xf numFmtId="0" fontId="57" fillId="6" borderId="4" xfId="0" applyFont="1" applyFill="1" applyBorder="1" applyProtection="1">
      <alignment vertical="center"/>
      <protection locked="0"/>
    </xf>
    <xf numFmtId="0" fontId="57" fillId="6" borderId="60" xfId="0" applyFont="1" applyFill="1" applyBorder="1" applyProtection="1">
      <alignment vertical="center"/>
      <protection locked="0"/>
    </xf>
    <xf numFmtId="0" fontId="57" fillId="6" borderId="71" xfId="0" applyFont="1" applyFill="1" applyBorder="1" applyProtection="1">
      <alignment vertical="center"/>
      <protection locked="0"/>
    </xf>
    <xf numFmtId="0" fontId="57" fillId="6" borderId="23" xfId="0" applyFont="1" applyFill="1" applyBorder="1" applyAlignment="1">
      <alignment vertical="center" wrapText="1"/>
    </xf>
    <xf numFmtId="0" fontId="57" fillId="6" borderId="5" xfId="0" applyFont="1" applyFill="1" applyBorder="1" applyAlignment="1">
      <alignment horizontal="center" vertical="center"/>
    </xf>
    <xf numFmtId="181" fontId="57" fillId="6" borderId="5" xfId="0" applyNumberFormat="1" applyFont="1" applyFill="1" applyBorder="1" applyAlignment="1">
      <alignment horizontal="center" vertical="center"/>
    </xf>
    <xf numFmtId="49" fontId="58" fillId="6" borderId="25" xfId="0" applyNumberFormat="1" applyFont="1" applyFill="1" applyBorder="1" applyAlignment="1">
      <alignment horizontal="left" vertical="center"/>
    </xf>
    <xf numFmtId="0" fontId="57" fillId="6" borderId="49" xfId="0" applyFont="1" applyFill="1" applyBorder="1" applyAlignment="1">
      <alignment horizontal="center" vertical="center"/>
    </xf>
    <xf numFmtId="0" fontId="58" fillId="6" borderId="25" xfId="0" applyFont="1" applyFill="1" applyBorder="1" applyAlignment="1">
      <alignment horizontal="center" vertical="center"/>
    </xf>
    <xf numFmtId="0" fontId="57" fillId="6" borderId="0" xfId="0" applyFont="1" applyFill="1" applyProtection="1">
      <alignment vertical="center"/>
      <protection locked="0"/>
    </xf>
    <xf numFmtId="0" fontId="57" fillId="6" borderId="1" xfId="0" applyFont="1" applyFill="1" applyBorder="1" applyAlignment="1"/>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lignment vertical="center" wrapText="1"/>
    </xf>
    <xf numFmtId="0" fontId="172" fillId="6" borderId="43" xfId="0" applyFont="1" applyFill="1" applyBorder="1">
      <alignment vertical="center"/>
    </xf>
    <xf numFmtId="0" fontId="57" fillId="0" borderId="0" xfId="0" applyFont="1" applyAlignment="1" applyProtection="1">
      <alignment horizontal="left" vertical="center"/>
      <protection locked="0"/>
    </xf>
    <xf numFmtId="0" fontId="51" fillId="6" borderId="1" xfId="0" applyFont="1" applyFill="1" applyBorder="1" applyAlignment="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lignment vertical="center"/>
    </xf>
    <xf numFmtId="0" fontId="51" fillId="6" borderId="0" xfId="0" applyFont="1" applyFill="1" applyAlignment="1"/>
    <xf numFmtId="0" fontId="51"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0"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4" fillId="0" borderId="0" xfId="7" applyFont="1">
      <alignment vertical="center"/>
    </xf>
    <xf numFmtId="0" fontId="209"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6" fillId="0" borderId="1" xfId="7" applyFont="1" applyBorder="1" applyAlignment="1">
      <alignment horizontal="left" vertical="center" wrapText="1"/>
    </xf>
    <xf numFmtId="0" fontId="65" fillId="0" borderId="5" xfId="7" applyFont="1" applyBorder="1" applyAlignment="1">
      <alignment vertical="center" wrapText="1"/>
    </xf>
    <xf numFmtId="0" fontId="110" fillId="0" borderId="1" xfId="7" applyFont="1" applyBorder="1" applyAlignment="1">
      <alignment horizontal="left" vertical="center" wrapText="1"/>
    </xf>
    <xf numFmtId="0" fontId="131" fillId="0" borderId="1" xfId="7" applyFont="1" applyBorder="1" applyAlignment="1">
      <alignment horizontal="left" vertical="center" wrapText="1"/>
    </xf>
    <xf numFmtId="0" fontId="217" fillId="0" borderId="1" xfId="7" applyFont="1" applyBorder="1" applyAlignment="1">
      <alignment horizontal="center" vertical="center"/>
    </xf>
    <xf numFmtId="0" fontId="132" fillId="0" borderId="78" xfId="7" applyFont="1" applyBorder="1" applyAlignment="1">
      <alignment horizontal="left" vertical="center" wrapText="1"/>
    </xf>
    <xf numFmtId="0" fontId="105" fillId="0" borderId="0" xfId="7" applyFont="1">
      <alignment vertical="center"/>
    </xf>
    <xf numFmtId="0" fontId="104" fillId="0" borderId="0" xfId="7" applyFont="1" applyProtection="1">
      <alignment vertical="center"/>
      <protection locked="0"/>
    </xf>
    <xf numFmtId="0" fontId="137" fillId="0" borderId="0" xfId="7" applyFont="1" applyProtection="1">
      <alignment vertical="center"/>
      <protection locked="0"/>
    </xf>
    <xf numFmtId="0" fontId="65" fillId="0" borderId="1" xfId="0" applyFont="1" applyBorder="1" applyAlignment="1">
      <alignment horizontal="left" vertical="center" wrapText="1"/>
    </xf>
    <xf numFmtId="0" fontId="137" fillId="0" borderId="0" xfId="0" applyFont="1" applyProtection="1">
      <alignment vertical="center"/>
      <protection locked="0"/>
    </xf>
    <xf numFmtId="0" fontId="100"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4" fillId="0" borderId="0" xfId="0" applyFont="1" applyAlignment="1" applyProtection="1">
      <alignment vertical="center" wrapText="1"/>
      <protection locked="0"/>
    </xf>
    <xf numFmtId="0" fontId="137"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0"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3" fillId="0" borderId="1" xfId="0" applyFont="1" applyBorder="1" applyAlignment="1">
      <alignment horizontal="center" vertical="center"/>
    </xf>
    <xf numFmtId="0" fontId="100" fillId="0" borderId="1" xfId="0" applyFont="1" applyBorder="1" applyAlignment="1">
      <alignment horizontal="left" vertical="center"/>
    </xf>
    <xf numFmtId="0" fontId="100" fillId="8" borderId="5" xfId="0" applyFont="1" applyFill="1" applyBorder="1">
      <alignment vertical="center"/>
    </xf>
    <xf numFmtId="0" fontId="100" fillId="7" borderId="54" xfId="0" applyFont="1" applyFill="1" applyBorder="1">
      <alignment vertical="center"/>
    </xf>
    <xf numFmtId="0" fontId="100"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0" fillId="6" borderId="15" xfId="0" applyFont="1" applyFill="1" applyBorder="1" applyAlignment="1">
      <alignment horizontal="center" vertical="center" wrapText="1"/>
    </xf>
    <xf numFmtId="0" fontId="100" fillId="6" borderId="0" xfId="0" applyFont="1" applyFill="1" applyAlignment="1">
      <alignment horizontal="center" vertical="center" wrapText="1"/>
    </xf>
    <xf numFmtId="0" fontId="230" fillId="6" borderId="0" xfId="0" applyFont="1" applyFill="1" applyAlignment="1">
      <alignment horizontal="center" vertical="center" wrapText="1"/>
    </xf>
    <xf numFmtId="0" fontId="100" fillId="0" borderId="0" xfId="0" applyFont="1" applyAlignment="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0" fillId="6" borderId="0" xfId="0" applyFont="1" applyFill="1">
      <alignment vertical="center"/>
    </xf>
    <xf numFmtId="0" fontId="230" fillId="6" borderId="0" xfId="0" applyFont="1" applyFill="1" applyAlignment="1" applyProtection="1">
      <alignment horizontal="center" vertical="center"/>
      <protection locked="0"/>
    </xf>
    <xf numFmtId="0" fontId="100" fillId="6" borderId="0" xfId="0" applyFont="1" applyFill="1" applyAlignment="1">
      <alignment horizontal="left" vertical="center"/>
    </xf>
    <xf numFmtId="0" fontId="100" fillId="0" borderId="0" xfId="0" applyFont="1" applyAlignment="1">
      <alignment horizontal="center" vertical="center"/>
    </xf>
    <xf numFmtId="0" fontId="48" fillId="6" borderId="0" xfId="0" applyFont="1" applyFill="1" applyAlignment="1">
      <alignment vertical="center" wrapText="1"/>
    </xf>
    <xf numFmtId="0" fontId="48" fillId="6" borderId="0" xfId="0" applyFont="1" applyFill="1" applyAlignment="1">
      <alignment horizontal="center" vertical="center" wrapText="1"/>
    </xf>
    <xf numFmtId="0" fontId="48" fillId="0" borderId="0" xfId="0" applyFont="1">
      <alignment vertical="center"/>
    </xf>
    <xf numFmtId="0" fontId="48" fillId="0" borderId="0" xfId="0" applyFont="1" applyAlignment="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1"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1"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1" fillId="6" borderId="58" xfId="0" applyFont="1" applyFill="1" applyBorder="1" applyAlignment="1">
      <alignment horizontal="center" vertical="center" wrapText="1"/>
    </xf>
    <xf numFmtId="0" fontId="51" fillId="0" borderId="1" xfId="0" applyFont="1" applyBorder="1" applyAlignment="1" applyProtection="1">
      <alignment vertical="center" wrapText="1"/>
      <protection locked="0"/>
    </xf>
    <xf numFmtId="0" fontId="48" fillId="0" borderId="0" xfId="0" applyFont="1" applyAlignment="1">
      <alignment horizontal="center" vertical="center" wrapText="1"/>
    </xf>
    <xf numFmtId="0" fontId="109" fillId="6" borderId="0" xfId="0" applyFont="1" applyFill="1" applyAlignment="1">
      <alignment horizontal="left" vertical="center"/>
    </xf>
    <xf numFmtId="0" fontId="107" fillId="6" borderId="0" xfId="0" applyFont="1" applyFill="1" applyAlignment="1">
      <alignment horizontal="left" vertical="center"/>
    </xf>
    <xf numFmtId="0" fontId="51" fillId="6" borderId="0" xfId="0" applyFont="1" applyFill="1" applyAlignment="1">
      <alignment horizontal="center" vertical="center" wrapText="1"/>
    </xf>
    <xf numFmtId="0" fontId="51" fillId="6" borderId="0" xfId="0" applyFont="1" applyFill="1" applyAlignment="1">
      <alignment horizontal="center" vertical="center"/>
    </xf>
    <xf numFmtId="0" fontId="51" fillId="0" borderId="0" xfId="0" applyFont="1" applyAlignment="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lignment horizontal="left" vertical="center"/>
    </xf>
    <xf numFmtId="179" fontId="51" fillId="6" borderId="0" xfId="0" applyNumberFormat="1" applyFont="1" applyFill="1" applyAlignment="1">
      <alignment horizontal="center" vertical="center" wrapText="1"/>
    </xf>
    <xf numFmtId="179" fontId="52" fillId="6" borderId="0" xfId="0" applyNumberFormat="1" applyFont="1" applyFill="1" applyAlignment="1">
      <alignment horizontal="center" vertical="center" wrapText="1"/>
    </xf>
    <xf numFmtId="176" fontId="51" fillId="6" borderId="0" xfId="0" applyNumberFormat="1" applyFont="1" applyFill="1" applyAlignment="1">
      <alignment horizontal="center" vertical="center" wrapText="1"/>
    </xf>
    <xf numFmtId="176" fontId="51" fillId="6" borderId="54" xfId="0" applyNumberFormat="1" applyFont="1" applyFill="1" applyBorder="1" applyAlignment="1">
      <alignment horizontal="center" vertical="center" wrapText="1"/>
    </xf>
    <xf numFmtId="176" fontId="51" fillId="6" borderId="3" xfId="0" applyNumberFormat="1" applyFont="1" applyFill="1" applyBorder="1" applyAlignment="1">
      <alignment horizontal="center" vertical="center" wrapText="1"/>
    </xf>
    <xf numFmtId="176" fontId="51" fillId="6" borderId="5" xfId="0" applyNumberFormat="1" applyFont="1" applyFill="1" applyBorder="1" applyAlignment="1">
      <alignment horizontal="center" vertical="center" wrapText="1"/>
    </xf>
    <xf numFmtId="176" fontId="51" fillId="0" borderId="0" xfId="0" applyNumberFormat="1" applyFont="1" applyAlignment="1">
      <alignment horizontal="center" vertical="center" wrapText="1"/>
    </xf>
    <xf numFmtId="0" fontId="51" fillId="6" borderId="46" xfId="0" applyFont="1" applyFill="1" applyBorder="1" applyAlignment="1">
      <alignment horizontal="left" vertical="center"/>
    </xf>
    <xf numFmtId="0" fontId="51" fillId="6" borderId="36" xfId="0" applyFont="1" applyFill="1" applyBorder="1" applyAlignment="1">
      <alignment horizontal="center" vertical="center" wrapText="1"/>
    </xf>
    <xf numFmtId="0" fontId="51" fillId="6" borderId="36" xfId="0" applyFont="1" applyFill="1" applyBorder="1" applyAlignment="1">
      <alignment horizontal="center" vertical="center"/>
    </xf>
    <xf numFmtId="0" fontId="51" fillId="6" borderId="59" xfId="0" applyFont="1" applyFill="1" applyBorder="1" applyAlignment="1">
      <alignment horizontal="center" vertical="center" wrapText="1"/>
    </xf>
    <xf numFmtId="0" fontId="51" fillId="6" borderId="58" xfId="0" applyFont="1" applyFill="1" applyBorder="1" applyAlignment="1">
      <alignment horizontal="center" vertical="center"/>
    </xf>
    <xf numFmtId="0" fontId="51" fillId="6" borderId="46" xfId="0" applyFont="1" applyFill="1" applyBorder="1" applyAlignment="1">
      <alignment horizontal="center" vertical="center"/>
    </xf>
    <xf numFmtId="179" fontId="51" fillId="6" borderId="5" xfId="0" applyNumberFormat="1" applyFont="1" applyFill="1" applyBorder="1" applyAlignment="1">
      <alignment horizontal="left" vertical="center"/>
    </xf>
    <xf numFmtId="0" fontId="52" fillId="6" borderId="54" xfId="0" applyFont="1" applyFill="1" applyBorder="1" applyAlignment="1">
      <alignment horizontal="center" vertical="center"/>
    </xf>
    <xf numFmtId="179" fontId="51" fillId="6" borderId="54" xfId="0" applyNumberFormat="1" applyFont="1" applyFill="1" applyBorder="1" applyAlignment="1">
      <alignment horizontal="center" vertical="center"/>
    </xf>
    <xf numFmtId="179" fontId="51" fillId="6" borderId="3" xfId="0" applyNumberFormat="1" applyFont="1" applyFill="1" applyBorder="1" applyAlignment="1">
      <alignment horizontal="center" vertical="center"/>
    </xf>
    <xf numFmtId="0" fontId="52" fillId="6" borderId="36" xfId="0" applyFont="1" applyFill="1" applyBorder="1" applyAlignment="1">
      <alignment horizontal="center" vertical="center"/>
    </xf>
    <xf numFmtId="0" fontId="51" fillId="0" borderId="0" xfId="0" applyFont="1" applyAlignment="1">
      <alignment horizontal="center" vertical="center"/>
    </xf>
    <xf numFmtId="179" fontId="51" fillId="6" borderId="0" xfId="0" applyNumberFormat="1" applyFont="1" applyFill="1" applyAlignment="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lignment horizontal="left" vertical="center"/>
    </xf>
    <xf numFmtId="0" fontId="51" fillId="6" borderId="7" xfId="0" applyFont="1" applyFill="1" applyBorder="1" applyAlignment="1">
      <alignment horizontal="left" vertical="center"/>
    </xf>
    <xf numFmtId="179" fontId="51" fillId="6" borderId="4" xfId="0" applyNumberFormat="1" applyFont="1" applyFill="1" applyBorder="1" applyAlignment="1">
      <alignment horizontal="center" vertical="center"/>
    </xf>
    <xf numFmtId="0" fontId="52" fillId="6" borderId="60" xfId="0" applyFont="1" applyFill="1" applyBorder="1" applyAlignment="1">
      <alignment horizontal="center" vertical="center"/>
    </xf>
    <xf numFmtId="179" fontId="51" fillId="6" borderId="7" xfId="0" applyNumberFormat="1" applyFont="1" applyFill="1" applyBorder="1" applyAlignment="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lignment horizontal="right" vertical="center"/>
    </xf>
    <xf numFmtId="179" fontId="51" fillId="6" borderId="35" xfId="0" applyNumberFormat="1" applyFont="1" applyFill="1" applyBorder="1" applyAlignment="1">
      <alignment horizontal="center" vertical="center"/>
    </xf>
    <xf numFmtId="0" fontId="51" fillId="6" borderId="7" xfId="0" applyFont="1" applyFill="1" applyBorder="1" applyAlignment="1">
      <alignment horizontal="center" vertical="center"/>
    </xf>
    <xf numFmtId="0" fontId="51" fillId="6" borderId="8" xfId="0" applyFont="1" applyFill="1" applyBorder="1" applyAlignment="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1" fillId="6" borderId="61" xfId="0" applyFont="1" applyFill="1" applyBorder="1" applyAlignment="1">
      <alignment horizontal="center" vertical="center"/>
    </xf>
    <xf numFmtId="0" fontId="51" fillId="6" borderId="4" xfId="0" applyFont="1" applyFill="1" applyBorder="1" applyAlignment="1">
      <alignment horizontal="center" vertical="center" wrapText="1"/>
    </xf>
    <xf numFmtId="179" fontId="51" fillId="6" borderId="7" xfId="0" applyNumberFormat="1" applyFont="1" applyFill="1" applyBorder="1" applyAlignment="1">
      <alignment horizontal="center" vertical="center" wrapText="1"/>
    </xf>
    <xf numFmtId="179" fontId="51" fillId="6" borderId="2" xfId="0" applyNumberFormat="1" applyFont="1" applyFill="1" applyBorder="1" applyAlignment="1">
      <alignment horizontal="center" vertical="center" wrapText="1"/>
    </xf>
    <xf numFmtId="179" fontId="51" fillId="6" borderId="4" xfId="0" applyNumberFormat="1" applyFont="1" applyFill="1" applyBorder="1" applyAlignment="1">
      <alignment horizontal="center" vertical="center" wrapText="1"/>
    </xf>
    <xf numFmtId="0" fontId="51" fillId="6" borderId="35" xfId="0" applyFont="1" applyFill="1" applyBorder="1" applyAlignment="1">
      <alignment horizontal="center" vertical="center" wrapText="1"/>
    </xf>
    <xf numFmtId="179" fontId="51" fillId="6" borderId="1" xfId="0" applyNumberFormat="1" applyFont="1" applyFill="1" applyBorder="1" applyAlignment="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176" fontId="48" fillId="0" borderId="0" xfId="0" applyNumberFormat="1"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109" fillId="6" borderId="0" xfId="0" applyFont="1" applyFill="1">
      <alignment vertical="center"/>
    </xf>
    <xf numFmtId="0" fontId="48" fillId="0" borderId="0" xfId="0" applyFont="1" applyProtection="1">
      <alignment vertical="center"/>
      <protection locked="0"/>
    </xf>
    <xf numFmtId="176" fontId="54" fillId="6" borderId="1" xfId="1" applyNumberFormat="1" applyFont="1" applyFill="1" applyBorder="1" applyAlignment="1">
      <alignment horizontal="center" vertical="center"/>
    </xf>
    <xf numFmtId="0" fontId="50" fillId="6" borderId="9" xfId="0" applyFont="1" applyFill="1" applyBorder="1" applyAlignment="1">
      <alignment horizontal="center" vertical="center"/>
    </xf>
    <xf numFmtId="176" fontId="54" fillId="6" borderId="10" xfId="1" applyNumberFormat="1" applyFont="1" applyFill="1" applyBorder="1" applyAlignment="1">
      <alignment horizontal="center" vertical="center"/>
    </xf>
    <xf numFmtId="0" fontId="48" fillId="6" borderId="2" xfId="0" applyFont="1" applyFill="1" applyBorder="1">
      <alignment vertical="center"/>
    </xf>
    <xf numFmtId="0" fontId="48" fillId="6" borderId="12" xfId="0" applyFont="1" applyFill="1" applyBorder="1">
      <alignment vertical="center"/>
    </xf>
    <xf numFmtId="176" fontId="50" fillId="6" borderId="10" xfId="1" applyNumberFormat="1" applyFont="1" applyFill="1" applyBorder="1" applyAlignment="1">
      <alignment horizontal="center" vertical="center"/>
    </xf>
    <xf numFmtId="0" fontId="48" fillId="6" borderId="14" xfId="0" applyFont="1" applyFill="1" applyBorder="1">
      <alignment vertical="center"/>
    </xf>
    <xf numFmtId="0" fontId="48" fillId="6" borderId="15" xfId="0" applyFont="1" applyFill="1" applyBorder="1">
      <alignment vertical="center"/>
    </xf>
    <xf numFmtId="0" fontId="50" fillId="6" borderId="51" xfId="0" applyFont="1" applyFill="1" applyBorder="1">
      <alignment vertical="center"/>
    </xf>
    <xf numFmtId="0" fontId="48" fillId="6" borderId="21" xfId="0" applyFont="1" applyFill="1" applyBorder="1">
      <alignment vertical="center"/>
    </xf>
    <xf numFmtId="0" fontId="48" fillId="6" borderId="16" xfId="0" applyFont="1" applyFill="1" applyBorder="1">
      <alignment vertical="center"/>
    </xf>
    <xf numFmtId="0" fontId="48" fillId="6" borderId="17" xfId="0" applyFont="1" applyFill="1" applyBorder="1">
      <alignment vertical="center"/>
    </xf>
    <xf numFmtId="0" fontId="48" fillId="6" borderId="19" xfId="0" applyFont="1" applyFill="1" applyBorder="1">
      <alignment vertical="center"/>
    </xf>
    <xf numFmtId="0" fontId="50" fillId="6" borderId="17" xfId="0" applyFont="1" applyFill="1" applyBorder="1" applyAlignment="1">
      <alignment horizontal="center" vertical="center"/>
    </xf>
    <xf numFmtId="176" fontId="54" fillId="6" borderId="29" xfId="1" applyNumberFormat="1" applyFont="1" applyFill="1" applyBorder="1" applyAlignment="1">
      <alignment horizontal="center" vertical="center"/>
    </xf>
    <xf numFmtId="176" fontId="54" fillId="6" borderId="20" xfId="1" applyNumberFormat="1" applyFont="1" applyFill="1" applyBorder="1" applyAlignment="1">
      <alignment horizontal="center" vertical="center"/>
    </xf>
    <xf numFmtId="176" fontId="54" fillId="6" borderId="21" xfId="1" applyNumberFormat="1" applyFont="1" applyFill="1" applyBorder="1" applyAlignment="1">
      <alignment horizontal="center" vertical="center"/>
    </xf>
    <xf numFmtId="0" fontId="50" fillId="6" borderId="55" xfId="0" applyFont="1" applyFill="1" applyBorder="1" applyAlignment="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0" xfId="0" applyFont="1" applyFill="1">
      <alignment vertical="center"/>
    </xf>
    <xf numFmtId="0" fontId="50" fillId="6" borderId="2" xfId="0" applyFont="1" applyFill="1" applyBorder="1" applyAlignment="1">
      <alignment horizontal="center" vertical="center"/>
    </xf>
    <xf numFmtId="176" fontId="55" fillId="6" borderId="2" xfId="1"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179" fontId="48" fillId="6" borderId="24" xfId="0" applyNumberFormat="1" applyFont="1" applyFill="1" applyBorder="1" applyAlignment="1">
      <alignment horizontal="center" vertical="center"/>
    </xf>
    <xf numFmtId="0" fontId="48" fillId="6" borderId="1" xfId="0" applyFont="1" applyFill="1" applyBorder="1" applyAlignment="1">
      <alignment horizontal="left" vertical="center"/>
    </xf>
    <xf numFmtId="0" fontId="48" fillId="6" borderId="18" xfId="0" applyFont="1" applyFill="1" applyBorder="1">
      <alignment vertical="center"/>
    </xf>
    <xf numFmtId="177" fontId="51" fillId="0" borderId="1" xfId="1" applyNumberFormat="1" applyFont="1" applyBorder="1" applyProtection="1">
      <alignment vertical="center"/>
      <protection locked="0" hidden="1"/>
    </xf>
    <xf numFmtId="0" fontId="48" fillId="0" borderId="1" xfId="0" applyFont="1" applyBorder="1" applyProtection="1">
      <alignment vertical="center"/>
      <protection locked="0"/>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lignment horizontal="left" vertical="center"/>
    </xf>
    <xf numFmtId="0" fontId="48" fillId="6" borderId="3" xfId="0" applyFont="1" applyFill="1" applyBorder="1" applyAlignment="1">
      <alignment horizontal="left" vertical="center"/>
    </xf>
    <xf numFmtId="0" fontId="50" fillId="6" borderId="22" xfId="0" applyFont="1" applyFill="1" applyBorder="1" applyAlignment="1">
      <alignment horizontal="left" vertical="center"/>
    </xf>
    <xf numFmtId="0" fontId="48" fillId="6" borderId="42" xfId="0" applyFont="1" applyFill="1" applyBorder="1">
      <alignment vertical="center"/>
    </xf>
    <xf numFmtId="176" fontId="48" fillId="0" borderId="0" xfId="0" applyNumberFormat="1" applyFont="1" applyProtection="1">
      <alignment vertical="center"/>
      <protection locked="0"/>
    </xf>
    <xf numFmtId="0" fontId="109" fillId="6" borderId="0" xfId="0" applyFont="1" applyFill="1" applyAlignment="1">
      <alignment vertical="center" wrapText="1"/>
    </xf>
    <xf numFmtId="179" fontId="51" fillId="6" borderId="0" xfId="0" applyNumberFormat="1" applyFont="1" applyFill="1" applyProtection="1">
      <alignment vertical="center"/>
      <protection locked="0"/>
    </xf>
    <xf numFmtId="0" fontId="51" fillId="0" borderId="0" xfId="0" applyFont="1">
      <alignment vertical="center"/>
    </xf>
    <xf numFmtId="0" fontId="50" fillId="6" borderId="26" xfId="0" applyFont="1" applyFill="1" applyBorder="1" applyAlignment="1">
      <alignment vertical="center" wrapText="1"/>
    </xf>
    <xf numFmtId="179" fontId="48" fillId="6" borderId="0" xfId="0" applyNumberFormat="1" applyFont="1" applyFill="1" applyProtection="1">
      <alignment vertical="center"/>
      <protection locked="0"/>
    </xf>
    <xf numFmtId="0" fontId="48" fillId="6" borderId="63" xfId="0" applyFont="1" applyFill="1" applyBorder="1">
      <alignment vertical="center"/>
    </xf>
    <xf numFmtId="0" fontId="48" fillId="6" borderId="64" xfId="0" applyFont="1" applyFill="1" applyBorder="1">
      <alignment vertical="center"/>
    </xf>
    <xf numFmtId="179" fontId="48" fillId="6" borderId="64" xfId="0" applyNumberFormat="1" applyFont="1" applyFill="1" applyBorder="1">
      <alignment vertical="center"/>
    </xf>
    <xf numFmtId="0" fontId="48" fillId="6" borderId="65" xfId="0" applyFont="1" applyFill="1" applyBorder="1">
      <alignment vertical="center"/>
    </xf>
    <xf numFmtId="0" fontId="48" fillId="6" borderId="63" xfId="0" applyFont="1" applyFill="1" applyBorder="1" applyAlignment="1">
      <alignment horizontal="center" vertical="center"/>
    </xf>
    <xf numFmtId="0" fontId="48" fillId="6" borderId="64" xfId="0" applyFont="1" applyFill="1" applyBorder="1" applyAlignment="1">
      <alignment horizontal="center" vertical="center"/>
    </xf>
    <xf numFmtId="0" fontId="48" fillId="6" borderId="31" xfId="0" applyFont="1" applyFill="1" applyBorder="1">
      <alignment vertical="center"/>
    </xf>
    <xf numFmtId="0" fontId="48" fillId="6" borderId="6" xfId="1" applyFont="1" applyFill="1" applyBorder="1" applyAlignment="1">
      <alignment vertical="center" wrapText="1"/>
    </xf>
    <xf numFmtId="0" fontId="48" fillId="6" borderId="9" xfId="1" applyFont="1" applyFill="1" applyBorder="1" applyAlignment="1">
      <alignment vertical="center" wrapText="1"/>
    </xf>
    <xf numFmtId="0" fontId="48" fillId="6" borderId="28" xfId="1" applyFont="1" applyFill="1" applyBorder="1" applyAlignment="1">
      <alignment vertical="center" wrapText="1"/>
    </xf>
    <xf numFmtId="180" fontId="55" fillId="6" borderId="6" xfId="1" applyNumberFormat="1" applyFont="1" applyFill="1" applyBorder="1" applyAlignment="1">
      <alignment horizontal="center" vertical="center" wrapText="1"/>
    </xf>
    <xf numFmtId="179" fontId="48" fillId="6" borderId="9" xfId="0" applyNumberFormat="1" applyFont="1" applyFill="1" applyBorder="1" applyAlignment="1">
      <alignment horizontal="center" vertical="center" wrapText="1"/>
    </xf>
    <xf numFmtId="177" fontId="48" fillId="6" borderId="6" xfId="1" applyNumberFormat="1" applyFont="1" applyFill="1" applyBorder="1" applyAlignment="1">
      <alignment horizontal="center" vertical="center" wrapText="1"/>
    </xf>
    <xf numFmtId="0" fontId="48" fillId="6" borderId="9" xfId="1" applyFont="1" applyFill="1" applyBorder="1" applyAlignment="1">
      <alignment horizontal="center" vertical="center" wrapText="1"/>
    </xf>
    <xf numFmtId="179" fontId="48" fillId="6" borderId="9" xfId="1" applyNumberFormat="1" applyFont="1" applyFill="1" applyBorder="1" applyAlignment="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lignment horizontal="center" vertical="center" wrapText="1"/>
    </xf>
    <xf numFmtId="0" fontId="48" fillId="6" borderId="6" xfId="1" applyFont="1" applyFill="1" applyBorder="1" applyAlignment="1">
      <alignment horizontal="center" vertical="center" wrapText="1"/>
    </xf>
    <xf numFmtId="0" fontId="48" fillId="6" borderId="19" xfId="1" applyFont="1" applyFill="1" applyBorder="1" applyAlignment="1">
      <alignment horizontal="center" vertical="center" wrapText="1"/>
    </xf>
    <xf numFmtId="0" fontId="48" fillId="6" borderId="62" xfId="1" applyFont="1" applyFill="1" applyBorder="1" applyAlignment="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lignment horizontal="center" vertical="center" wrapText="1"/>
    </xf>
    <xf numFmtId="177" fontId="51" fillId="6" borderId="23" xfId="1" applyNumberFormat="1" applyFont="1" applyFill="1" applyBorder="1" applyAlignment="1">
      <alignment horizontal="left" vertical="center"/>
    </xf>
    <xf numFmtId="177" fontId="48" fillId="6" borderId="1" xfId="1" applyNumberFormat="1" applyFont="1" applyFill="1" applyBorder="1">
      <alignment vertical="center"/>
    </xf>
    <xf numFmtId="177" fontId="48" fillId="2" borderId="5" xfId="1" applyNumberFormat="1" applyFont="1" applyFill="1" applyBorder="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lignment vertical="center"/>
    </xf>
    <xf numFmtId="0" fontId="50" fillId="6" borderId="25" xfId="1" applyFont="1" applyFill="1" applyBorder="1" applyAlignment="1">
      <alignment vertical="center" wrapText="1"/>
    </xf>
    <xf numFmtId="0" fontId="50" fillId="6" borderId="25" xfId="1" applyFont="1" applyFill="1" applyBorder="1">
      <alignment vertical="center"/>
    </xf>
    <xf numFmtId="0" fontId="56" fillId="6" borderId="0" xfId="0" applyFont="1" applyFill="1" applyAlignment="1">
      <alignment vertical="center" wrapText="1"/>
    </xf>
    <xf numFmtId="176" fontId="55" fillId="6" borderId="6" xfId="1" applyNumberFormat="1" applyFont="1" applyFill="1" applyBorder="1" applyAlignment="1">
      <alignment vertical="center" wrapText="1"/>
    </xf>
    <xf numFmtId="176" fontId="55" fillId="6" borderId="23" xfId="1" applyNumberFormat="1" applyFont="1" applyFill="1" applyBorder="1" applyAlignment="1">
      <alignment vertical="center" wrapText="1"/>
    </xf>
    <xf numFmtId="176" fontId="48" fillId="6" borderId="23" xfId="1" applyNumberFormat="1" applyFont="1" applyFill="1" applyBorder="1" applyAlignment="1">
      <alignment vertical="center" wrapText="1"/>
    </xf>
    <xf numFmtId="176" fontId="55" fillId="6" borderId="25" xfId="1" applyNumberFormat="1" applyFont="1" applyFill="1" applyBorder="1" applyAlignment="1">
      <alignment vertical="center" wrapText="1"/>
    </xf>
    <xf numFmtId="0" fontId="48" fillId="6" borderId="34" xfId="0" applyFont="1" applyFill="1" applyBorder="1" applyAlignment="1">
      <alignment horizontal="center" vertical="center"/>
    </xf>
    <xf numFmtId="0" fontId="48" fillId="6" borderId="6" xfId="0" applyFont="1" applyFill="1" applyBorder="1" applyAlignment="1">
      <alignment vertical="center" wrapText="1"/>
    </xf>
    <xf numFmtId="0" fontId="48" fillId="6" borderId="23" xfId="0" applyFont="1" applyFill="1" applyBorder="1" applyAlignment="1">
      <alignment vertical="center" wrapText="1"/>
    </xf>
    <xf numFmtId="0" fontId="48" fillId="6" borderId="25" xfId="0" applyFont="1" applyFill="1" applyBorder="1" applyAlignment="1">
      <alignment vertical="center" wrapText="1"/>
    </xf>
    <xf numFmtId="0" fontId="48" fillId="6" borderId="41" xfId="0" applyFont="1" applyFill="1" applyBorder="1" applyAlignment="1">
      <alignment vertical="center" wrapText="1"/>
    </xf>
    <xf numFmtId="0" fontId="48" fillId="6" borderId="11" xfId="0" applyFont="1" applyFill="1" applyBorder="1" applyAlignment="1">
      <alignment vertical="center" wrapText="1"/>
    </xf>
    <xf numFmtId="0" fontId="48" fillId="6" borderId="11" xfId="0" applyFont="1" applyFill="1" applyBorder="1" applyAlignment="1">
      <alignment horizontal="left" vertical="center" wrapText="1"/>
    </xf>
    <xf numFmtId="0" fontId="48" fillId="6" borderId="11" xfId="0" applyFont="1" applyFill="1" applyBorder="1" applyAlignment="1">
      <alignment horizontal="right" vertical="center" wrapText="1"/>
    </xf>
    <xf numFmtId="0" fontId="48" fillId="6" borderId="25" xfId="0" applyFont="1" applyFill="1" applyBorder="1" applyAlignment="1">
      <alignment horizontal="right" vertical="center" wrapText="1"/>
    </xf>
    <xf numFmtId="0" fontId="48" fillId="6" borderId="14" xfId="0" applyFont="1" applyFill="1" applyBorder="1" applyAlignment="1">
      <alignment vertical="center" wrapText="1"/>
    </xf>
    <xf numFmtId="0" fontId="48" fillId="6" borderId="40" xfId="0" applyFont="1" applyFill="1" applyBorder="1" applyAlignment="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Protection="1">
      <alignment vertical="center"/>
      <protection locked="0"/>
    </xf>
    <xf numFmtId="0" fontId="51" fillId="0" borderId="0" xfId="0" applyFont="1" applyAlignment="1">
      <alignment vertical="center" wrapText="1"/>
    </xf>
    <xf numFmtId="179" fontId="51" fillId="0" borderId="0" xfId="0" applyNumberFormat="1" applyFont="1">
      <alignment vertical="center"/>
    </xf>
    <xf numFmtId="0" fontId="51" fillId="5" borderId="0" xfId="0" applyFont="1" applyFill="1" applyProtection="1">
      <alignment vertical="center"/>
      <protection locked="0"/>
    </xf>
    <xf numFmtId="0" fontId="65" fillId="6" borderId="13" xfId="0" applyFont="1" applyFill="1" applyBorder="1">
      <alignment vertical="center"/>
    </xf>
    <xf numFmtId="0" fontId="65" fillId="5" borderId="13" xfId="0" applyFont="1" applyFill="1" applyBorder="1" applyAlignment="1" applyProtection="1">
      <alignment horizontal="center" vertical="center"/>
      <protection locked="0"/>
    </xf>
    <xf numFmtId="0" fontId="51" fillId="7" borderId="0" xfId="0" applyFont="1" applyFill="1">
      <alignment vertical="center"/>
    </xf>
    <xf numFmtId="0" fontId="48" fillId="6" borderId="13" xfId="0" applyFont="1" applyFill="1" applyBorder="1" applyAlignment="1">
      <alignment vertical="center" wrapText="1"/>
    </xf>
    <xf numFmtId="0" fontId="48" fillId="6" borderId="13" xfId="0" applyFont="1" applyFill="1" applyBorder="1" applyAlignment="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lignment vertical="center" wrapText="1"/>
    </xf>
    <xf numFmtId="0" fontId="50" fillId="6" borderId="5" xfId="0" applyFont="1" applyFill="1" applyBorder="1" applyAlignment="1">
      <alignment horizontal="right" vertical="center"/>
    </xf>
    <xf numFmtId="0" fontId="50" fillId="6" borderId="58" xfId="0" applyFont="1" applyFill="1" applyBorder="1" applyAlignment="1">
      <alignment horizontal="right" vertical="center"/>
    </xf>
    <xf numFmtId="0" fontId="50" fillId="6" borderId="16" xfId="0" applyFont="1" applyFill="1" applyBorder="1">
      <alignment vertical="center"/>
    </xf>
    <xf numFmtId="0" fontId="48" fillId="6" borderId="9" xfId="0" applyFont="1" applyFill="1" applyBorder="1">
      <alignment vertical="center"/>
    </xf>
    <xf numFmtId="0" fontId="51" fillId="6" borderId="21" xfId="0" applyFont="1" applyFill="1" applyBorder="1">
      <alignment vertical="center"/>
    </xf>
    <xf numFmtId="0" fontId="50" fillId="6" borderId="18" xfId="0" applyFont="1" applyFill="1" applyBorder="1">
      <alignment vertical="center"/>
    </xf>
    <xf numFmtId="0" fontId="51" fillId="6" borderId="68" xfId="0" applyFont="1" applyFill="1" applyBorder="1">
      <alignment vertical="center"/>
    </xf>
    <xf numFmtId="0" fontId="48" fillId="6" borderId="70" xfId="0" applyFont="1" applyFill="1" applyBorder="1">
      <alignment vertical="center"/>
    </xf>
    <xf numFmtId="0" fontId="48" fillId="6" borderId="34" xfId="0" applyFont="1" applyFill="1" applyBorder="1">
      <alignment vertical="center"/>
    </xf>
    <xf numFmtId="0" fontId="48" fillId="6" borderId="21" xfId="0" applyFont="1" applyFill="1" applyBorder="1" applyAlignment="1">
      <alignment horizontal="center" vertical="center"/>
    </xf>
    <xf numFmtId="0" fontId="48" fillId="6" borderId="48" xfId="0" applyFont="1" applyFill="1" applyBorder="1" applyAlignment="1">
      <alignment horizontal="center" vertical="center"/>
    </xf>
    <xf numFmtId="0" fontId="106" fillId="0" borderId="23" xfId="0" applyFont="1" applyBorder="1" applyAlignment="1" applyProtection="1">
      <alignment horizontal="center" vertical="center"/>
      <protection locked="0"/>
    </xf>
    <xf numFmtId="0" fontId="50" fillId="6" borderId="16" xfId="0" applyFont="1" applyFill="1" applyBorder="1" applyAlignment="1">
      <alignment horizontal="left" vertical="center"/>
    </xf>
    <xf numFmtId="0" fontId="50" fillId="5" borderId="62" xfId="0" applyFont="1" applyFill="1" applyBorder="1" applyAlignment="1" applyProtection="1">
      <alignment horizontal="right" vertical="center"/>
      <protection locked="0"/>
    </xf>
    <xf numFmtId="0" fontId="50"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1" fillId="6" borderId="30" xfId="0" applyFont="1" applyFill="1" applyBorder="1">
      <alignment vertical="center"/>
    </xf>
    <xf numFmtId="0" fontId="51" fillId="6" borderId="10" xfId="0" applyFont="1" applyFill="1" applyBorder="1" applyAlignment="1">
      <alignment horizontal="center" vertical="center"/>
    </xf>
    <xf numFmtId="0" fontId="50" fillId="6" borderId="69" xfId="0" applyFont="1" applyFill="1" applyBorder="1" applyAlignment="1">
      <alignment horizontal="left" vertical="center"/>
    </xf>
    <xf numFmtId="0" fontId="48" fillId="6" borderId="7" xfId="0" applyFont="1" applyFill="1" applyBorder="1" applyAlignment="1">
      <alignment horizontal="right" vertical="center"/>
    </xf>
    <xf numFmtId="0" fontId="51" fillId="6" borderId="3" xfId="0" applyFont="1" applyFill="1" applyBorder="1">
      <alignment vertical="center"/>
    </xf>
    <xf numFmtId="0" fontId="50" fillId="6" borderId="38" xfId="0" applyFont="1" applyFill="1" applyBorder="1" applyAlignment="1">
      <alignment horizontal="left" vertical="center"/>
    </xf>
    <xf numFmtId="0" fontId="48" fillId="6" borderId="66" xfId="0" applyFont="1" applyFill="1" applyBorder="1" applyAlignment="1">
      <alignment horizontal="right" vertical="center"/>
    </xf>
    <xf numFmtId="0" fontId="51" fillId="6" borderId="66" xfId="0" applyFont="1" applyFill="1" applyBorder="1">
      <alignment vertical="center"/>
    </xf>
    <xf numFmtId="0" fontId="48" fillId="6" borderId="30" xfId="0" applyFont="1" applyFill="1" applyBorder="1" applyAlignment="1">
      <alignment horizontal="left" vertical="center"/>
    </xf>
    <xf numFmtId="0" fontId="48" fillId="5" borderId="63" xfId="0" applyFont="1" applyFill="1" applyBorder="1" applyProtection="1">
      <alignment vertical="center"/>
      <protection locked="0"/>
    </xf>
    <xf numFmtId="0" fontId="48" fillId="6" borderId="0" xfId="0" applyFont="1" applyFill="1" applyAlignment="1" applyProtection="1">
      <alignment horizontal="left" vertical="center"/>
      <protection locked="0"/>
    </xf>
    <xf numFmtId="0" fontId="48" fillId="6" borderId="66" xfId="0" applyFont="1" applyFill="1" applyBorder="1" applyAlignment="1">
      <alignment horizontal="left" vertical="center"/>
    </xf>
    <xf numFmtId="0" fontId="48" fillId="0" borderId="65" xfId="0" applyFont="1" applyBorder="1" applyProtection="1">
      <alignment vertical="center"/>
      <protection locked="0"/>
    </xf>
    <xf numFmtId="0" fontId="106" fillId="0" borderId="6" xfId="0" applyFont="1" applyBorder="1" applyAlignment="1" applyProtection="1">
      <alignment horizontal="center" vertical="center"/>
      <protection locked="0"/>
    </xf>
    <xf numFmtId="0" fontId="106" fillId="0" borderId="9" xfId="0" applyFont="1" applyBorder="1" applyAlignment="1" applyProtection="1">
      <alignment horizontal="center" vertical="center"/>
      <protection locked="0"/>
    </xf>
    <xf numFmtId="0" fontId="106" fillId="0" borderId="10" xfId="0" applyFont="1" applyBorder="1" applyAlignment="1" applyProtection="1">
      <alignment horizontal="center" vertical="center"/>
      <protection locked="0"/>
    </xf>
    <xf numFmtId="0" fontId="51" fillId="6" borderId="18" xfId="0" applyFont="1" applyFill="1" applyBorder="1">
      <alignment vertical="center"/>
    </xf>
    <xf numFmtId="0" fontId="51"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8" fillId="6" borderId="0" xfId="0" applyFont="1" applyFill="1" applyAlignment="1">
      <alignment horizontal="lef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Alignment="1" applyProtection="1">
      <alignment horizontal="center" vertical="center" wrapText="1"/>
      <protection locked="0"/>
    </xf>
    <xf numFmtId="0" fontId="51" fillId="6" borderId="0" xfId="0" applyFont="1" applyFill="1" applyAlignment="1">
      <alignment horizontal="left" vertical="center" wrapText="1"/>
    </xf>
    <xf numFmtId="49" fontId="56" fillId="6" borderId="18" xfId="0" applyNumberFormat="1" applyFont="1" applyFill="1" applyBorder="1" applyAlignment="1">
      <alignment horizontal="left" vertical="center" wrapText="1"/>
    </xf>
    <xf numFmtId="0" fontId="58" fillId="6" borderId="0" xfId="0" applyFont="1" applyFill="1" applyAlignment="1">
      <alignment horizontal="left" vertical="center" wrapText="1"/>
    </xf>
    <xf numFmtId="177" fontId="58" fillId="6" borderId="0" xfId="0" applyNumberFormat="1" applyFont="1" applyFill="1" applyAlignment="1">
      <alignment horizontal="center" vertical="center" wrapText="1"/>
    </xf>
    <xf numFmtId="10" fontId="57" fillId="6" borderId="0" xfId="0" applyNumberFormat="1" applyFont="1" applyFill="1" applyAlignment="1">
      <alignment horizontal="center" vertical="center" wrapText="1"/>
    </xf>
    <xf numFmtId="0" fontId="51" fillId="6" borderId="0" xfId="0" applyFont="1" applyFill="1" applyAlignment="1">
      <alignment horizontal="left" vertical="center"/>
    </xf>
    <xf numFmtId="0" fontId="51" fillId="6" borderId="0" xfId="2" applyFont="1" applyFill="1" applyAlignment="1">
      <alignment horizontal="left" vertical="center" wrapText="1"/>
    </xf>
    <xf numFmtId="0" fontId="104" fillId="7" borderId="0" xfId="0" applyFont="1" applyFill="1" applyProtection="1">
      <alignment vertical="center"/>
      <protection locked="0"/>
    </xf>
    <xf numFmtId="0" fontId="104" fillId="7" borderId="0" xfId="0" applyFont="1" applyFill="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Border="1" applyProtection="1">
      <alignment vertical="center"/>
      <protection locked="0"/>
    </xf>
    <xf numFmtId="0" fontId="132" fillId="6" borderId="1" xfId="0" applyFont="1" applyFill="1" applyBorder="1" applyAlignment="1">
      <alignment vertical="center" wrapText="1"/>
    </xf>
    <xf numFmtId="0" fontId="110" fillId="6" borderId="1" xfId="0" applyFont="1" applyFill="1" applyBorder="1" applyAlignment="1">
      <alignment vertical="center" wrapText="1"/>
    </xf>
    <xf numFmtId="0" fontId="48"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1" fillId="0" borderId="36" xfId="0" applyFont="1" applyBorder="1" applyAlignment="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lignment horizontal="center" vertical="center" wrapText="1"/>
    </xf>
    <xf numFmtId="0" fontId="51" fillId="7" borderId="36" xfId="0" applyFont="1" applyFill="1" applyBorder="1" applyAlignment="1">
      <alignment horizontal="center" vertical="center"/>
    </xf>
    <xf numFmtId="0" fontId="51" fillId="7" borderId="22" xfId="0" applyFont="1" applyFill="1" applyBorder="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Alignment="1" applyProtection="1">
      <alignment horizontal="left" vertical="center" wrapText="1"/>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Protection="1">
      <alignment vertical="center"/>
      <protection locked="0"/>
    </xf>
    <xf numFmtId="0" fontId="61" fillId="6" borderId="3" xfId="1" applyFont="1" applyFill="1" applyBorder="1">
      <alignment vertical="center"/>
    </xf>
    <xf numFmtId="0" fontId="61" fillId="5" borderId="1" xfId="1" applyFont="1" applyFill="1" applyBorder="1" applyProtection="1">
      <alignment vertical="center"/>
      <protection locked="0"/>
    </xf>
    <xf numFmtId="0" fontId="58"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6" fillId="6" borderId="54" xfId="0" applyFont="1" applyFill="1" applyBorder="1">
      <alignment vertical="center"/>
    </xf>
    <xf numFmtId="0" fontId="51" fillId="6" borderId="5" xfId="0" applyFont="1" applyFill="1" applyBorder="1" applyAlignment="1"/>
    <xf numFmtId="0" fontId="50" fillId="6" borderId="1" xfId="1" applyFont="1" applyFill="1" applyBorder="1" applyAlignment="1">
      <alignment vertical="center" wrapText="1"/>
    </xf>
    <xf numFmtId="49" fontId="51" fillId="6" borderId="25" xfId="0" applyNumberFormat="1" applyFont="1" applyFill="1" applyBorder="1" applyAlignment="1">
      <alignment horizontal="center" vertical="center"/>
    </xf>
    <xf numFmtId="49" fontId="107" fillId="6" borderId="51" xfId="0" applyNumberFormat="1" applyFont="1" applyFill="1" applyBorder="1" applyAlignment="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lignment vertical="center"/>
    </xf>
    <xf numFmtId="0" fontId="104"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lignment horizontal="center" vertical="center"/>
    </xf>
    <xf numFmtId="0" fontId="58" fillId="5" borderId="4" xfId="1" applyFont="1" applyFill="1" applyBorder="1" applyProtection="1">
      <alignment vertical="center"/>
      <protection locked="0"/>
    </xf>
    <xf numFmtId="0" fontId="61" fillId="6" borderId="7" xfId="1" applyFont="1" applyFill="1" applyBorder="1" applyProtection="1">
      <alignment vertical="center"/>
      <protection locked="0"/>
    </xf>
    <xf numFmtId="0" fontId="61" fillId="5" borderId="2" xfId="1" applyFont="1" applyFill="1" applyBorder="1" applyProtection="1">
      <alignment vertical="center"/>
      <protection locked="0"/>
    </xf>
    <xf numFmtId="189" fontId="61" fillId="6" borderId="0" xfId="0" applyNumberFormat="1" applyFont="1" applyFill="1" applyAlignment="1" applyProtection="1">
      <alignment horizontal="center" vertical="center"/>
      <protection locked="0"/>
    </xf>
    <xf numFmtId="0" fontId="61" fillId="6" borderId="18" xfId="0" applyFont="1" applyFill="1" applyBorder="1" applyAlignment="1">
      <alignment horizontal="center" vertical="center"/>
    </xf>
    <xf numFmtId="0" fontId="61" fillId="6" borderId="0" xfId="0" applyFont="1" applyFill="1" applyAlignment="1">
      <alignment horizontal="center" vertical="center"/>
    </xf>
    <xf numFmtId="0" fontId="243" fillId="6" borderId="0" xfId="0" applyFont="1" applyFill="1" applyProtection="1">
      <alignment vertical="center"/>
      <protection locked="0"/>
    </xf>
    <xf numFmtId="189" fontId="48" fillId="6" borderId="21" xfId="0" applyNumberFormat="1" applyFont="1" applyFill="1" applyBorder="1" applyAlignment="1">
      <alignment horizontal="center" vertical="center" wrapText="1"/>
    </xf>
    <xf numFmtId="189" fontId="48" fillId="6" borderId="48" xfId="0" applyNumberFormat="1" applyFont="1" applyFill="1" applyBorder="1" applyAlignment="1">
      <alignment horizontal="center" vertical="center" wrapText="1"/>
    </xf>
    <xf numFmtId="0" fontId="48" fillId="6" borderId="48" xfId="0" applyFont="1" applyFill="1" applyBorder="1" applyAlignment="1">
      <alignment horizontal="center" vertical="center" wrapText="1"/>
    </xf>
    <xf numFmtId="0" fontId="62" fillId="6" borderId="48" xfId="0" applyFont="1" applyFill="1" applyBorder="1" applyAlignment="1">
      <alignment horizontal="center" vertical="center" wrapText="1"/>
    </xf>
    <xf numFmtId="0" fontId="48" fillId="0" borderId="33"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Font="1" applyFill="1" applyBorder="1" applyAlignment="1">
      <alignment horizontal="center" vertical="center" wrapText="1"/>
    </xf>
    <xf numFmtId="0" fontId="55" fillId="6" borderId="11" xfId="0" applyFont="1" applyFill="1" applyBorder="1" applyAlignment="1">
      <alignment horizontal="center" vertical="center" wrapText="1"/>
    </xf>
    <xf numFmtId="0" fontId="55" fillId="2" borderId="14" xfId="0"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62" fillId="6" borderId="80" xfId="0" applyFont="1" applyFill="1" applyBorder="1" applyAlignment="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Font="1" applyBorder="1" applyAlignment="1" applyProtection="1">
      <alignment horizontal="center" vertical="center" wrapText="1"/>
      <protection locked="0"/>
    </xf>
    <xf numFmtId="0" fontId="55" fillId="0" borderId="52" xfId="0" applyFont="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189" fontId="55" fillId="6" borderId="48" xfId="0" applyNumberFormat="1" applyFont="1" applyFill="1" applyBorder="1" applyAlignment="1">
      <alignment horizontal="center" vertical="center"/>
    </xf>
    <xf numFmtId="189" fontId="55" fillId="6" borderId="49" xfId="0" applyNumberFormat="1" applyFont="1" applyFill="1" applyBorder="1" applyAlignment="1">
      <alignment horizontal="center" vertical="center" wrapText="1"/>
    </xf>
    <xf numFmtId="0" fontId="55" fillId="0" borderId="18"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Font="1" applyFill="1" applyAlignment="1">
      <alignment vertical="center" wrapText="1"/>
    </xf>
    <xf numFmtId="9" fontId="48" fillId="0" borderId="18" xfId="0" applyNumberFormat="1" applyFont="1" applyBorder="1" applyAlignment="1" applyProtection="1">
      <alignment horizontal="center" vertical="center" wrapText="1"/>
      <protection locked="0"/>
    </xf>
    <xf numFmtId="0" fontId="104" fillId="0" borderId="18" xfId="0" applyFont="1" applyBorder="1" applyProtection="1">
      <alignment vertical="center"/>
      <protection locked="0"/>
    </xf>
    <xf numFmtId="0" fontId="48"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wrapText="1"/>
      <protection locked="0"/>
    </xf>
    <xf numFmtId="0" fontId="53" fillId="0" borderId="18" xfId="0" applyFont="1" applyBorder="1" applyAlignment="1" applyProtection="1">
      <alignment horizontal="center" vertical="center"/>
      <protection locked="0"/>
    </xf>
    <xf numFmtId="0" fontId="53" fillId="0" borderId="18" xfId="0" applyFont="1" applyBorder="1" applyAlignment="1" applyProtection="1">
      <alignment vertical="center" wrapText="1"/>
      <protection locked="0"/>
    </xf>
    <xf numFmtId="0" fontId="48" fillId="0" borderId="18" xfId="0" applyFont="1" applyBorder="1" applyAlignment="1" applyProtection="1">
      <alignment vertical="center" wrapText="1"/>
      <protection locked="0"/>
    </xf>
    <xf numFmtId="0" fontId="48" fillId="0" borderId="83" xfId="0" applyFont="1" applyBorder="1" applyAlignment="1" applyProtection="1">
      <alignment horizontal="center" vertical="center"/>
      <protection locked="0"/>
    </xf>
    <xf numFmtId="0" fontId="106" fillId="0" borderId="0" xfId="0" applyFont="1" applyAlignment="1" applyProtection="1">
      <alignment horizontal="left" vertical="center"/>
      <protection locked="0"/>
    </xf>
    <xf numFmtId="0" fontId="104" fillId="6" borderId="16" xfId="0" applyFont="1" applyFill="1" applyBorder="1" applyAlignment="1">
      <alignment horizontal="center" vertical="center"/>
    </xf>
    <xf numFmtId="0" fontId="62" fillId="6" borderId="19" xfId="0" applyFont="1" applyFill="1" applyBorder="1" applyAlignment="1">
      <alignment horizontal="center" vertical="center"/>
    </xf>
    <xf numFmtId="0" fontId="55" fillId="6" borderId="19" xfId="0" applyFont="1" applyFill="1" applyBorder="1" applyAlignment="1">
      <alignment horizontal="center" vertical="center"/>
    </xf>
    <xf numFmtId="0" fontId="55" fillId="6" borderId="31" xfId="0" applyFont="1" applyFill="1" applyBorder="1" applyAlignment="1">
      <alignment horizontal="center" vertical="center"/>
    </xf>
    <xf numFmtId="0" fontId="104" fillId="6" borderId="19" xfId="0" applyFont="1" applyFill="1" applyBorder="1" applyAlignment="1">
      <alignment horizontal="center" vertical="center"/>
    </xf>
    <xf numFmtId="0" fontId="62" fillId="6" borderId="31" xfId="0" applyFont="1" applyFill="1" applyBorder="1" applyAlignment="1">
      <alignment horizontal="center" vertical="center"/>
    </xf>
    <xf numFmtId="0" fontId="62" fillId="6" borderId="69" xfId="0" applyFont="1" applyFill="1" applyBorder="1">
      <alignment vertical="center"/>
    </xf>
    <xf numFmtId="0" fontId="104" fillId="6" borderId="5" xfId="0" applyFont="1" applyFill="1" applyBorder="1" applyAlignment="1">
      <alignment horizontal="center" vertical="center"/>
    </xf>
    <xf numFmtId="0" fontId="104" fillId="6" borderId="92" xfId="0" applyFont="1" applyFill="1" applyBorder="1" applyAlignment="1">
      <alignment horizontal="center" vertical="center"/>
    </xf>
    <xf numFmtId="0" fontId="62" fillId="6" borderId="60"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lignment horizontal="center" vertical="center"/>
    </xf>
    <xf numFmtId="0" fontId="104" fillId="6" borderId="3"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lignment horizontal="center" vertical="center"/>
    </xf>
    <xf numFmtId="0" fontId="62" fillId="6" borderId="94" xfId="0" applyFont="1" applyFill="1" applyBorder="1" applyAlignment="1">
      <alignment horizontal="left" vertical="center"/>
    </xf>
    <xf numFmtId="0" fontId="55" fillId="6" borderId="47" xfId="0" applyFont="1" applyFill="1" applyBorder="1" applyAlignment="1">
      <alignment horizontal="center" vertical="center"/>
    </xf>
    <xf numFmtId="0" fontId="55" fillId="6" borderId="43" xfId="0" applyFont="1" applyFill="1" applyBorder="1" applyAlignment="1">
      <alignment horizontal="center" vertical="center"/>
    </xf>
    <xf numFmtId="0" fontId="104" fillId="6" borderId="66" xfId="0" applyFont="1" applyFill="1" applyBorder="1" applyAlignment="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lignment horizontal="center" vertical="center" wrapText="1"/>
    </xf>
    <xf numFmtId="0" fontId="48" fillId="2" borderId="41" xfId="0" applyFont="1" applyFill="1" applyBorder="1" applyAlignment="1" applyProtection="1">
      <alignment horizontal="center" vertical="center" wrapText="1"/>
      <protection locked="0"/>
    </xf>
    <xf numFmtId="0" fontId="66" fillId="6" borderId="88" xfId="0" applyFont="1" applyFill="1" applyBorder="1" applyAlignment="1">
      <alignment horizontal="right" vertical="center"/>
    </xf>
    <xf numFmtId="0" fontId="55" fillId="6" borderId="17"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49" fontId="55" fillId="6" borderId="39" xfId="0" applyNumberFormat="1" applyFont="1" applyFill="1" applyBorder="1" applyAlignment="1">
      <alignment horizontal="center" vertical="center" wrapText="1"/>
    </xf>
    <xf numFmtId="0" fontId="55" fillId="6" borderId="24" xfId="0" applyFont="1" applyFill="1" applyBorder="1" applyAlignment="1">
      <alignment horizontal="center" vertical="center"/>
    </xf>
    <xf numFmtId="0" fontId="55" fillId="6" borderId="22" xfId="0" applyFont="1" applyFill="1" applyBorder="1" applyAlignment="1">
      <alignment horizontal="center" vertical="center" wrapText="1"/>
    </xf>
    <xf numFmtId="0" fontId="55" fillId="2" borderId="3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55" fillId="0" borderId="44" xfId="0" applyFont="1" applyBorder="1" applyAlignment="1" applyProtection="1">
      <alignment horizontal="left" vertical="center" wrapText="1"/>
      <protection locked="0"/>
    </xf>
    <xf numFmtId="0" fontId="55" fillId="0" borderId="45" xfId="0" applyFont="1" applyBorder="1" applyAlignment="1" applyProtection="1">
      <alignment horizontal="center" vertical="center" wrapText="1"/>
      <protection locked="0"/>
    </xf>
    <xf numFmtId="0" fontId="48" fillId="0" borderId="54" xfId="0" applyFont="1" applyBorder="1" applyAlignment="1" applyProtection="1">
      <alignment horizontal="center" vertical="center" wrapText="1"/>
      <protection locked="0"/>
    </xf>
    <xf numFmtId="0" fontId="55" fillId="6" borderId="40" xfId="0" applyFont="1" applyFill="1" applyBorder="1" applyAlignment="1">
      <alignment horizontal="center" vertical="center" wrapText="1"/>
    </xf>
    <xf numFmtId="0" fontId="55" fillId="6" borderId="41" xfId="0" applyFont="1" applyFill="1" applyBorder="1" applyAlignment="1">
      <alignment horizontal="center" vertical="center" wrapText="1"/>
    </xf>
    <xf numFmtId="49" fontId="54" fillId="5" borderId="20" xfId="0" applyNumberFormat="1" applyFont="1" applyFill="1" applyBorder="1" applyProtection="1">
      <alignment vertical="center"/>
      <protection locked="0"/>
    </xf>
    <xf numFmtId="184" fontId="48" fillId="0" borderId="26" xfId="0" applyNumberFormat="1"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55" fillId="0" borderId="55" xfId="0" applyFont="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48" fillId="2" borderId="60" xfId="0"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49" fontId="54" fillId="2" borderId="10" xfId="0" applyNumberFormat="1" applyFont="1" applyFill="1" applyBorder="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50" fillId="5" borderId="23" xfId="0" applyFont="1" applyFill="1" applyBorder="1" applyAlignment="1" applyProtection="1">
      <alignment horizontal="center" vertical="center" wrapText="1"/>
      <protection locked="0"/>
    </xf>
    <xf numFmtId="0" fontId="55" fillId="6" borderId="14" xfId="0" applyFont="1" applyFill="1" applyBorder="1" applyAlignment="1">
      <alignment horizontal="center" vertical="center" wrapText="1"/>
    </xf>
    <xf numFmtId="0" fontId="55" fillId="0" borderId="24" xfId="0" applyFont="1" applyBorder="1" applyAlignment="1" applyProtection="1">
      <alignment horizontal="center" vertical="center"/>
      <protection locked="0"/>
    </xf>
    <xf numFmtId="0" fontId="104" fillId="0" borderId="49" xfId="0" applyFont="1" applyBorder="1" applyAlignment="1" applyProtection="1">
      <alignment horizontal="center" vertical="center"/>
      <protection locked="0"/>
    </xf>
    <xf numFmtId="0" fontId="50" fillId="6" borderId="37" xfId="0" applyFont="1" applyFill="1" applyBorder="1" applyAlignment="1">
      <alignment horizontal="center" vertical="center" wrapText="1"/>
    </xf>
    <xf numFmtId="0" fontId="57" fillId="6" borderId="0" xfId="0" applyFont="1" applyFill="1" applyAlignment="1">
      <alignment vertical="center" wrapText="1"/>
    </xf>
    <xf numFmtId="0" fontId="104" fillId="6" borderId="6" xfId="0" applyFont="1" applyFill="1" applyBorder="1" applyAlignment="1">
      <alignment horizontal="center" vertical="center"/>
    </xf>
    <xf numFmtId="0" fontId="57" fillId="0" borderId="0" xfId="0" applyFont="1" applyAlignment="1" applyProtection="1">
      <alignment vertical="center" wrapText="1"/>
      <protection locked="0"/>
    </xf>
    <xf numFmtId="0" fontId="57" fillId="0" borderId="0" xfId="0" applyFont="1" applyAlignment="1">
      <alignment vertical="center" wrapText="1"/>
    </xf>
    <xf numFmtId="0" fontId="61" fillId="6" borderId="5" xfId="1" applyFont="1" applyFill="1" applyBorder="1">
      <alignment vertical="center"/>
    </xf>
    <xf numFmtId="0" fontId="57" fillId="5" borderId="1" xfId="0" applyFont="1" applyFill="1" applyBorder="1" applyAlignment="1" applyProtection="1">
      <alignment horizontal="center" vertical="center" wrapText="1"/>
      <protection locked="0"/>
    </xf>
    <xf numFmtId="0" fontId="104" fillId="6" borderId="23" xfId="0" applyFont="1" applyFill="1" applyBorder="1" applyAlignment="1">
      <alignment horizontal="center" vertical="center"/>
    </xf>
    <xf numFmtId="0" fontId="57" fillId="5" borderId="1" xfId="0"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lignment horizontal="left" vertical="center" wrapText="1"/>
    </xf>
    <xf numFmtId="0" fontId="54" fillId="6" borderId="13" xfId="0" applyFont="1" applyFill="1" applyBorder="1" applyAlignment="1">
      <alignment horizontal="left" vertical="center" wrapText="1"/>
    </xf>
    <xf numFmtId="0" fontId="54" fillId="6" borderId="36" xfId="0" applyFont="1" applyFill="1" applyBorder="1" applyAlignment="1">
      <alignment vertical="center" wrapText="1"/>
    </xf>
    <xf numFmtId="0" fontId="55" fillId="6" borderId="36" xfId="0" applyFont="1" applyFill="1" applyBorder="1" applyAlignment="1">
      <alignment vertical="center" wrapText="1"/>
    </xf>
    <xf numFmtId="0" fontId="55" fillId="6" borderId="22" xfId="0" applyFont="1" applyFill="1" applyBorder="1" applyAlignment="1">
      <alignment vertical="center" wrapText="1"/>
    </xf>
    <xf numFmtId="0" fontId="55" fillId="7" borderId="0" xfId="0" applyFont="1" applyFill="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55" fillId="0" borderId="0" xfId="0" applyFont="1" applyAlignment="1">
      <alignment vertical="center" wrapText="1"/>
    </xf>
    <xf numFmtId="49" fontId="58" fillId="6" borderId="26" xfId="0" applyNumberFormat="1" applyFont="1" applyFill="1" applyBorder="1" applyAlignment="1">
      <alignment horizontal="center" vertical="center" wrapText="1"/>
    </xf>
    <xf numFmtId="0" fontId="58" fillId="6" borderId="64" xfId="0" applyFont="1" applyFill="1" applyBorder="1" applyAlignment="1">
      <alignment horizontal="left" vertical="center" wrapText="1"/>
    </xf>
    <xf numFmtId="0" fontId="119" fillId="6" borderId="34" xfId="0" applyFont="1" applyFill="1" applyBorder="1">
      <alignment vertical="center"/>
    </xf>
    <xf numFmtId="0" fontId="58" fillId="6" borderId="64" xfId="0" applyFont="1" applyFill="1" applyBorder="1" applyAlignment="1">
      <alignment horizontal="center" vertical="center" wrapText="1"/>
    </xf>
    <xf numFmtId="0" fontId="57" fillId="6" borderId="64" xfId="0" applyFont="1" applyFill="1" applyBorder="1" applyAlignment="1">
      <alignment vertical="center" wrapText="1"/>
    </xf>
    <xf numFmtId="0" fontId="57" fillId="6" borderId="65" xfId="0" applyFont="1" applyFill="1" applyBorder="1" applyAlignment="1">
      <alignment vertical="center" wrapText="1"/>
    </xf>
    <xf numFmtId="0" fontId="58" fillId="6" borderId="9" xfId="0" applyFont="1" applyFill="1" applyBorder="1" applyAlignment="1">
      <alignment horizontal="left" vertical="center" wrapText="1"/>
    </xf>
    <xf numFmtId="0" fontId="57" fillId="6" borderId="9" xfId="0" applyFont="1" applyFill="1" applyBorder="1" applyAlignment="1">
      <alignment horizontal="center" vertical="center" wrapText="1"/>
    </xf>
    <xf numFmtId="0" fontId="57" fillId="6" borderId="19" xfId="0" applyFont="1" applyFill="1" applyBorder="1" applyAlignment="1">
      <alignment horizontal="center" vertical="center" wrapText="1"/>
    </xf>
    <xf numFmtId="0" fontId="57" fillId="6" borderId="19" xfId="0" applyFont="1" applyFill="1" applyBorder="1" applyAlignment="1">
      <alignment vertical="center" wrapText="1"/>
    </xf>
    <xf numFmtId="0" fontId="57" fillId="6" borderId="31" xfId="0" applyFont="1" applyFill="1" applyBorder="1" applyAlignment="1">
      <alignment vertical="center" wrapText="1"/>
    </xf>
    <xf numFmtId="0" fontId="57" fillId="6" borderId="5" xfId="0" applyFont="1" applyFill="1" applyBorder="1">
      <alignment vertical="center"/>
    </xf>
    <xf numFmtId="0" fontId="57" fillId="6" borderId="54" xfId="0" applyFont="1" applyFill="1" applyBorder="1" applyAlignment="1">
      <alignment vertical="center" wrapText="1"/>
    </xf>
    <xf numFmtId="0" fontId="57" fillId="6" borderId="48" xfId="0" applyFont="1" applyFill="1" applyBorder="1" applyAlignment="1">
      <alignment vertical="center" wrapText="1"/>
    </xf>
    <xf numFmtId="0" fontId="57" fillId="6" borderId="13" xfId="0" applyFont="1" applyFill="1" applyBorder="1" applyAlignment="1">
      <alignment horizontal="left" vertical="center" wrapText="1"/>
    </xf>
    <xf numFmtId="0" fontId="57" fillId="6" borderId="46" xfId="0" applyFont="1" applyFill="1" applyBorder="1">
      <alignment vertical="center"/>
    </xf>
    <xf numFmtId="0" fontId="57" fillId="6" borderId="36" xfId="0" applyFont="1" applyFill="1" applyBorder="1" applyAlignment="1">
      <alignment vertical="center" wrapText="1"/>
    </xf>
    <xf numFmtId="0" fontId="57" fillId="6" borderId="59" xfId="0" applyFont="1" applyFill="1" applyBorder="1" applyAlignment="1">
      <alignment vertical="center" wrapText="1"/>
    </xf>
    <xf numFmtId="0" fontId="58" fillId="6" borderId="17" xfId="0" applyFont="1" applyFill="1" applyBorder="1" applyAlignment="1">
      <alignment horizontal="left" vertical="center" wrapText="1"/>
    </xf>
    <xf numFmtId="0" fontId="57" fillId="6" borderId="28" xfId="0" applyFont="1" applyFill="1" applyBorder="1">
      <alignment vertical="center"/>
    </xf>
    <xf numFmtId="0" fontId="57" fillId="6" borderId="20" xfId="0" applyFont="1" applyFill="1" applyBorder="1" applyAlignment="1">
      <alignment horizontal="center" vertical="center" wrapText="1"/>
    </xf>
    <xf numFmtId="0" fontId="57" fillId="6" borderId="20" xfId="0" applyFont="1" applyFill="1" applyBorder="1" applyAlignment="1">
      <alignment vertical="center" wrapText="1"/>
    </xf>
    <xf numFmtId="0" fontId="57" fillId="6" borderId="21" xfId="0" applyFont="1" applyFill="1" applyBorder="1" applyAlignment="1">
      <alignment vertical="center" wrapText="1"/>
    </xf>
    <xf numFmtId="0" fontId="105" fillId="6" borderId="13" xfId="0" applyFont="1" applyFill="1" applyBorder="1" applyAlignment="1">
      <alignment horizontal="left" vertical="center" wrapText="1"/>
    </xf>
    <xf numFmtId="0" fontId="105" fillId="6" borderId="3" xfId="0" applyFont="1" applyFill="1" applyBorder="1" applyAlignment="1">
      <alignment horizontal="center" vertical="center" wrapText="1"/>
    </xf>
    <xf numFmtId="0" fontId="57" fillId="0" borderId="1" xfId="0" applyFont="1" applyBorder="1" applyAlignment="1" applyProtection="1">
      <alignment horizontal="center" vertical="center"/>
      <protection locked="0"/>
    </xf>
    <xf numFmtId="0" fontId="57" fillId="0" borderId="24" xfId="0" applyFont="1" applyBorder="1" applyAlignment="1" applyProtection="1">
      <alignment horizontal="center" vertical="center" wrapText="1"/>
      <protection locked="0"/>
    </xf>
    <xf numFmtId="0" fontId="105" fillId="6" borderId="2" xfId="0" applyFont="1" applyFill="1" applyBorder="1" applyAlignment="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5" fillId="6" borderId="74" xfId="0" applyFont="1" applyFill="1" applyBorder="1" applyAlignment="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9" fontId="57" fillId="6" borderId="25" xfId="0" applyNumberFormat="1" applyFont="1" applyFill="1" applyBorder="1" applyAlignment="1">
      <alignment horizontal="center" vertical="center" wrapText="1"/>
    </xf>
    <xf numFmtId="0" fontId="57" fillId="7" borderId="0" xfId="0" applyFont="1" applyFill="1" applyAlignment="1">
      <alignment vertical="center" wrapText="1"/>
    </xf>
    <xf numFmtId="49" fontId="54" fillId="6" borderId="26" xfId="0" applyNumberFormat="1" applyFont="1" applyFill="1" applyBorder="1" applyAlignment="1">
      <alignment horizontal="left" vertical="center" wrapText="1"/>
    </xf>
    <xf numFmtId="0" fontId="54" fillId="6" borderId="84" xfId="0" applyFont="1" applyFill="1" applyBorder="1" applyAlignment="1">
      <alignment horizontal="left" vertical="center" wrapText="1"/>
    </xf>
    <xf numFmtId="0" fontId="57" fillId="6" borderId="64" xfId="0" applyFont="1" applyFill="1" applyBorder="1">
      <alignment vertical="center"/>
    </xf>
    <xf numFmtId="0" fontId="55" fillId="6" borderId="65" xfId="0" applyFont="1" applyFill="1" applyBorder="1" applyAlignment="1">
      <alignment vertical="center" wrapText="1"/>
    </xf>
    <xf numFmtId="0" fontId="57" fillId="0" borderId="0" xfId="0" applyFont="1" applyAlignment="1">
      <alignment horizontal="center" vertical="center" wrapText="1"/>
    </xf>
    <xf numFmtId="0" fontId="55" fillId="6" borderId="84" xfId="0" applyFont="1" applyFill="1" applyBorder="1" applyAlignment="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lignment vertical="center" wrapText="1"/>
    </xf>
    <xf numFmtId="0" fontId="57" fillId="6" borderId="64" xfId="0" applyFont="1" applyFill="1" applyBorder="1" applyAlignment="1">
      <alignment horizontal="center" vertical="center" wrapText="1"/>
    </xf>
    <xf numFmtId="0" fontId="55" fillId="0" borderId="0" xfId="0" applyFont="1" applyAlignment="1">
      <alignment horizontal="center" vertical="center" wrapText="1"/>
    </xf>
    <xf numFmtId="49" fontId="54" fillId="6" borderId="40" xfId="0" applyNumberFormat="1" applyFont="1" applyFill="1" applyBorder="1" applyAlignment="1">
      <alignment horizontal="left" vertical="center" wrapText="1"/>
    </xf>
    <xf numFmtId="0" fontId="54" fillId="6" borderId="17" xfId="0" applyFont="1" applyFill="1" applyBorder="1" applyAlignment="1">
      <alignment horizontal="left" vertical="center" wrapText="1"/>
    </xf>
    <xf numFmtId="0" fontId="55" fillId="6" borderId="25" xfId="0" applyFont="1" applyFill="1" applyBorder="1" applyAlignment="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Protection="1">
      <alignment vertical="center"/>
      <protection locked="0"/>
    </xf>
    <xf numFmtId="49" fontId="54" fillId="6" borderId="6" xfId="0" applyNumberFormat="1" applyFont="1" applyFill="1" applyBorder="1" applyAlignment="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lignment vertical="center" wrapText="1"/>
    </xf>
    <xf numFmtId="0" fontId="55" fillId="6" borderId="10" xfId="0" applyFont="1" applyFill="1" applyBorder="1" applyAlignment="1">
      <alignment vertical="center" wrapText="1"/>
    </xf>
    <xf numFmtId="0" fontId="55" fillId="6" borderId="23" xfId="8" applyFont="1" applyFill="1" applyBorder="1" applyAlignment="1">
      <alignment horizontal="center" vertical="center" wrapText="1"/>
    </xf>
    <xf numFmtId="0" fontId="55" fillId="6" borderId="1" xfId="0" applyFont="1" applyFill="1" applyBorder="1" applyAlignment="1">
      <alignment horizontal="left" vertical="center" wrapText="1"/>
    </xf>
    <xf numFmtId="0" fontId="55" fillId="6" borderId="13" xfId="0" applyFont="1" applyFill="1" applyBorder="1" applyAlignment="1">
      <alignment horizontal="left" vertical="center" wrapText="1"/>
    </xf>
    <xf numFmtId="187" fontId="57" fillId="6" borderId="15" xfId="0" applyNumberFormat="1" applyFont="1" applyFill="1" applyBorder="1" applyAlignment="1">
      <alignment horizontal="center" vertical="center" wrapText="1"/>
    </xf>
    <xf numFmtId="187" fontId="57" fillId="6" borderId="58" xfId="0" applyNumberFormat="1" applyFont="1" applyFill="1" applyBorder="1" applyAlignment="1">
      <alignment horizontal="center" vertical="center" wrapText="1"/>
    </xf>
    <xf numFmtId="0" fontId="57" fillId="6" borderId="22" xfId="0" applyFont="1" applyFill="1" applyBorder="1" applyAlignment="1">
      <alignment vertical="center" wrapText="1"/>
    </xf>
    <xf numFmtId="0" fontId="55" fillId="6" borderId="13" xfId="0" applyFont="1" applyFill="1" applyBorder="1" applyAlignment="1">
      <alignment vertical="center" wrapText="1"/>
    </xf>
    <xf numFmtId="0" fontId="55" fillId="6" borderId="61" xfId="0" applyFont="1" applyFill="1" applyBorder="1" applyAlignment="1">
      <alignment vertical="center" wrapText="1"/>
    </xf>
    <xf numFmtId="0" fontId="55" fillId="6" borderId="84" xfId="0" applyFont="1" applyFill="1" applyBorder="1" applyAlignment="1">
      <alignment vertical="center" wrapText="1"/>
    </xf>
    <xf numFmtId="0" fontId="55" fillId="6" borderId="67" xfId="0" applyFont="1" applyFill="1" applyBorder="1" applyAlignment="1">
      <alignment vertical="center" wrapText="1"/>
    </xf>
    <xf numFmtId="0" fontId="55" fillId="6" borderId="25" xfId="8" applyFont="1" applyFill="1" applyBorder="1" applyAlignment="1">
      <alignment horizontal="center" vertical="center" wrapText="1"/>
    </xf>
    <xf numFmtId="0" fontId="54" fillId="6" borderId="28" xfId="0" applyFont="1" applyFill="1" applyBorder="1" applyAlignment="1">
      <alignment horizontal="left" vertical="center" wrapText="1"/>
    </xf>
    <xf numFmtId="0" fontId="58" fillId="6" borderId="19" xfId="0" applyFont="1" applyFill="1" applyBorder="1" applyAlignment="1">
      <alignment vertical="center" wrapText="1"/>
    </xf>
    <xf numFmtId="49" fontId="54" fillId="6" borderId="14" xfId="0" applyNumberFormat="1" applyFont="1" applyFill="1" applyBorder="1" applyAlignment="1">
      <alignment horizontal="center" vertical="center" wrapText="1"/>
    </xf>
    <xf numFmtId="0" fontId="57" fillId="6" borderId="58" xfId="0" applyFont="1" applyFill="1" applyBorder="1" applyAlignment="1">
      <alignment vertical="center" wrapText="1"/>
    </xf>
    <xf numFmtId="0" fontId="58" fillId="6" borderId="0" xfId="0" applyFont="1" applyFill="1" applyAlignment="1">
      <alignment vertical="center" wrapText="1"/>
    </xf>
    <xf numFmtId="0" fontId="57" fillId="6" borderId="56" xfId="0" applyFont="1" applyFill="1" applyBorder="1" applyAlignment="1">
      <alignment vertical="center" wrapText="1"/>
    </xf>
    <xf numFmtId="0" fontId="55" fillId="6" borderId="0" xfId="0" applyFont="1" applyFill="1" applyAlignment="1">
      <alignment horizontal="left" vertical="center" wrapText="1"/>
    </xf>
    <xf numFmtId="0" fontId="57" fillId="6" borderId="75" xfId="0" applyFont="1" applyFill="1" applyBorder="1" applyAlignment="1">
      <alignment vertical="center" wrapText="1"/>
    </xf>
    <xf numFmtId="0" fontId="57" fillId="6" borderId="47" xfId="0" applyFont="1" applyFill="1" applyBorder="1" applyAlignment="1">
      <alignment vertical="center" wrapText="1"/>
    </xf>
    <xf numFmtId="0" fontId="58" fillId="6" borderId="47" xfId="0" applyFont="1" applyFill="1" applyBorder="1" applyAlignment="1">
      <alignment vertical="center" wrapText="1"/>
    </xf>
    <xf numFmtId="0" fontId="57" fillId="6" borderId="43" xfId="0" applyFont="1" applyFill="1" applyBorder="1" applyAlignment="1">
      <alignment vertical="center" wrapText="1"/>
    </xf>
    <xf numFmtId="49" fontId="54" fillId="6" borderId="40" xfId="0" applyNumberFormat="1" applyFont="1" applyFill="1" applyBorder="1" applyAlignment="1">
      <alignment horizontal="center" vertical="center" wrapText="1"/>
    </xf>
    <xf numFmtId="0" fontId="58" fillId="6" borderId="30" xfId="0" applyFont="1" applyFill="1" applyBorder="1" applyAlignment="1">
      <alignment vertical="center" wrapText="1"/>
    </xf>
    <xf numFmtId="0" fontId="54" fillId="6" borderId="9"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8" fillId="6" borderId="28" xfId="0" applyFont="1" applyFill="1" applyBorder="1" applyAlignment="1">
      <alignment vertical="center" wrapText="1"/>
    </xf>
    <xf numFmtId="0" fontId="57" fillId="6" borderId="14" xfId="0" applyFont="1" applyFill="1" applyBorder="1" applyAlignment="1">
      <alignment horizontal="center" vertical="center" wrapText="1"/>
    </xf>
    <xf numFmtId="0" fontId="57" fillId="6" borderId="3" xfId="0" applyFont="1" applyFill="1" applyBorder="1" applyAlignment="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lignment vertical="center"/>
    </xf>
    <xf numFmtId="0" fontId="105" fillId="6" borderId="54" xfId="0" applyFont="1" applyFill="1" applyBorder="1">
      <alignment vertical="center"/>
    </xf>
    <xf numFmtId="0" fontId="105" fillId="6" borderId="48" xfId="0" applyFont="1" applyFill="1" applyBorder="1">
      <alignment vertical="center"/>
    </xf>
    <xf numFmtId="0" fontId="58" fillId="6" borderId="12" xfId="0" applyFont="1" applyFill="1" applyBorder="1" applyAlignment="1">
      <alignment vertical="center" wrapText="1"/>
    </xf>
    <xf numFmtId="0" fontId="57" fillId="6" borderId="66" xfId="0" applyFont="1" applyFill="1" applyBorder="1" applyAlignment="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lignment vertical="center"/>
    </xf>
    <xf numFmtId="0" fontId="57" fillId="6" borderId="52" xfId="0" applyFont="1" applyFill="1" applyBorder="1" applyAlignment="1">
      <alignment vertical="center" wrapText="1"/>
    </xf>
    <xf numFmtId="0" fontId="57" fillId="6" borderId="68" xfId="0" applyFont="1" applyFill="1" applyBorder="1" applyAlignment="1">
      <alignment vertical="center" wrapText="1"/>
    </xf>
    <xf numFmtId="0" fontId="58" fillId="6" borderId="40" xfId="0" applyFont="1" applyFill="1" applyBorder="1" applyAlignment="1">
      <alignment vertical="center" wrapText="1"/>
    </xf>
    <xf numFmtId="0" fontId="58" fillId="6" borderId="39" xfId="0" applyFont="1" applyFill="1" applyBorder="1" applyAlignment="1">
      <alignment horizontal="left" vertical="center" wrapText="1"/>
    </xf>
    <xf numFmtId="0" fontId="57" fillId="6" borderId="20" xfId="0" applyFont="1" applyFill="1" applyBorder="1">
      <alignment vertical="center"/>
    </xf>
    <xf numFmtId="0" fontId="57" fillId="6" borderId="30" xfId="0" applyFont="1" applyFill="1" applyBorder="1">
      <alignment vertical="center"/>
    </xf>
    <xf numFmtId="0" fontId="58" fillId="6" borderId="7" xfId="0" applyFont="1" applyFill="1" applyBorder="1" applyAlignment="1">
      <alignment vertical="center" wrapText="1"/>
    </xf>
    <xf numFmtId="0" fontId="54" fillId="6" borderId="2" xfId="0" applyFont="1" applyFill="1" applyBorder="1" applyAlignment="1">
      <alignment horizontal="center" vertical="center" wrapText="1"/>
    </xf>
    <xf numFmtId="0" fontId="105" fillId="6" borderId="7" xfId="0" applyFont="1" applyFill="1" applyBorder="1" applyAlignment="1">
      <alignment horizontal="center" vertical="center" wrapText="1"/>
    </xf>
    <xf numFmtId="0" fontId="58" fillId="6" borderId="14" xfId="0" applyFont="1" applyFill="1" applyBorder="1" applyAlignment="1">
      <alignment vertical="center" wrapText="1"/>
    </xf>
    <xf numFmtId="0" fontId="57" fillId="6" borderId="16" xfId="0" applyFont="1" applyFill="1" applyBorder="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lignment horizontal="center" vertical="center"/>
    </xf>
    <xf numFmtId="0" fontId="105" fillId="6" borderId="66" xfId="0" applyFont="1" applyFill="1" applyBorder="1" applyAlignment="1">
      <alignment horizontal="center" vertical="center" wrapText="1"/>
    </xf>
    <xf numFmtId="0" fontId="57" fillId="6" borderId="43" xfId="0" applyFont="1" applyFill="1" applyBorder="1" applyAlignment="1">
      <alignment horizontal="center" vertical="center" wrapText="1"/>
    </xf>
    <xf numFmtId="0" fontId="57" fillId="6" borderId="25" xfId="0" applyFont="1" applyFill="1" applyBorder="1" applyAlignment="1">
      <alignment vertical="center" wrapText="1"/>
    </xf>
    <xf numFmtId="9" fontId="57" fillId="6" borderId="49" xfId="0" applyNumberFormat="1" applyFont="1" applyFill="1" applyBorder="1" applyAlignment="1">
      <alignment horizontal="center" vertical="center" wrapText="1"/>
    </xf>
    <xf numFmtId="0" fontId="57" fillId="7" borderId="0" xfId="0" applyFont="1" applyFill="1" applyAlignment="1" applyProtection="1">
      <alignment horizontal="left" vertical="center" wrapText="1"/>
      <protection locked="0"/>
    </xf>
    <xf numFmtId="0" fontId="114" fillId="6" borderId="0" xfId="0" applyFont="1" applyFill="1">
      <alignment vertical="center"/>
    </xf>
    <xf numFmtId="187" fontId="104" fillId="6" borderId="0" xfId="0" applyNumberFormat="1" applyFont="1" applyFill="1" applyAlignment="1">
      <alignment horizontal="center" vertical="center" wrapText="1"/>
    </xf>
    <xf numFmtId="0" fontId="114"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5"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5"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5" fillId="6" borderId="37" xfId="0" applyFont="1" applyFill="1" applyBorder="1" applyAlignment="1">
      <alignment horizontal="center" vertical="center" wrapText="1"/>
    </xf>
    <xf numFmtId="0" fontId="105" fillId="6" borderId="25" xfId="0" applyFont="1" applyFill="1" applyBorder="1" applyAlignment="1">
      <alignment horizontal="center" vertical="center" wrapText="1"/>
    </xf>
    <xf numFmtId="49" fontId="105" fillId="6" borderId="74" xfId="0" applyNumberFormat="1" applyFont="1" applyFill="1" applyBorder="1" applyAlignment="1">
      <alignment horizontal="center" vertical="center" wrapText="1"/>
    </xf>
    <xf numFmtId="49" fontId="105" fillId="6" borderId="32" xfId="0" applyNumberFormat="1" applyFont="1" applyFill="1" applyBorder="1" applyAlignment="1">
      <alignment horizontal="center" vertical="center" wrapText="1"/>
    </xf>
    <xf numFmtId="0" fontId="57"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5" fillId="6" borderId="32" xfId="0" applyFont="1" applyFill="1" applyBorder="1" applyAlignment="1">
      <alignment horizontal="center" vertical="center" wrapText="1"/>
    </xf>
    <xf numFmtId="0" fontId="108" fillId="6" borderId="0" xfId="0" applyFont="1" applyFill="1" applyAlignment="1">
      <alignment horizontal="center" vertical="center"/>
    </xf>
    <xf numFmtId="0" fontId="105" fillId="6" borderId="3" xfId="0" applyFont="1" applyFill="1" applyBorder="1">
      <alignment vertical="center"/>
    </xf>
    <xf numFmtId="0" fontId="105" fillId="6" borderId="0" xfId="0" applyFont="1" applyFill="1" applyAlignment="1">
      <alignment horizontal="center" vertical="center"/>
    </xf>
    <xf numFmtId="186" fontId="105" fillId="6" borderId="1" xfId="0" applyNumberFormat="1" applyFont="1" applyFill="1" applyBorder="1" applyAlignment="1">
      <alignment horizontal="center" vertical="center"/>
    </xf>
    <xf numFmtId="187" fontId="105"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5"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5" fillId="0" borderId="0" xfId="0" applyFont="1" applyAlignment="1">
      <alignment horizontal="left" vertical="center"/>
    </xf>
    <xf numFmtId="0" fontId="57" fillId="0" borderId="0" xfId="0" applyFont="1" applyAlignment="1">
      <alignment horizontal="left" vertical="center" wrapText="1"/>
    </xf>
    <xf numFmtId="0" fontId="183" fillId="6" borderId="1" xfId="3" applyFont="1" applyFill="1" applyBorder="1" applyAlignment="1">
      <alignment horizontal="center" vertical="center"/>
    </xf>
    <xf numFmtId="0" fontId="57" fillId="6" borderId="9" xfId="3" applyFont="1" applyFill="1" applyBorder="1" applyAlignment="1">
      <alignment horizontal="center" vertical="center"/>
    </xf>
    <xf numFmtId="0" fontId="57" fillId="6" borderId="2" xfId="3" applyFont="1" applyFill="1" applyBorder="1" applyAlignment="1">
      <alignment horizontal="center" vertical="center"/>
    </xf>
    <xf numFmtId="0" fontId="57" fillId="6" borderId="2" xfId="3" applyFont="1" applyFill="1" applyBorder="1" applyAlignment="1">
      <alignment horizontal="center" vertical="center" wrapText="1"/>
    </xf>
    <xf numFmtId="0" fontId="57" fillId="6" borderId="17" xfId="3" applyFont="1" applyFill="1" applyBorder="1" applyAlignment="1">
      <alignment horizontal="center" vertical="center"/>
    </xf>
    <xf numFmtId="0" fontId="57" fillId="6" borderId="62" xfId="3" applyFont="1" applyFill="1" applyBorder="1" applyAlignment="1">
      <alignment horizontal="center" vertical="center"/>
    </xf>
    <xf numFmtId="0" fontId="131" fillId="6" borderId="1" xfId="0" applyFont="1" applyFill="1" applyBorder="1">
      <alignment vertical="center"/>
    </xf>
    <xf numFmtId="0" fontId="104" fillId="6" borderId="1" xfId="0" applyFont="1" applyFill="1" applyBorder="1">
      <alignment vertical="center"/>
    </xf>
    <xf numFmtId="0" fontId="56" fillId="6" borderId="95" xfId="0" applyFont="1" applyFill="1" applyBorder="1" applyAlignment="1">
      <alignment horizontal="center" vertical="center" wrapText="1"/>
    </xf>
    <xf numFmtId="0" fontId="51" fillId="10" borderId="16" xfId="0" applyFont="1" applyFill="1" applyBorder="1" applyAlignment="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Protection="1">
      <alignment vertical="center"/>
      <protection locked="0"/>
    </xf>
    <xf numFmtId="0" fontId="61" fillId="5" borderId="49" xfId="1" applyFont="1" applyFill="1" applyBorder="1" applyProtection="1">
      <alignment vertical="center"/>
      <protection locked="0"/>
    </xf>
    <xf numFmtId="181" fontId="105"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8" fillId="6" borderId="9"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lignment horizontal="left" vertical="center" wrapText="1"/>
    </xf>
    <xf numFmtId="0" fontId="54" fillId="6" borderId="74" xfId="0" applyFont="1" applyFill="1" applyBorder="1" applyAlignment="1">
      <alignment horizontal="left" vertical="center" wrapText="1"/>
    </xf>
    <xf numFmtId="0" fontId="54" fillId="6" borderId="75" xfId="0" applyFont="1" applyFill="1" applyBorder="1" applyAlignment="1">
      <alignment horizontal="center" vertical="center" wrapText="1"/>
    </xf>
    <xf numFmtId="0" fontId="57" fillId="6" borderId="75" xfId="0" applyFont="1" applyFill="1" applyBorder="1">
      <alignment vertical="center"/>
    </xf>
    <xf numFmtId="0" fontId="54" fillId="6" borderId="47" xfId="0" applyFont="1" applyFill="1" applyBorder="1" applyAlignment="1">
      <alignment horizontal="center" vertical="center" wrapText="1"/>
    </xf>
    <xf numFmtId="0" fontId="55" fillId="6" borderId="43" xfId="0" applyFont="1" applyFill="1" applyBorder="1" applyAlignment="1">
      <alignment vertical="center" wrapText="1"/>
    </xf>
    <xf numFmtId="0" fontId="57" fillId="6" borderId="32" xfId="0" applyFont="1" applyFill="1" applyBorder="1" applyAlignment="1">
      <alignment horizontal="left" vertical="center"/>
    </xf>
    <xf numFmtId="0" fontId="57" fillId="6" borderId="74" xfId="0" applyFont="1" applyFill="1" applyBorder="1" applyAlignment="1">
      <alignment horizontal="center" vertical="center" wrapText="1"/>
    </xf>
    <xf numFmtId="0" fontId="57" fillId="6" borderId="75" xfId="0" applyFont="1" applyFill="1" applyBorder="1" applyAlignment="1">
      <alignment horizontal="center" vertical="center" wrapText="1"/>
    </xf>
    <xf numFmtId="0" fontId="57" fillId="6" borderId="76" xfId="0" applyFont="1" applyFill="1" applyBorder="1" applyAlignment="1">
      <alignment horizontal="center" vertical="center" wrapText="1"/>
    </xf>
    <xf numFmtId="0" fontId="57" fillId="6" borderId="84" xfId="0" applyFont="1" applyFill="1" applyBorder="1" applyAlignment="1">
      <alignment horizontal="center" vertical="center"/>
    </xf>
    <xf numFmtId="0" fontId="150" fillId="13" borderId="126" xfId="16" applyFont="1" applyFill="1" applyBorder="1" applyAlignment="1">
      <alignment horizontal="left" vertical="center" wrapText="1"/>
    </xf>
    <xf numFmtId="0" fontId="150" fillId="13" borderId="130" xfId="16" applyFont="1" applyFill="1" applyBorder="1" applyAlignment="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8" fillId="0" borderId="120" xfId="9" applyFont="1" applyBorder="1" applyAlignment="1">
      <alignment horizontal="left" vertical="center"/>
    </xf>
    <xf numFmtId="0" fontId="145" fillId="16" borderId="0" xfId="9" applyFont="1" applyFill="1" applyAlignment="1">
      <alignment horizontal="left" vertical="center"/>
    </xf>
    <xf numFmtId="0" fontId="104" fillId="16" borderId="0" xfId="10" applyFont="1" applyFill="1" applyAlignment="1">
      <alignment horizontal="left" vertical="center"/>
    </xf>
    <xf numFmtId="0" fontId="24" fillId="16" borderId="0" xfId="10" applyFont="1" applyFill="1" applyAlignment="1">
      <alignment horizontal="left" vertical="center"/>
    </xf>
    <xf numFmtId="0" fontId="108" fillId="16" borderId="121" xfId="9" applyFont="1" applyFill="1" applyBorder="1" applyAlignment="1">
      <alignment horizontal="left" vertical="center"/>
    </xf>
    <xf numFmtId="0" fontId="108" fillId="16" borderId="0" xfId="9" applyFont="1" applyFill="1" applyAlignment="1">
      <alignment horizontal="left" vertical="center"/>
    </xf>
    <xf numFmtId="0" fontId="151" fillId="16" borderId="0" xfId="9" applyFont="1" applyFill="1" applyAlignment="1" applyProtection="1">
      <alignment horizontal="left" vertical="center"/>
      <protection locked="0"/>
    </xf>
    <xf numFmtId="0" fontId="143"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4" fillId="0" borderId="0" xfId="10" applyFont="1" applyAlignment="1">
      <alignment horizontal="left" vertical="center"/>
    </xf>
    <xf numFmtId="0" fontId="24" fillId="0" borderId="0" xfId="10" applyFont="1" applyAlignment="1">
      <alignment horizontal="left" vertical="center"/>
    </xf>
    <xf numFmtId="0" fontId="108" fillId="0" borderId="121" xfId="9" applyFont="1" applyBorder="1" applyAlignment="1">
      <alignment horizontal="left" vertical="center"/>
    </xf>
    <xf numFmtId="0" fontId="108" fillId="0" borderId="0" xfId="9" applyFont="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lignment horizontal="left" vertical="center" wrapText="1"/>
    </xf>
    <xf numFmtId="0" fontId="150" fillId="14" borderId="126" xfId="9" applyFont="1" applyFill="1" applyBorder="1" applyAlignment="1">
      <alignment horizontal="left" vertical="center" wrapText="1"/>
    </xf>
    <xf numFmtId="0" fontId="151" fillId="14" borderId="0" xfId="9" applyFont="1" applyFill="1" applyAlignment="1" applyProtection="1">
      <alignment horizontal="left" vertical="center"/>
      <protection locked="0"/>
    </xf>
    <xf numFmtId="0" fontId="108"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19"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150" fillId="13"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2" borderId="130"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0" fillId="12" borderId="132" xfId="9" applyFont="1" applyFill="1" applyBorder="1" applyAlignment="1">
      <alignment horizontal="left" vertical="center" wrapText="1"/>
    </xf>
    <xf numFmtId="0" fontId="150" fillId="12" borderId="133" xfId="9" applyFont="1" applyFill="1" applyBorder="1" applyAlignment="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0" fillId="13" borderId="123" xfId="9" applyFont="1" applyFill="1" applyBorder="1" applyAlignment="1">
      <alignment horizontal="left" vertical="center" wrapText="1"/>
    </xf>
    <xf numFmtId="0" fontId="150" fillId="13" borderId="124" xfId="9" applyFont="1" applyFill="1" applyBorder="1" applyAlignment="1">
      <alignment horizontal="left" vertical="center" wrapText="1"/>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lignment horizontal="left" vertical="center" wrapText="1"/>
    </xf>
    <xf numFmtId="0" fontId="105" fillId="13" borderId="124" xfId="9" applyFont="1" applyFill="1" applyBorder="1" applyAlignment="1">
      <alignment horizontal="left" vertical="center" wrapText="1"/>
    </xf>
    <xf numFmtId="49" fontId="57" fillId="5" borderId="1" xfId="9" applyNumberFormat="1" applyFont="1" applyFill="1" applyBorder="1" applyAlignment="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lignment horizontal="left" vertical="center" wrapText="1"/>
    </xf>
    <xf numFmtId="0" fontId="105" fillId="5" borderId="130" xfId="9" applyFont="1" applyFill="1" applyBorder="1" applyAlignment="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14" fontId="105" fillId="0" borderId="0" xfId="9" applyNumberFormat="1" applyFont="1" applyAlignment="1">
      <alignment horizontal="left" vertical="center"/>
    </xf>
    <xf numFmtId="0" fontId="129" fillId="0" borderId="0" xfId="9"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0" fillId="13" borderId="137" xfId="9" applyFont="1" applyFill="1" applyBorder="1" applyAlignment="1">
      <alignment horizontal="left" vertical="center" wrapText="1"/>
    </xf>
    <xf numFmtId="0" fontId="150" fillId="13" borderId="138" xfId="9" applyFont="1" applyFill="1" applyBorder="1" applyAlignment="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0" fillId="12" borderId="140" xfId="9" applyFont="1" applyFill="1" applyBorder="1" applyAlignment="1">
      <alignment horizontal="left" vertical="center" wrapText="1"/>
    </xf>
    <xf numFmtId="0" fontId="150" fillId="12" borderId="141" xfId="9" applyFont="1" applyFill="1" applyBorder="1" applyAlignment="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0" fillId="13" borderId="132" xfId="9" applyFont="1" applyFill="1" applyBorder="1" applyAlignment="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36" fillId="6" borderId="0" xfId="0" applyFont="1" applyFill="1" applyAlignment="1">
      <alignment horizontal="left" vertical="center"/>
    </xf>
    <xf numFmtId="0" fontId="190" fillId="6" borderId="154" xfId="0" applyFont="1" applyFill="1" applyBorder="1" applyAlignment="1">
      <alignment horizontal="left"/>
    </xf>
    <xf numFmtId="0" fontId="107" fillId="6" borderId="154" xfId="0" applyFont="1" applyFill="1" applyBorder="1" applyAlignment="1">
      <alignment horizontal="left"/>
    </xf>
    <xf numFmtId="0" fontId="190" fillId="6" borderId="154" xfId="0" applyFont="1" applyFill="1" applyBorder="1" applyAlignment="1">
      <alignment horizontal="right"/>
    </xf>
    <xf numFmtId="0" fontId="107" fillId="7" borderId="154" xfId="0" applyFont="1" applyFill="1" applyBorder="1" applyAlignment="1" applyProtection="1">
      <protection locked="0"/>
    </xf>
    <xf numFmtId="0" fontId="107" fillId="7" borderId="154" xfId="0" applyFont="1" applyFill="1" applyBorder="1" applyAlignment="1"/>
    <xf numFmtId="0" fontId="107" fillId="0" borderId="154" xfId="0" applyFont="1" applyBorder="1" applyAlignment="1"/>
    <xf numFmtId="0" fontId="81" fillId="19" borderId="0" xfId="0" applyFont="1" applyFill="1" applyAlignment="1">
      <alignment horizontal="left" vertical="center"/>
    </xf>
    <xf numFmtId="10" fontId="51" fillId="19" borderId="0" xfId="0" applyNumberFormat="1" applyFont="1" applyFill="1" applyAlignment="1">
      <alignment horizontal="left" vertical="center"/>
    </xf>
    <xf numFmtId="0" fontId="51" fillId="19" borderId="0" xfId="0" applyFont="1" applyFill="1" applyAlignment="1">
      <alignment horizontal="left" vertical="center"/>
    </xf>
    <xf numFmtId="0" fontId="81" fillId="19" borderId="0" xfId="0" applyFont="1" applyFill="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lignment horizontal="center" vertical="center" wrapText="1"/>
    </xf>
    <xf numFmtId="0" fontId="51" fillId="19" borderId="1" xfId="0" applyFont="1" applyFill="1" applyBorder="1" applyAlignment="1">
      <alignment horizontal="center" vertical="center"/>
    </xf>
    <xf numFmtId="10" fontId="58" fillId="19" borderId="5" xfId="1" applyNumberFormat="1" applyFont="1" applyFill="1" applyBorder="1" applyAlignment="1">
      <alignment horizontal="center"/>
    </xf>
    <xf numFmtId="10" fontId="58" fillId="19" borderId="5" xfId="1" applyNumberFormat="1" applyFont="1" applyFill="1" applyBorder="1" applyAlignment="1">
      <alignment horizontal="center" vertical="center"/>
    </xf>
    <xf numFmtId="9" fontId="58" fillId="19" borderId="5" xfId="1" applyNumberFormat="1" applyFont="1" applyFill="1" applyBorder="1" applyAlignment="1">
      <alignment horizontal="center" vertical="center"/>
    </xf>
    <xf numFmtId="0" fontId="58" fillId="19" borderId="68" xfId="0"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lignment horizontal="left" vertical="center" wrapText="1"/>
    </xf>
    <xf numFmtId="176" fontId="55" fillId="6" borderId="48" xfId="0" applyNumberFormat="1" applyFont="1" applyFill="1" applyBorder="1" applyAlignment="1">
      <alignment horizontal="left" vertical="center" wrapText="1"/>
    </xf>
    <xf numFmtId="0" fontId="58" fillId="19" borderId="1" xfId="0" applyFont="1" applyFill="1" applyBorder="1" applyAlignment="1">
      <alignment horizontal="center" vertical="center" wrapText="1"/>
    </xf>
    <xf numFmtId="0" fontId="66" fillId="6" borderId="118" xfId="0" applyFont="1" applyFill="1" applyBorder="1">
      <alignment vertical="center"/>
    </xf>
    <xf numFmtId="0" fontId="66" fillId="6" borderId="118" xfId="0" applyFont="1" applyFill="1" applyBorder="1" applyProtection="1">
      <alignment vertical="center"/>
      <protection locked="0"/>
    </xf>
    <xf numFmtId="0" fontId="50" fillId="6" borderId="21" xfId="0" applyFont="1" applyFill="1" applyBorder="1" applyAlignment="1">
      <alignment horizontal="center" vertical="center"/>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10" fontId="51" fillId="6" borderId="48" xfId="0" applyNumberFormat="1" applyFont="1" applyFill="1" applyBorder="1" applyAlignment="1">
      <alignment horizontal="left" vertical="center" wrapText="1"/>
    </xf>
    <xf numFmtId="0" fontId="48" fillId="6" borderId="1" xfId="0" applyFont="1" applyFill="1" applyBorder="1" applyAlignment="1">
      <alignment horizontal="left" vertical="center" wrapText="1"/>
    </xf>
    <xf numFmtId="0" fontId="51" fillId="6" borderId="48"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5" fillId="0" borderId="5" xfId="5" applyNumberFormat="1" applyFont="1" applyBorder="1" applyAlignment="1">
      <alignment horizontal="left" vertical="center"/>
    </xf>
    <xf numFmtId="0" fontId="251"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8" fillId="0" borderId="0" xfId="5" applyFont="1" applyAlignment="1">
      <alignment horizontal="left" vertical="center"/>
    </xf>
    <xf numFmtId="0" fontId="51" fillId="6" borderId="26" xfId="0" applyFont="1" applyFill="1" applyBorder="1" applyAlignment="1">
      <alignment vertical="center" wrapText="1"/>
    </xf>
    <xf numFmtId="0" fontId="51" fillId="6" borderId="0" xfId="0" applyFont="1" applyFill="1" applyAlignment="1">
      <alignment vertical="center" wrapText="1"/>
    </xf>
    <xf numFmtId="0" fontId="51" fillId="6" borderId="58" xfId="0" applyFont="1" applyFill="1" applyBorder="1" applyAlignment="1">
      <alignment vertical="center" wrapText="1"/>
    </xf>
    <xf numFmtId="49" fontId="51" fillId="6" borderId="0" xfId="0" applyNumberFormat="1" applyFont="1" applyFill="1" applyAlignment="1">
      <alignment horizontal="center" vertical="center" wrapText="1"/>
    </xf>
    <xf numFmtId="14" fontId="51" fillId="0" borderId="13" xfId="0" applyNumberFormat="1" applyFont="1" applyBorder="1" applyAlignment="1" applyProtection="1">
      <alignment horizontal="left" vertical="center"/>
      <protection locked="0"/>
    </xf>
    <xf numFmtId="0" fontId="51" fillId="17" borderId="1" xfId="0" applyFont="1" applyFill="1" applyBorder="1" applyAlignment="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lignment horizontal="right" vertical="center" shrinkToFit="1"/>
    </xf>
    <xf numFmtId="0" fontId="51" fillId="6" borderId="58" xfId="0" applyFont="1" applyFill="1" applyBorder="1" applyAlignment="1">
      <alignment horizontal="left" vertical="center"/>
    </xf>
    <xf numFmtId="0" fontId="51" fillId="6" borderId="4" xfId="0" applyFont="1" applyFill="1" applyBorder="1" applyAlignment="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lignment vertical="center" wrapText="1"/>
    </xf>
    <xf numFmtId="0" fontId="51" fillId="7" borderId="7" xfId="0" applyFont="1" applyFill="1" applyBorder="1" applyAlignment="1">
      <alignment vertical="center" wrapText="1"/>
    </xf>
    <xf numFmtId="0" fontId="51" fillId="6" borderId="46" xfId="0" applyFont="1" applyFill="1" applyBorder="1" applyAlignment="1">
      <alignment vertical="center" wrapText="1"/>
    </xf>
    <xf numFmtId="0" fontId="51" fillId="7" borderId="5" xfId="0" applyFont="1" applyFill="1" applyBorder="1" applyProtection="1">
      <alignment vertical="center"/>
      <protection locked="0"/>
    </xf>
    <xf numFmtId="0" fontId="51" fillId="7" borderId="54" xfId="0" applyFont="1" applyFill="1" applyBorder="1" applyAlignment="1">
      <alignment vertical="center" wrapText="1"/>
    </xf>
    <xf numFmtId="0" fontId="51" fillId="7" borderId="22" xfId="0" applyFont="1" applyFill="1" applyBorder="1" applyAlignment="1">
      <alignment vertical="center" wrapText="1"/>
    </xf>
    <xf numFmtId="0" fontId="51" fillId="17" borderId="46" xfId="0" applyFont="1" applyFill="1" applyBorder="1" applyAlignment="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lignment vertical="center" wrapText="1"/>
    </xf>
    <xf numFmtId="0" fontId="51" fillId="17" borderId="85" xfId="0" applyFont="1" applyFill="1" applyBorder="1" applyAlignment="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lignment vertical="center" wrapText="1"/>
    </xf>
    <xf numFmtId="0" fontId="51" fillId="5" borderId="118" xfId="0" applyFont="1" applyFill="1" applyBorder="1" applyAlignment="1">
      <alignment vertical="center" wrapText="1"/>
    </xf>
    <xf numFmtId="0" fontId="51" fillId="17" borderId="2" xfId="0" applyFont="1" applyFill="1" applyBorder="1" applyAlignment="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lignment horizontal="left" vertical="center" wrapText="1"/>
    </xf>
    <xf numFmtId="0" fontId="51" fillId="17" borderId="46" xfId="0" applyFont="1" applyFill="1" applyBorder="1" applyAlignment="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lignment vertical="center" wrapText="1"/>
    </xf>
    <xf numFmtId="49" fontId="51" fillId="17" borderId="13" xfId="0" applyNumberFormat="1" applyFont="1" applyFill="1" applyBorder="1" applyAlignment="1">
      <alignment horizontal="left" vertical="center" wrapText="1"/>
    </xf>
    <xf numFmtId="49" fontId="51" fillId="6" borderId="1" xfId="0" applyNumberFormat="1" applyFont="1" applyFill="1" applyBorder="1" applyAlignment="1">
      <alignment horizontal="center" vertical="center" wrapText="1"/>
    </xf>
    <xf numFmtId="0" fontId="51" fillId="2" borderId="15" xfId="0" applyFont="1" applyFill="1" applyBorder="1" applyAlignment="1">
      <alignment horizontal="left" vertical="center" wrapText="1"/>
    </xf>
    <xf numFmtId="0" fontId="51" fillId="17" borderId="60" xfId="0" applyFont="1" applyFill="1" applyBorder="1" applyAlignment="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lignment horizontal="left" vertical="center" wrapText="1"/>
    </xf>
    <xf numFmtId="0" fontId="51" fillId="6" borderId="60" xfId="0" applyFont="1" applyFill="1" applyBorder="1" applyAlignment="1">
      <alignment vertical="center" wrapText="1"/>
    </xf>
    <xf numFmtId="179" fontId="51" fillId="6" borderId="1" xfId="0" applyNumberFormat="1" applyFont="1" applyFill="1" applyBorder="1" applyAlignment="1">
      <alignment horizontal="center" vertical="center" wrapText="1"/>
    </xf>
    <xf numFmtId="49" fontId="51" fillId="6" borderId="15" xfId="0" applyNumberFormat="1" applyFont="1" applyFill="1" applyBorder="1" applyAlignment="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lignment horizontal="center" vertical="center" wrapText="1"/>
    </xf>
    <xf numFmtId="0" fontId="51" fillId="2" borderId="4" xfId="0" applyFont="1" applyFill="1" applyBorder="1" applyProtection="1">
      <alignment vertical="center"/>
      <protection locked="0"/>
    </xf>
    <xf numFmtId="0" fontId="51" fillId="2" borderId="7" xfId="0" applyFont="1" applyFill="1" applyBorder="1" applyAlignment="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Protection="1">
      <alignment vertical="center"/>
      <protection locked="0"/>
    </xf>
    <xf numFmtId="0" fontId="51" fillId="2" borderId="3" xfId="0" applyFont="1" applyFill="1" applyBorder="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193" fontId="51" fillId="6" borderId="1" xfId="0" applyNumberFormat="1" applyFont="1" applyFill="1" applyBorder="1" applyAlignment="1">
      <alignment vertical="center" wrapText="1"/>
    </xf>
    <xf numFmtId="0" fontId="51" fillId="6" borderId="13" xfId="0" applyFont="1" applyFill="1" applyBorder="1" applyAlignment="1">
      <alignment vertical="center" wrapText="1"/>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6" fillId="6" borderId="151" xfId="0" applyFont="1" applyFill="1" applyBorder="1" applyAlignment="1">
      <alignment vertical="center" wrapText="1"/>
    </xf>
    <xf numFmtId="0" fontId="56" fillId="0" borderId="151" xfId="0" applyFont="1" applyBorder="1" applyAlignment="1">
      <alignment vertical="center" wrapText="1"/>
    </xf>
    <xf numFmtId="0" fontId="56" fillId="6" borderId="5" xfId="0" applyFont="1" applyFill="1" applyBorder="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lignment vertical="center" wrapText="1"/>
    </xf>
    <xf numFmtId="0" fontId="56" fillId="6" borderId="14" xfId="0" applyFont="1" applyFill="1" applyBorder="1" applyAlignment="1">
      <alignment vertical="center" wrapText="1"/>
    </xf>
    <xf numFmtId="0" fontId="56" fillId="6" borderId="12" xfId="0" applyFont="1" applyFill="1" applyBorder="1" applyAlignment="1">
      <alignment vertical="center" wrapText="1"/>
    </xf>
    <xf numFmtId="0" fontId="56" fillId="6" borderId="27" xfId="0" applyFont="1" applyFill="1" applyBorder="1" applyAlignment="1">
      <alignment vertical="center" wrapText="1"/>
    </xf>
    <xf numFmtId="49" fontId="56" fillId="6" borderId="27" xfId="0" applyNumberFormat="1" applyFont="1" applyFill="1" applyBorder="1" applyAlignment="1">
      <alignment vertical="center" wrapText="1"/>
    </xf>
    <xf numFmtId="0" fontId="56" fillId="6" borderId="80" xfId="0" applyFont="1" applyFill="1" applyBorder="1" applyAlignment="1">
      <alignment vertical="center" wrapText="1"/>
    </xf>
    <xf numFmtId="49" fontId="56" fillId="6" borderId="80" xfId="0" applyNumberFormat="1" applyFont="1" applyFill="1" applyBorder="1" applyAlignment="1">
      <alignment vertical="center" wrapText="1"/>
    </xf>
    <xf numFmtId="49" fontId="56" fillId="6" borderId="81" xfId="0" applyNumberFormat="1" applyFont="1" applyFill="1" applyBorder="1" applyAlignment="1">
      <alignment vertical="center" wrapText="1"/>
    </xf>
    <xf numFmtId="0" fontId="56"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6" fillId="6" borderId="63" xfId="0" applyFont="1" applyFill="1" applyBorder="1" applyAlignment="1">
      <alignment vertical="center" wrapText="1"/>
    </xf>
    <xf numFmtId="0" fontId="56" fillId="6" borderId="34" xfId="0" applyFont="1" applyFill="1" applyBorder="1" applyAlignment="1">
      <alignment vertical="center" wrapText="1"/>
    </xf>
    <xf numFmtId="0" fontId="56" fillId="6" borderId="65" xfId="0" applyFont="1" applyFill="1" applyBorder="1">
      <alignment vertical="center"/>
    </xf>
    <xf numFmtId="0" fontId="51" fillId="6" borderId="64" xfId="0" applyFont="1" applyFill="1" applyBorder="1">
      <alignment vertical="center"/>
    </xf>
    <xf numFmtId="0" fontId="51"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1" fillId="6" borderId="0" xfId="0" applyNumberFormat="1" applyFont="1" applyFill="1" applyAlignment="1" applyProtection="1">
      <alignment vertical="center" wrapText="1"/>
      <protection locked="0"/>
    </xf>
    <xf numFmtId="0" fontId="51" fillId="6" borderId="7" xfId="0" applyFont="1" applyFill="1" applyBorder="1" applyAlignment="1">
      <alignment vertical="center" wrapText="1"/>
    </xf>
    <xf numFmtId="0" fontId="177" fillId="0" borderId="8" xfId="0" applyFont="1" applyBorder="1" applyAlignment="1" applyProtection="1">
      <alignment vertical="center" wrapText="1"/>
      <protection locked="0"/>
    </xf>
    <xf numFmtId="49" fontId="177" fillId="0" borderId="24" xfId="0" applyNumberFormat="1" applyFont="1" applyBorder="1" applyAlignment="1" applyProtection="1">
      <alignment vertical="center" wrapText="1"/>
      <protection locked="0"/>
    </xf>
    <xf numFmtId="49" fontId="51"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1" fillId="6" borderId="12" xfId="0" applyNumberFormat="1" applyFont="1" applyFill="1" applyBorder="1" applyAlignment="1">
      <alignment vertical="center" wrapText="1"/>
    </xf>
    <xf numFmtId="0" fontId="51" fillId="6" borderId="66" xfId="0" applyFont="1" applyFill="1" applyBorder="1" applyAlignment="1">
      <alignment vertical="center" wrapText="1"/>
    </xf>
    <xf numFmtId="0" fontId="177" fillId="0" borderId="49" xfId="0" applyFont="1" applyBorder="1" applyAlignment="1" applyProtection="1">
      <alignment vertical="center" wrapText="1"/>
      <protection locked="0"/>
    </xf>
    <xf numFmtId="0" fontId="51" fillId="6" borderId="32" xfId="0" applyFont="1" applyFill="1" applyBorder="1" applyAlignment="1">
      <alignment vertical="center" wrapText="1"/>
    </xf>
    <xf numFmtId="0" fontId="177" fillId="0" borderId="49" xfId="0" applyFont="1" applyBorder="1" applyProtection="1">
      <alignment vertical="center"/>
      <protection locked="0"/>
    </xf>
    <xf numFmtId="0" fontId="48" fillId="7" borderId="0" xfId="0" applyFont="1" applyFill="1" applyAlignment="1" applyProtection="1">
      <alignment vertical="center" wrapText="1"/>
      <protection locked="0"/>
    </xf>
    <xf numFmtId="49" fontId="48" fillId="7" borderId="0" xfId="0" applyNumberFormat="1" applyFont="1" applyFill="1" applyAlignment="1" applyProtection="1">
      <alignment vertical="center" wrapText="1"/>
      <protection locked="0"/>
    </xf>
    <xf numFmtId="0" fontId="56" fillId="6" borderId="0" xfId="0" applyFont="1" applyFill="1" applyAlignment="1" applyProtection="1">
      <alignment vertical="center" wrapText="1"/>
      <protection locked="0"/>
    </xf>
    <xf numFmtId="0" fontId="64"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3" fillId="6" borderId="104" xfId="0" applyFont="1" applyFill="1" applyBorder="1">
      <alignment vertical="center"/>
    </xf>
    <xf numFmtId="0" fontId="56" fillId="6" borderId="16" xfId="0" applyFont="1" applyFill="1" applyBorder="1" applyAlignment="1">
      <alignment vertical="center" wrapText="1"/>
    </xf>
    <xf numFmtId="0" fontId="56" fillId="6" borderId="31" xfId="0" applyFont="1" applyFill="1" applyBorder="1" applyAlignment="1">
      <alignment vertical="center" wrapText="1"/>
    </xf>
    <xf numFmtId="0" fontId="56" fillId="6" borderId="82" xfId="0" applyFont="1" applyFill="1" applyBorder="1" applyAlignment="1">
      <alignment vertical="center" wrapText="1"/>
    </xf>
    <xf numFmtId="0" fontId="51" fillId="6" borderId="6" xfId="0" applyFont="1" applyFill="1" applyBorder="1" applyAlignment="1">
      <alignment vertical="center" wrapText="1"/>
    </xf>
    <xf numFmtId="49" fontId="51" fillId="6" borderId="62" xfId="0" applyNumberFormat="1" applyFont="1" applyFill="1" applyBorder="1" applyAlignment="1">
      <alignment vertical="center" wrapText="1"/>
    </xf>
    <xf numFmtId="0" fontId="51" fillId="6" borderId="10" xfId="0" applyFont="1" applyFill="1" applyBorder="1" applyAlignment="1">
      <alignment vertical="center" wrapText="1"/>
    </xf>
    <xf numFmtId="0" fontId="51" fillId="6" borderId="41" xfId="0" applyFont="1" applyFill="1" applyBorder="1" applyAlignment="1">
      <alignment vertical="center" wrapText="1"/>
    </xf>
    <xf numFmtId="49" fontId="51" fillId="6" borderId="24" xfId="0" applyNumberFormat="1" applyFont="1" applyFill="1" applyBorder="1" applyAlignment="1">
      <alignment vertical="center" wrapText="1"/>
    </xf>
    <xf numFmtId="0" fontId="51" fillId="6" borderId="23" xfId="0" applyFont="1" applyFill="1" applyBorder="1" applyAlignment="1">
      <alignment vertical="center" wrapText="1"/>
    </xf>
    <xf numFmtId="0" fontId="51" fillId="6" borderId="24" xfId="0" applyFont="1" applyFill="1" applyBorder="1" applyAlignment="1">
      <alignment vertical="center" wrapText="1"/>
    </xf>
    <xf numFmtId="0" fontId="51" fillId="0" borderId="24" xfId="0" applyFont="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6" borderId="25" xfId="0" applyFont="1" applyFill="1" applyBorder="1" applyAlignment="1">
      <alignment vertical="center" wrapText="1"/>
    </xf>
    <xf numFmtId="0" fontId="51" fillId="0" borderId="49" xfId="0" applyFont="1" applyBorder="1" applyAlignment="1" applyProtection="1">
      <alignment vertical="center" wrapText="1"/>
      <protection locked="0"/>
    </xf>
    <xf numFmtId="0" fontId="51" fillId="6" borderId="49" xfId="0" applyFont="1" applyFill="1" applyBorder="1" applyAlignment="1">
      <alignment vertical="center" wrapText="1"/>
    </xf>
    <xf numFmtId="0" fontId="168" fillId="6" borderId="1" xfId="12" applyFont="1" applyFill="1" applyBorder="1" applyAlignment="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lignment horizontal="left" vertical="center" wrapText="1"/>
    </xf>
    <xf numFmtId="0" fontId="167" fillId="6" borderId="1" xfId="12" applyFill="1" applyBorder="1" applyAlignment="1">
      <alignment horizontal="left" vertical="center"/>
    </xf>
    <xf numFmtId="0" fontId="168" fillId="6" borderId="13" xfId="12" applyFont="1" applyFill="1" applyBorder="1" applyAlignment="1">
      <alignment horizontal="left" vertical="center" wrapText="1"/>
    </xf>
    <xf numFmtId="0" fontId="100" fillId="0" borderId="1" xfId="12" applyFont="1" applyBorder="1" applyAlignment="1" applyProtection="1">
      <alignment horizontal="left"/>
      <protection locked="0"/>
    </xf>
    <xf numFmtId="0" fontId="168" fillId="0" borderId="13" xfId="12" applyFont="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30" fillId="7" borderId="0" xfId="0" applyFont="1" applyFill="1">
      <alignment vertical="center"/>
    </xf>
    <xf numFmtId="0" fontId="106" fillId="7" borderId="0" xfId="0" applyFont="1" applyFill="1">
      <alignment vertical="center"/>
    </xf>
    <xf numFmtId="0" fontId="105" fillId="6" borderId="1" xfId="0" applyFont="1" applyFill="1" applyBorder="1" applyAlignment="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lignment horizontal="left" vertical="center"/>
    </xf>
    <xf numFmtId="9" fontId="51" fillId="6" borderId="24" xfId="0" applyNumberFormat="1" applyFont="1" applyFill="1" applyBorder="1" applyAlignment="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lignment horizontal="left" vertical="center"/>
    </xf>
    <xf numFmtId="0" fontId="52" fillId="0" borderId="24" xfId="0" applyFont="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lignment horizontal="left" vertical="center" wrapText="1"/>
    </xf>
    <xf numFmtId="0" fontId="51" fillId="6" borderId="41" xfId="0" applyFont="1" applyFill="1" applyBorder="1" applyAlignment="1">
      <alignment horizontal="left" vertical="center" wrapText="1"/>
    </xf>
    <xf numFmtId="10" fontId="51" fillId="6" borderId="1" xfId="0" applyNumberFormat="1" applyFont="1" applyFill="1" applyBorder="1" applyAlignment="1">
      <alignment horizontal="left" vertical="center"/>
    </xf>
    <xf numFmtId="0" fontId="51" fillId="6" borderId="24" xfId="0" applyFont="1" applyFill="1" applyBorder="1" applyAlignment="1">
      <alignment horizontal="left" vertical="center"/>
    </xf>
    <xf numFmtId="0" fontId="52"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51" fillId="19" borderId="33" xfId="0" applyFont="1" applyFill="1" applyBorder="1" applyAlignment="1">
      <alignment horizontal="left" vertical="center"/>
    </xf>
    <xf numFmtId="0" fontId="51" fillId="19" borderId="32" xfId="0" applyFont="1" applyFill="1" applyBorder="1" applyAlignment="1">
      <alignment horizontal="left" vertical="center" wrapText="1"/>
    </xf>
    <xf numFmtId="10" fontId="51" fillId="19"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8" fillId="6" borderId="2" xfId="0" applyNumberFormat="1" applyFont="1" applyFill="1" applyBorder="1" applyAlignment="1">
      <alignment horizontal="left" vertical="center" wrapText="1"/>
    </xf>
    <xf numFmtId="177" fontId="57" fillId="6" borderId="1" xfId="0" applyNumberFormat="1" applyFont="1" applyFill="1" applyBorder="1" applyAlignment="1">
      <alignment horizontal="left" vertical="center" wrapText="1"/>
    </xf>
    <xf numFmtId="177" fontId="57" fillId="0" borderId="1" xfId="0" applyNumberFormat="1"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177" fontId="58" fillId="6" borderId="1" xfId="0" applyNumberFormat="1" applyFont="1" applyFill="1" applyBorder="1" applyAlignment="1">
      <alignment horizontal="left" vertical="center" wrapText="1"/>
    </xf>
    <xf numFmtId="177" fontId="58" fillId="6" borderId="32" xfId="0" applyNumberFormat="1" applyFont="1" applyFill="1" applyBorder="1" applyAlignment="1">
      <alignment horizontal="left" vertical="center" wrapText="1"/>
    </xf>
    <xf numFmtId="10" fontId="57" fillId="6" borderId="32" xfId="0" applyNumberFormat="1" applyFont="1" applyFill="1" applyBorder="1" applyAlignment="1">
      <alignment horizontal="left" vertical="center" wrapText="1"/>
    </xf>
    <xf numFmtId="0" fontId="57" fillId="0" borderId="1" xfId="0" applyFont="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Border="1" applyAlignment="1" applyProtection="1">
      <alignment horizontal="left" vertical="center" wrapText="1"/>
      <protection locked="0"/>
    </xf>
    <xf numFmtId="9" fontId="48" fillId="6" borderId="0" xfId="0" applyNumberFormat="1" applyFont="1" applyFill="1" applyAlignment="1">
      <alignment horizontal="left" vertical="center"/>
    </xf>
    <xf numFmtId="10" fontId="57" fillId="6" borderId="1" xfId="0" applyNumberFormat="1" applyFont="1" applyFill="1" applyBorder="1" applyAlignment="1">
      <alignment horizontal="left" vertical="center" wrapText="1"/>
    </xf>
    <xf numFmtId="191" fontId="57" fillId="6" borderId="1" xfId="0" applyNumberFormat="1" applyFont="1" applyFill="1" applyBorder="1" applyAlignment="1">
      <alignment horizontal="left" vertical="center" wrapText="1"/>
    </xf>
    <xf numFmtId="10" fontId="56" fillId="6" borderId="5" xfId="0" applyNumberFormat="1" applyFont="1" applyFill="1" applyBorder="1" applyAlignment="1">
      <alignment horizontal="left" vertical="center" wrapText="1"/>
    </xf>
    <xf numFmtId="181" fontId="58" fillId="6" borderId="1"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57" fillId="6" borderId="32" xfId="0" applyFont="1" applyFill="1" applyBorder="1" applyAlignment="1">
      <alignment horizontal="left" vertical="center" wrapText="1"/>
    </xf>
    <xf numFmtId="0" fontId="57" fillId="6" borderId="5" xfId="0" applyFont="1" applyFill="1" applyBorder="1" applyAlignment="1">
      <alignment horizontal="left" vertical="center" wrapText="1"/>
    </xf>
    <xf numFmtId="191" fontId="57" fillId="0" borderId="1" xfId="0" applyNumberFormat="1" applyFont="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10" fillId="6" borderId="33" xfId="0" applyFont="1" applyFill="1" applyBorder="1" applyAlignment="1">
      <alignment horizontal="left" vertical="center" wrapText="1"/>
    </xf>
    <xf numFmtId="0" fontId="110" fillId="6" borderId="68" xfId="0" applyFont="1" applyFill="1" applyBorder="1" applyAlignment="1">
      <alignment horizontal="left" vertical="center" wrapText="1"/>
    </xf>
    <xf numFmtId="0" fontId="50" fillId="6" borderId="24" xfId="0" applyFont="1" applyFill="1" applyBorder="1" applyAlignment="1">
      <alignment horizontal="left" vertical="center"/>
    </xf>
    <xf numFmtId="0" fontId="48" fillId="19" borderId="24" xfId="0" applyFont="1" applyFill="1" applyBorder="1" applyAlignment="1">
      <alignment horizontal="left" vertical="center"/>
    </xf>
    <xf numFmtId="0" fontId="48" fillId="6" borderId="24" xfId="0" applyFont="1" applyFill="1" applyBorder="1" applyAlignment="1">
      <alignment horizontal="left" vertical="center"/>
    </xf>
    <xf numFmtId="0" fontId="56" fillId="6" borderId="24" xfId="0" applyFont="1" applyFill="1" applyBorder="1" applyAlignment="1">
      <alignment horizontal="left" vertical="center"/>
    </xf>
    <xf numFmtId="0" fontId="48" fillId="6" borderId="49" xfId="0"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lignment horizontal="left" vertical="center"/>
    </xf>
    <xf numFmtId="0" fontId="104"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Font="1" applyFill="1" applyBorder="1" applyAlignment="1">
      <alignment vertical="center" wrapText="1"/>
    </xf>
    <xf numFmtId="0" fontId="51" fillId="17" borderId="78" xfId="0" applyFont="1" applyFill="1" applyBorder="1" applyAlignment="1">
      <alignment vertical="center" wrapText="1"/>
    </xf>
    <xf numFmtId="0" fontId="51" fillId="6" borderId="5" xfId="0" applyFont="1" applyFill="1" applyBorder="1" applyAlignment="1">
      <alignment vertical="center" wrapText="1"/>
    </xf>
    <xf numFmtId="0" fontId="51" fillId="5" borderId="23"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1"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1" fillId="6" borderId="89" xfId="0" applyFont="1" applyFill="1" applyBorder="1" applyAlignment="1">
      <alignment vertical="center" wrapText="1"/>
    </xf>
    <xf numFmtId="0" fontId="51"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1" fillId="6" borderId="27" xfId="0" applyFont="1" applyFill="1" applyBorder="1" applyAlignment="1">
      <alignment horizontal="left" vertical="center"/>
    </xf>
    <xf numFmtId="0" fontId="51" fillId="0" borderId="96" xfId="0" applyFont="1" applyBorder="1" applyAlignment="1" applyProtection="1">
      <alignment horizontal="left" vertical="center" wrapText="1"/>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41" xfId="0" applyFont="1" applyFill="1" applyBorder="1">
      <alignment vertical="center"/>
    </xf>
    <xf numFmtId="0" fontId="48" fillId="6" borderId="61" xfId="0" applyFont="1" applyFill="1" applyBorder="1" applyAlignment="1">
      <alignment horizontal="center" vertical="center"/>
    </xf>
    <xf numFmtId="0" fontId="48" fillId="6" borderId="38" xfId="0" applyFont="1" applyFill="1" applyBorder="1">
      <alignment vertical="center"/>
    </xf>
    <xf numFmtId="0" fontId="48" fillId="0" borderId="49" xfId="0" applyFont="1" applyBorder="1" applyAlignment="1" applyProtection="1">
      <alignment horizontal="center" vertical="center"/>
      <protection locked="0"/>
    </xf>
    <xf numFmtId="0" fontId="51" fillId="6" borderId="82" xfId="0" applyFont="1" applyFill="1" applyBorder="1" applyAlignment="1">
      <alignment horizontal="center" vertical="center"/>
    </xf>
    <xf numFmtId="0" fontId="48" fillId="13" borderId="0" xfId="0" applyFont="1" applyFill="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Alignment="1" applyProtection="1">
      <alignment horizontal="center"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lignment vertical="center" wrapText="1"/>
    </xf>
    <xf numFmtId="0" fontId="51" fillId="13" borderId="60" xfId="0" applyFont="1" applyFill="1" applyBorder="1" applyAlignment="1">
      <alignment horizontal="center" vertical="center" wrapText="1"/>
    </xf>
    <xf numFmtId="0" fontId="51" fillId="13" borderId="7" xfId="0" applyFont="1" applyFill="1" applyBorder="1" applyAlignment="1">
      <alignment vertical="center" wrapText="1"/>
    </xf>
    <xf numFmtId="0" fontId="51" fillId="13" borderId="1" xfId="0" applyFont="1" applyFill="1" applyBorder="1" applyAlignment="1" applyProtection="1">
      <alignment horizontal="center" vertical="center" wrapText="1"/>
      <protection locked="0"/>
    </xf>
    <xf numFmtId="0" fontId="51" fillId="13" borderId="78" xfId="0" applyFont="1" applyFill="1" applyBorder="1" applyAlignment="1" applyProtection="1">
      <alignment horizontal="center" vertical="center" wrapText="1"/>
      <protection locked="0"/>
    </xf>
    <xf numFmtId="0" fontId="51" fillId="13" borderId="0" xfId="0" applyFont="1" applyFill="1" applyAlignment="1">
      <alignment vertical="center" wrapText="1"/>
    </xf>
    <xf numFmtId="0" fontId="51" fillId="13" borderId="0" xfId="0" applyFont="1" applyFill="1" applyProtection="1">
      <alignment vertical="center"/>
      <protection locked="0"/>
    </xf>
    <xf numFmtId="0" fontId="51" fillId="13" borderId="0" xfId="0" applyFont="1" applyFill="1" applyAlignment="1" applyProtection="1">
      <alignment horizontal="center" vertical="center"/>
      <protection locked="0"/>
    </xf>
    <xf numFmtId="179" fontId="51" fillId="13" borderId="0" xfId="0" applyNumberFormat="1" applyFont="1" applyFill="1" applyProtection="1">
      <alignment vertical="center"/>
      <protection locked="0"/>
    </xf>
    <xf numFmtId="179" fontId="48" fillId="13" borderId="0" xfId="0" applyNumberFormat="1" applyFont="1" applyFill="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19" fillId="13" borderId="0" xfId="0" applyFont="1" applyFill="1" applyProtection="1">
      <alignment vertical="center"/>
      <protection locked="0"/>
    </xf>
    <xf numFmtId="0" fontId="51" fillId="13" borderId="0" xfId="0" applyFont="1" applyFill="1">
      <alignment vertical="center"/>
    </xf>
    <xf numFmtId="181" fontId="104" fillId="13" borderId="0" xfId="0" applyNumberFormat="1" applyFont="1" applyFill="1" applyAlignment="1">
      <alignment horizontal="center" vertical="center"/>
    </xf>
    <xf numFmtId="179" fontId="106" fillId="13" borderId="0" xfId="0" applyNumberFormat="1" applyFont="1" applyFill="1" applyProtection="1">
      <alignment vertical="center"/>
      <protection locked="0"/>
    </xf>
    <xf numFmtId="0" fontId="48" fillId="13" borderId="0" xfId="0" applyFont="1" applyFill="1">
      <alignment vertical="center"/>
    </xf>
    <xf numFmtId="0" fontId="168" fillId="13" borderId="0" xfId="12" applyFont="1" applyFill="1" applyAlignment="1" applyProtection="1">
      <alignment horizontal="left" vertical="center" wrapText="1"/>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67" fillId="6" borderId="0" xfId="0" applyFont="1" applyFill="1" applyProtection="1">
      <alignment vertical="center"/>
      <protection locked="0"/>
    </xf>
    <xf numFmtId="49" fontId="66" fillId="6" borderId="0" xfId="0" applyNumberFormat="1" applyFont="1" applyFill="1" applyAlignment="1" applyProtection="1">
      <alignment horizontal="center"/>
      <protection locked="0"/>
    </xf>
    <xf numFmtId="49" fontId="66"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center"/>
      <protection locked="0"/>
    </xf>
    <xf numFmtId="49" fontId="58" fillId="6" borderId="0" xfId="0" applyNumberFormat="1" applyFont="1" applyFill="1" applyAlignment="1" applyProtection="1">
      <alignment horizontal="left"/>
      <protection locked="0"/>
    </xf>
    <xf numFmtId="49" fontId="58" fillId="6" borderId="0" xfId="0" applyNumberFormat="1" applyFont="1" applyFill="1" applyAlignment="1" applyProtection="1">
      <alignment horizontal="left" vertical="center"/>
      <protection locked="0"/>
    </xf>
    <xf numFmtId="0" fontId="57" fillId="6" borderId="0" xfId="0" applyFont="1" applyFill="1" applyAlignment="1" applyProtection="1">
      <alignment horizontal="left" vertical="center"/>
      <protection locked="0"/>
    </xf>
    <xf numFmtId="179" fontId="64" fillId="6" borderId="0" xfId="0" applyNumberFormat="1" applyFont="1" applyFill="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146" fillId="6" borderId="0" xfId="0" applyFont="1" applyFill="1" applyProtection="1">
      <alignment vertical="center"/>
      <protection locked="0"/>
    </xf>
    <xf numFmtId="177" fontId="58" fillId="7" borderId="0" xfId="0" applyNumberFormat="1" applyFont="1" applyFill="1" applyAlignment="1" applyProtection="1">
      <protection locked="0"/>
    </xf>
    <xf numFmtId="0" fontId="104" fillId="13" borderId="0" xfId="0" applyFont="1" applyFill="1">
      <alignment vertical="center"/>
    </xf>
    <xf numFmtId="0" fontId="217" fillId="13" borderId="0" xfId="0" applyFont="1" applyFill="1">
      <alignment vertical="center"/>
    </xf>
    <xf numFmtId="0" fontId="104" fillId="13" borderId="47" xfId="0" applyFont="1" applyFill="1" applyBorder="1">
      <alignment vertical="center"/>
    </xf>
    <xf numFmtId="0" fontId="104" fillId="13" borderId="56" xfId="0" applyFont="1" applyFill="1" applyBorder="1">
      <alignment vertical="center"/>
    </xf>
    <xf numFmtId="0" fontId="61" fillId="13" borderId="18" xfId="1" applyFont="1" applyFill="1" applyBorder="1">
      <alignment vertical="center"/>
    </xf>
    <xf numFmtId="181" fontId="61" fillId="13" borderId="0" xfId="0" applyNumberFormat="1" applyFont="1" applyFill="1" applyProtection="1">
      <alignment vertical="center"/>
      <protection locked="0"/>
    </xf>
    <xf numFmtId="0" fontId="61" fillId="13" borderId="0" xfId="0" applyFont="1" applyFill="1" applyAlignment="1" applyProtection="1">
      <alignment horizontal="center" vertical="center"/>
      <protection locked="0"/>
    </xf>
    <xf numFmtId="181" fontId="48" fillId="13" borderId="0" xfId="0" applyNumberFormat="1"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181" fontId="48"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wrapText="1"/>
      <protection locked="0"/>
    </xf>
    <xf numFmtId="181" fontId="72" fillId="13" borderId="0" xfId="0" applyNumberFormat="1" applyFont="1" applyFill="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181" fontId="55" fillId="13" borderId="0" xfId="0" applyNumberFormat="1" applyFont="1" applyFill="1" applyAlignment="1" applyProtection="1">
      <alignment vertical="center" wrapText="1"/>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Protection="1">
      <alignment vertical="center"/>
      <protection locked="0"/>
    </xf>
    <xf numFmtId="0" fontId="66" fillId="13" borderId="0" xfId="0" applyFont="1" applyFill="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Alignment="1" applyProtection="1">
      <alignment horizontal="center" vertical="center" wrapText="1"/>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Font="1" applyFill="1" applyAlignment="1" applyProtection="1">
      <alignment horizontal="center" vertical="center" wrapText="1"/>
      <protection locked="0"/>
    </xf>
    <xf numFmtId="0" fontId="72"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wrapText="1"/>
      <protection locked="0"/>
    </xf>
    <xf numFmtId="0" fontId="53" fillId="13" borderId="0" xfId="0" applyFont="1" applyFill="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55" fillId="13" borderId="0" xfId="0" applyFont="1" applyFill="1" applyAlignment="1" applyProtection="1">
      <protection locked="0"/>
    </xf>
    <xf numFmtId="0" fontId="48" fillId="0" borderId="74" xfId="0" applyFont="1" applyBorder="1" applyAlignment="1">
      <alignment horizontal="center" vertical="center" wrapText="1"/>
    </xf>
    <xf numFmtId="0" fontId="48" fillId="0" borderId="76" xfId="0" applyFont="1" applyBorder="1" applyAlignment="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104" fillId="13" borderId="0" xfId="0" applyFont="1" applyFill="1" applyProtection="1">
      <alignment vertical="center"/>
      <protection locked="0"/>
    </xf>
    <xf numFmtId="0" fontId="48" fillId="13" borderId="0" xfId="0" applyFont="1" applyFill="1" applyAlignment="1" applyProtection="1">
      <alignment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10" fontId="57" fillId="6" borderId="61" xfId="8" applyNumberFormat="1" applyFont="1" applyFill="1" applyBorder="1" applyAlignment="1">
      <alignment horizontal="center" vertical="center" wrapText="1"/>
    </xf>
    <xf numFmtId="0" fontId="57" fillId="6" borderId="6" xfId="0"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131" fillId="13" borderId="0" xfId="0" applyFont="1" applyFill="1" applyProtection="1">
      <alignment vertical="center"/>
      <protection locked="0"/>
    </xf>
    <xf numFmtId="0" fontId="51" fillId="0" borderId="3" xfId="0" applyFont="1" applyBorder="1" applyProtection="1">
      <alignment vertical="center"/>
      <protection locked="0"/>
    </xf>
    <xf numFmtId="0" fontId="48" fillId="0" borderId="22" xfId="0" applyFont="1" applyBorder="1" applyProtection="1">
      <alignment vertical="center"/>
      <protection locked="0"/>
    </xf>
    <xf numFmtId="0" fontId="48" fillId="0" borderId="61" xfId="0" applyFont="1" applyBorder="1" applyProtection="1">
      <alignment vertical="center"/>
      <protection locked="0"/>
    </xf>
    <xf numFmtId="0" fontId="130" fillId="13" borderId="0" xfId="0" applyFont="1" applyFill="1">
      <alignment vertical="center"/>
    </xf>
    <xf numFmtId="0" fontId="106" fillId="13" borderId="0" xfId="0" applyFont="1" applyFill="1">
      <alignment vertical="center"/>
    </xf>
    <xf numFmtId="0" fontId="253" fillId="13" borderId="0" xfId="0" applyFont="1" applyFill="1" applyAlignment="1">
      <alignment horizontal="left" vertical="center"/>
    </xf>
    <xf numFmtId="0" fontId="106" fillId="13" borderId="0" xfId="0" applyFont="1" applyFill="1" applyAlignment="1">
      <alignment horizontal="left" vertical="center"/>
    </xf>
    <xf numFmtId="0" fontId="119" fillId="13" borderId="0" xfId="0" applyFont="1" applyFill="1">
      <alignment vertical="center"/>
    </xf>
    <xf numFmtId="0" fontId="252" fillId="13" borderId="0" xfId="0" applyFont="1" applyFill="1">
      <alignment vertical="center"/>
    </xf>
    <xf numFmtId="0" fontId="130" fillId="13" borderId="0" xfId="0" applyFont="1" applyFill="1" applyAlignment="1">
      <alignment horizontal="left" vertical="center"/>
    </xf>
    <xf numFmtId="0" fontId="49" fillId="13" borderId="0" xfId="1" applyFont="1" applyFill="1">
      <alignment vertical="center"/>
    </xf>
    <xf numFmtId="0" fontId="49"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8" fillId="6" borderId="1" xfId="0" applyFont="1" applyFill="1" applyBorder="1" applyAlignment="1">
      <alignment horizontal="center" vertical="center"/>
    </xf>
    <xf numFmtId="0" fontId="108"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8"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81"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81" fillId="7" borderId="5" xfId="0" applyFont="1" applyFill="1" applyBorder="1" applyProtection="1">
      <alignment vertical="center"/>
      <protection locked="0"/>
    </xf>
    <xf numFmtId="0" fontId="81" fillId="13" borderId="0" xfId="0" applyFont="1" applyFill="1" applyAlignment="1" applyProtection="1">
      <alignment horizontal="center" vertical="center"/>
      <protection locked="0"/>
    </xf>
    <xf numFmtId="0" fontId="81" fillId="13" borderId="0" xfId="0" applyFont="1" applyFill="1" applyProtection="1">
      <alignment vertical="center"/>
      <protection locked="0"/>
    </xf>
    <xf numFmtId="0" fontId="171" fillId="13" borderId="0" xfId="0" applyFont="1" applyFill="1" applyProtection="1">
      <alignment vertical="center"/>
      <protection locked="0"/>
    </xf>
    <xf numFmtId="0" fontId="172" fillId="0" borderId="0" xfId="0" applyFont="1" applyAlignment="1" applyProtection="1">
      <alignment horizontal="center" vertical="center"/>
      <protection locked="0"/>
    </xf>
    <xf numFmtId="178" fontId="48" fillId="0" borderId="23" xfId="0" applyNumberFormat="1" applyFont="1" applyBorder="1" applyProtection="1">
      <alignment vertical="center"/>
      <protection locked="0"/>
    </xf>
    <xf numFmtId="0" fontId="135" fillId="0" borderId="51"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protection locked="0"/>
    </xf>
    <xf numFmtId="0" fontId="57" fillId="0" borderId="0" xfId="81" applyAlignment="1">
      <alignment horizontal="left" vertical="center"/>
    </xf>
    <xf numFmtId="0" fontId="57" fillId="5" borderId="0" xfId="81" applyFill="1" applyAlignment="1">
      <alignment horizontal="left" vertical="center"/>
    </xf>
    <xf numFmtId="0" fontId="119" fillId="0" borderId="0" xfId="81" applyFont="1" applyAlignment="1">
      <alignment horizontal="left" vertical="center"/>
    </xf>
    <xf numFmtId="0" fontId="271" fillId="0" borderId="0" xfId="585" applyAlignment="1">
      <alignment horizontal="left" vertical="center"/>
    </xf>
    <xf numFmtId="0" fontId="140" fillId="41" borderId="81" xfId="0" applyFont="1" applyFill="1" applyBorder="1" applyAlignment="1">
      <alignment horizontal="center" vertical="center" wrapText="1"/>
    </xf>
    <xf numFmtId="0" fontId="140" fillId="41" borderId="43" xfId="0" applyFont="1" applyFill="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wrapText="1"/>
    </xf>
    <xf numFmtId="0" fontId="191" fillId="0" borderId="43" xfId="0" applyFont="1" applyBorder="1" applyAlignment="1">
      <alignment horizontal="justify" vertical="center" wrapText="1"/>
    </xf>
    <xf numFmtId="0" fontId="191" fillId="0" borderId="43" xfId="0" applyFont="1" applyBorder="1" applyAlignment="1">
      <alignment horizontal="center" vertical="center" wrapText="1"/>
    </xf>
    <xf numFmtId="0" fontId="164" fillId="0" borderId="43" xfId="0" applyFont="1" applyBorder="1" applyAlignment="1">
      <alignment horizontal="center" vertical="center" wrapText="1"/>
    </xf>
    <xf numFmtId="0" fontId="273" fillId="0" borderId="80" xfId="0" applyFont="1" applyBorder="1" applyAlignment="1">
      <alignment horizontal="center" vertical="center" wrapText="1"/>
    </xf>
    <xf numFmtId="177" fontId="81" fillId="0" borderId="1" xfId="1" applyNumberFormat="1" applyFont="1" applyBorder="1" applyProtection="1">
      <alignment vertical="center"/>
      <protection locked="0" hidden="1"/>
    </xf>
    <xf numFmtId="0" fontId="99" fillId="0" borderId="78"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112" fillId="0" borderId="0" xfId="0" applyFont="1" applyAlignment="1">
      <alignment horizontal="left" vertical="center"/>
    </xf>
    <xf numFmtId="0" fontId="273" fillId="5" borderId="81" xfId="0" applyFont="1" applyFill="1" applyBorder="1" applyAlignment="1">
      <alignment horizontal="center" vertical="center" wrapText="1"/>
    </xf>
    <xf numFmtId="0" fontId="273" fillId="5" borderId="43" xfId="0" applyFont="1" applyFill="1" applyBorder="1" applyAlignment="1">
      <alignment horizontal="center" vertical="center" wrapText="1"/>
    </xf>
    <xf numFmtId="0" fontId="191" fillId="5" borderId="43" xfId="0" applyFont="1" applyFill="1" applyBorder="1" applyAlignment="1">
      <alignment horizontal="justify" vertical="center" wrapText="1"/>
    </xf>
    <xf numFmtId="0" fontId="191" fillId="5" borderId="43" xfId="0" applyFont="1" applyFill="1" applyBorder="1" applyAlignment="1">
      <alignment horizontal="center" vertical="center" wrapText="1"/>
    </xf>
    <xf numFmtId="0" fontId="0" fillId="5" borderId="0" xfId="0" applyFill="1">
      <alignment vertical="center"/>
    </xf>
    <xf numFmtId="0" fontId="164" fillId="5" borderId="43" xfId="0" applyFont="1" applyFill="1" applyBorder="1" applyAlignment="1">
      <alignment horizontal="center" vertical="center" wrapText="1"/>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14" fontId="112" fillId="0" borderId="1" xfId="0" applyNumberFormat="1" applyFont="1" applyBorder="1" applyAlignment="1">
      <alignment horizontal="left" vertical="center"/>
    </xf>
    <xf numFmtId="0" fontId="118" fillId="0" borderId="1" xfId="0" applyFont="1" applyBorder="1" applyAlignment="1">
      <alignment horizontal="left" vertical="center"/>
    </xf>
    <xf numFmtId="0" fontId="112" fillId="5" borderId="1" xfId="0" applyFont="1" applyFill="1" applyBorder="1" applyAlignment="1">
      <alignment horizontal="left" vertical="center" wrapText="1"/>
    </xf>
    <xf numFmtId="0" fontId="21" fillId="0" borderId="0" xfId="81" applyFont="1" applyAlignment="1">
      <alignment horizontal="left" vertical="center"/>
    </xf>
    <xf numFmtId="0" fontId="112" fillId="5" borderId="0" xfId="0" applyFont="1" applyFill="1" applyAlignment="1">
      <alignment horizontal="left" vertical="center"/>
    </xf>
    <xf numFmtId="0" fontId="275" fillId="0" borderId="1" xfId="0" applyFont="1" applyBorder="1" applyAlignment="1">
      <alignment horizontal="left" vertical="center" wrapText="1"/>
    </xf>
    <xf numFmtId="0" fontId="135" fillId="13" borderId="0" xfId="0" applyFont="1" applyFill="1" applyProtection="1">
      <alignment vertical="center"/>
      <protection locked="0"/>
    </xf>
    <xf numFmtId="0" fontId="135" fillId="0" borderId="5" xfId="0" applyFont="1" applyBorder="1" applyAlignment="1" applyProtection="1">
      <alignment horizontal="center" vertical="center" wrapText="1"/>
      <protection locked="0"/>
    </xf>
    <xf numFmtId="0" fontId="99" fillId="0" borderId="37" xfId="0" applyFont="1" applyBorder="1" applyAlignment="1" applyProtection="1">
      <alignment horizontal="center" vertical="center" wrapText="1"/>
      <protection locked="0"/>
    </xf>
    <xf numFmtId="0" fontId="135" fillId="0" borderId="37" xfId="0" applyFont="1" applyBorder="1" applyAlignment="1" applyProtection="1">
      <alignment horizontal="center" vertical="center" wrapText="1"/>
      <protection locked="0"/>
    </xf>
    <xf numFmtId="179" fontId="48" fillId="0" borderId="23" xfId="0" applyNumberFormat="1" applyFont="1" applyBorder="1" applyProtection="1">
      <alignment vertical="center"/>
      <protection locked="0"/>
    </xf>
    <xf numFmtId="1" fontId="168" fillId="13" borderId="0" xfId="12" applyNumberFormat="1" applyFont="1" applyFill="1" applyAlignment="1" applyProtection="1">
      <alignment horizontal="left" vertical="center" wrapText="1"/>
      <protection locked="0"/>
    </xf>
    <xf numFmtId="2" fontId="112" fillId="0" borderId="0" xfId="0" applyNumberFormat="1" applyFont="1">
      <alignment vertical="center"/>
    </xf>
    <xf numFmtId="2" fontId="112" fillId="0" borderId="0" xfId="0" applyNumberFormat="1" applyFont="1" applyAlignment="1">
      <alignment horizontal="left" vertical="center"/>
    </xf>
    <xf numFmtId="179" fontId="51" fillId="9" borderId="1" xfId="0" applyNumberFormat="1" applyFont="1" applyFill="1" applyBorder="1" applyAlignment="1" applyProtection="1">
      <alignment horizontal="center" vertical="center" wrapText="1"/>
      <protection locked="0"/>
    </xf>
    <xf numFmtId="1" fontId="167" fillId="13" borderId="0" xfId="12" applyNumberFormat="1" applyFill="1" applyAlignment="1" applyProtection="1">
      <alignment horizontal="left"/>
      <protection locked="0"/>
    </xf>
    <xf numFmtId="0" fontId="100" fillId="0" borderId="0" xfId="0" applyFont="1" applyAlignment="1">
      <alignment vertical="center" wrapText="1"/>
    </xf>
    <xf numFmtId="0" fontId="100" fillId="5" borderId="0" xfId="0" applyFont="1" applyFill="1">
      <alignment vertical="center"/>
    </xf>
    <xf numFmtId="0" fontId="276" fillId="0" borderId="1" xfId="0" applyFont="1" applyBorder="1" applyAlignment="1" applyProtection="1">
      <alignment horizontal="center" vertical="center" wrapText="1"/>
      <protection locked="0"/>
    </xf>
    <xf numFmtId="177" fontId="55" fillId="0" borderId="1" xfId="80" applyNumberFormat="1" applyFont="1" applyBorder="1" applyAlignment="1" applyProtection="1">
      <alignment horizontal="center" vertical="center" wrapText="1"/>
      <protection locked="0"/>
    </xf>
    <xf numFmtId="0" fontId="276" fillId="0" borderId="5" xfId="0" applyFont="1" applyBorder="1" applyAlignment="1" applyProtection="1">
      <alignment horizontal="center" vertical="center" wrapText="1"/>
      <protection locked="0"/>
    </xf>
    <xf numFmtId="0" fontId="277" fillId="0" borderId="167" xfId="0" applyFont="1" applyBorder="1" applyAlignment="1">
      <alignment horizontal="justify" vertical="center" wrapText="1"/>
    </xf>
    <xf numFmtId="0" fontId="277" fillId="0" borderId="168" xfId="0" applyFont="1" applyBorder="1" applyAlignment="1">
      <alignment horizontal="justify" vertical="center" wrapText="1"/>
    </xf>
    <xf numFmtId="0" fontId="278" fillId="0" borderId="169" xfId="0" applyFont="1" applyBorder="1" applyAlignment="1">
      <alignment horizontal="justify" vertical="center" wrapText="1"/>
    </xf>
    <xf numFmtId="0" fontId="279" fillId="0" borderId="170" xfId="0" applyFont="1" applyBorder="1" applyAlignment="1">
      <alignment horizontal="justify" vertical="center" wrapText="1"/>
    </xf>
    <xf numFmtId="0" fontId="280" fillId="0" borderId="170" xfId="0" applyFont="1" applyBorder="1" applyAlignment="1">
      <alignment horizontal="justify" vertical="center" wrapText="1"/>
    </xf>
    <xf numFmtId="10" fontId="278" fillId="0" borderId="170" xfId="0" applyNumberFormat="1" applyFont="1" applyBorder="1" applyAlignment="1">
      <alignment horizontal="justify" vertical="center" wrapText="1"/>
    </xf>
    <xf numFmtId="0" fontId="280" fillId="0" borderId="169" xfId="0" applyFont="1" applyBorder="1" applyAlignment="1">
      <alignment horizontal="justify" vertical="center" wrapText="1"/>
    </xf>
    <xf numFmtId="0" fontId="281" fillId="0" borderId="170" xfId="0" applyFont="1" applyBorder="1" applyAlignment="1">
      <alignment horizontal="justify" vertical="center" wrapText="1"/>
    </xf>
    <xf numFmtId="0" fontId="280" fillId="0" borderId="170" xfId="0" applyFont="1" applyBorder="1" applyAlignment="1">
      <alignment horizontal="justify" wrapText="1"/>
    </xf>
    <xf numFmtId="0" fontId="278" fillId="0" borderId="170" xfId="0" applyFont="1" applyBorder="1" applyAlignment="1">
      <alignment horizontal="justify" vertical="center" wrapText="1"/>
    </xf>
    <xf numFmtId="0" fontId="280" fillId="0" borderId="171" xfId="0" applyFont="1" applyBorder="1" applyAlignment="1">
      <alignment horizontal="justify" vertical="center" wrapText="1"/>
    </xf>
    <xf numFmtId="0" fontId="281" fillId="0" borderId="171" xfId="0" applyFont="1" applyBorder="1" applyAlignment="1">
      <alignment horizontal="justify" vertical="center" wrapText="1"/>
    </xf>
    <xf numFmtId="9" fontId="280" fillId="0" borderId="171" xfId="0" applyNumberFormat="1" applyFont="1" applyBorder="1" applyAlignment="1">
      <alignment horizontal="justify" vertical="center"/>
    </xf>
    <xf numFmtId="0" fontId="279" fillId="0" borderId="173" xfId="0" applyFont="1" applyBorder="1" applyAlignment="1">
      <alignment horizontal="justify" vertical="center" wrapText="1"/>
    </xf>
    <xf numFmtId="0" fontId="280" fillId="0" borderId="43" xfId="0" applyFont="1" applyBorder="1" applyAlignment="1">
      <alignment horizontal="justify" vertical="center" wrapText="1"/>
    </xf>
    <xf numFmtId="0" fontId="281" fillId="0" borderId="43" xfId="0" applyFont="1" applyBorder="1" applyAlignment="1">
      <alignment horizontal="justify" vertical="center" wrapText="1"/>
    </xf>
    <xf numFmtId="10" fontId="280" fillId="0" borderId="43" xfId="0" applyNumberFormat="1" applyFont="1" applyBorder="1" applyAlignment="1">
      <alignment horizontal="justify" vertical="center"/>
    </xf>
    <xf numFmtId="0" fontId="280" fillId="0" borderId="43" xfId="0" applyFont="1" applyBorder="1" applyAlignment="1">
      <alignment horizontal="justify" vertical="center"/>
    </xf>
    <xf numFmtId="0" fontId="278" fillId="0" borderId="171" xfId="0" applyFont="1" applyBorder="1" applyAlignment="1">
      <alignment horizontal="justify" vertical="center" wrapText="1"/>
    </xf>
    <xf numFmtId="0" fontId="279" fillId="0" borderId="171" xfId="0" applyFont="1" applyBorder="1" applyAlignment="1">
      <alignment horizontal="justify" vertical="center" wrapText="1"/>
    </xf>
    <xf numFmtId="0" fontId="278" fillId="0" borderId="43" xfId="0" applyFont="1" applyBorder="1" applyAlignment="1">
      <alignment horizontal="justify" vertical="center" wrapText="1"/>
    </xf>
    <xf numFmtId="0" fontId="279" fillId="0" borderId="43" xfId="0" applyFont="1" applyBorder="1" applyAlignment="1">
      <alignment horizontal="justify" vertical="center" wrapText="1"/>
    </xf>
    <xf numFmtId="0" fontId="142" fillId="0" borderId="1" xfId="0" applyFont="1" applyBorder="1" applyAlignment="1">
      <alignment horizontal="center" vertical="center"/>
    </xf>
    <xf numFmtId="0" fontId="142" fillId="39" borderId="1" xfId="0" applyFont="1" applyFill="1" applyBorder="1" applyAlignment="1">
      <alignment horizontal="center" vertical="center"/>
    </xf>
    <xf numFmtId="0" fontId="39" fillId="0" borderId="0" xfId="0" applyFont="1" applyAlignment="1">
      <alignment horizontal="center" vertical="center"/>
    </xf>
    <xf numFmtId="0" fontId="282" fillId="9" borderId="1" xfId="0" applyFont="1" applyFill="1" applyBorder="1" applyAlignment="1">
      <alignment horizontal="center" vertical="center" wrapText="1"/>
    </xf>
    <xf numFmtId="177" fontId="282" fillId="9" borderId="1" xfId="0" applyNumberFormat="1" applyFont="1" applyFill="1" applyBorder="1" applyAlignment="1">
      <alignment horizontal="center" vertical="center" wrapText="1"/>
    </xf>
    <xf numFmtId="0" fontId="142" fillId="26" borderId="1" xfId="0" applyFont="1" applyFill="1" applyBorder="1" applyAlignment="1">
      <alignment horizontal="center" vertical="center"/>
    </xf>
    <xf numFmtId="9" fontId="0" fillId="5" borderId="0" xfId="0" applyNumberFormat="1" applyFill="1">
      <alignment vertical="center"/>
    </xf>
    <xf numFmtId="0" fontId="281" fillId="5" borderId="43" xfId="0" applyFont="1" applyFill="1" applyBorder="1" applyAlignment="1">
      <alignment horizontal="justify" vertical="center" wrapText="1"/>
    </xf>
    <xf numFmtId="10" fontId="57" fillId="6" borderId="1" xfId="0" applyNumberFormat="1" applyFont="1" applyFill="1" applyBorder="1" applyAlignment="1">
      <alignment horizontal="left" vertical="center"/>
    </xf>
    <xf numFmtId="9" fontId="57" fillId="6" borderId="1" xfId="0" applyNumberFormat="1" applyFont="1" applyFill="1" applyBorder="1" applyAlignment="1">
      <alignment horizontal="left" vertical="center"/>
    </xf>
    <xf numFmtId="9" fontId="57" fillId="6" borderId="13" xfId="0" applyNumberFormat="1" applyFont="1" applyFill="1" applyBorder="1" applyAlignment="1">
      <alignment horizontal="left" vertical="center"/>
    </xf>
    <xf numFmtId="0" fontId="57" fillId="6" borderId="4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7" fillId="6" borderId="58" xfId="0" applyFont="1" applyFill="1" applyBorder="1" applyAlignment="1">
      <alignment horizontal="left" vertical="center" wrapText="1"/>
    </xf>
    <xf numFmtId="0" fontId="57" fillId="6" borderId="35" xfId="0" applyFont="1" applyFill="1" applyBorder="1" applyAlignment="1">
      <alignment horizontal="left" vertical="center" wrapText="1"/>
    </xf>
    <xf numFmtId="0" fontId="57" fillId="6" borderId="4"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6" xfId="0" applyFont="1" applyFill="1" applyBorder="1" applyAlignment="1">
      <alignment horizontal="left" vertical="center" wrapText="1"/>
    </xf>
    <xf numFmtId="0" fontId="284" fillId="6" borderId="54" xfId="0" applyFont="1" applyFill="1" applyBorder="1" applyAlignment="1">
      <alignment horizontal="left" vertical="center"/>
    </xf>
    <xf numFmtId="0" fontId="284" fillId="6" borderId="0" xfId="0" applyFont="1" applyFill="1" applyAlignment="1">
      <alignment horizontal="left" vertical="center" wrapText="1"/>
    </xf>
    <xf numFmtId="0" fontId="284" fillId="6" borderId="60" xfId="0" applyFont="1" applyFill="1" applyBorder="1" applyAlignment="1">
      <alignment horizontal="left" vertical="center" wrapText="1"/>
    </xf>
    <xf numFmtId="0" fontId="135" fillId="0" borderId="2" xfId="0" applyFont="1" applyBorder="1" applyAlignment="1" applyProtection="1">
      <alignment horizontal="center" vertical="center" wrapText="1"/>
      <protection locked="0"/>
    </xf>
    <xf numFmtId="0" fontId="281" fillId="0" borderId="0" xfId="0" applyFont="1" applyAlignment="1">
      <alignment horizontal="justify" vertical="center" wrapText="1"/>
    </xf>
    <xf numFmtId="0" fontId="280" fillId="0" borderId="0" xfId="0" applyFont="1" applyAlignment="1">
      <alignment horizontal="justify" vertical="center" wrapText="1"/>
    </xf>
    <xf numFmtId="49" fontId="48" fillId="0" borderId="23" xfId="0" applyNumberFormat="1" applyFont="1" applyBorder="1" applyAlignment="1" applyProtection="1">
      <alignment horizontal="center" vertical="center" wrapText="1"/>
      <protection locked="0"/>
    </xf>
    <xf numFmtId="0" fontId="2" fillId="13" borderId="0" xfId="12" applyFont="1" applyFill="1" applyAlignment="1" applyProtection="1">
      <alignment horizontal="left"/>
      <protection locked="0"/>
    </xf>
    <xf numFmtId="0" fontId="135" fillId="0" borderId="33" xfId="0" applyFont="1" applyBorder="1" applyAlignment="1" applyProtection="1">
      <alignment horizontal="center" vertical="center" wrapText="1"/>
      <protection locked="0"/>
    </xf>
    <xf numFmtId="9" fontId="55" fillId="0" borderId="38" xfId="0" applyNumberFormat="1" applyFont="1" applyBorder="1" applyAlignment="1" applyProtection="1">
      <alignment horizontal="center" vertical="center" wrapText="1"/>
      <protection locked="0"/>
    </xf>
    <xf numFmtId="9" fontId="0" fillId="0" borderId="0" xfId="0" applyNumberFormat="1">
      <alignment vertical="center"/>
    </xf>
    <xf numFmtId="181" fontId="58" fillId="17" borderId="24" xfId="0" applyNumberFormat="1" applyFont="1" applyFill="1" applyBorder="1" applyAlignment="1">
      <alignment horizontal="center" vertical="center"/>
    </xf>
    <xf numFmtId="181" fontId="56" fillId="17" borderId="24" xfId="0" applyNumberFormat="1" applyFont="1" applyFill="1" applyBorder="1" applyAlignment="1">
      <alignment horizontal="center" vertical="center"/>
    </xf>
    <xf numFmtId="49" fontId="48" fillId="17" borderId="26" xfId="0" applyNumberFormat="1" applyFont="1" applyFill="1" applyBorder="1" applyAlignment="1" applyProtection="1">
      <alignment horizontal="center" vertical="center" wrapText="1"/>
      <protection locked="0"/>
    </xf>
    <xf numFmtId="9" fontId="278" fillId="0" borderId="170" xfId="0" applyNumberFormat="1" applyFont="1" applyBorder="1" applyAlignment="1">
      <alignment horizontal="justify" vertical="center" wrapText="1"/>
    </xf>
    <xf numFmtId="10" fontId="280" fillId="0" borderId="170" xfId="0" applyNumberFormat="1" applyFont="1" applyBorder="1" applyAlignment="1">
      <alignment horizontal="justify" vertical="center" wrapText="1"/>
    </xf>
    <xf numFmtId="10" fontId="280" fillId="0" borderId="174" xfId="0" applyNumberFormat="1" applyFont="1" applyBorder="1" applyAlignment="1">
      <alignment horizontal="justify" vertical="center" wrapText="1"/>
    </xf>
    <xf numFmtId="0" fontId="281" fillId="0" borderId="175" xfId="0" applyFont="1" applyBorder="1" applyAlignment="1">
      <alignment horizontal="justify" vertical="center" wrapText="1"/>
    </xf>
    <xf numFmtId="0" fontId="199" fillId="0" borderId="0" xfId="5" applyFont="1" applyAlignment="1">
      <alignment horizontal="left" vertical="top" wrapText="1"/>
    </xf>
    <xf numFmtId="0" fontId="49" fillId="0" borderId="13" xfId="7" applyFont="1" applyBorder="1" applyAlignment="1">
      <alignment horizontal="left" vertical="center" wrapText="1"/>
    </xf>
    <xf numFmtId="0" fontId="49" fillId="0" borderId="15" xfId="7" applyFont="1" applyBorder="1" applyAlignment="1">
      <alignment horizontal="left" vertical="center" wrapText="1"/>
    </xf>
    <xf numFmtId="0" fontId="49" fillId="0" borderId="77" xfId="7" applyFont="1" applyBorder="1" applyAlignment="1">
      <alignment horizontal="left" vertical="center" wrapText="1"/>
    </xf>
    <xf numFmtId="0" fontId="209" fillId="0" borderId="87" xfId="7" applyFont="1" applyBorder="1" applyAlignment="1">
      <alignment horizontal="center" vertical="center"/>
    </xf>
    <xf numFmtId="0" fontId="137" fillId="0" borderId="0" xfId="7" applyFont="1" applyAlignment="1">
      <alignment horizontal="left" vertical="center" wrapText="1"/>
    </xf>
    <xf numFmtId="0" fontId="209" fillId="0" borderId="0" xfId="7" applyFont="1" applyAlignment="1">
      <alignment horizontal="center" vertical="center"/>
    </xf>
    <xf numFmtId="0" fontId="49" fillId="0" borderId="2" xfId="7" applyFont="1" applyBorder="1" applyAlignment="1">
      <alignment horizontal="left" vertical="center" wrapText="1"/>
    </xf>
    <xf numFmtId="0" fontId="49" fillId="0" borderId="13" xfId="7" applyFont="1" applyBorder="1" applyAlignment="1">
      <alignment vertical="center" wrapText="1"/>
    </xf>
    <xf numFmtId="0" fontId="49" fillId="0" borderId="15" xfId="7" applyFont="1" applyBorder="1" applyAlignment="1">
      <alignment vertical="center" wrapText="1"/>
    </xf>
    <xf numFmtId="0" fontId="49" fillId="0" borderId="2" xfId="7" applyFont="1" applyBorder="1" applyAlignment="1">
      <alignment vertical="center" wrapText="1"/>
    </xf>
    <xf numFmtId="0" fontId="65" fillId="0" borderId="78" xfId="0" applyFont="1" applyBorder="1" applyAlignment="1">
      <alignment horizontal="center" vertical="center" wrapText="1"/>
    </xf>
    <xf numFmtId="182" fontId="65" fillId="0" borderId="78" xfId="0" applyNumberFormat="1" applyFont="1" applyBorder="1" applyAlignment="1">
      <alignment horizontal="center" vertical="center" wrapText="1"/>
    </xf>
    <xf numFmtId="0" fontId="51" fillId="0" borderId="0" xfId="0" applyFont="1" applyAlignment="1">
      <alignment horizontal="left" vertical="center"/>
    </xf>
    <xf numFmtId="0" fontId="49" fillId="0" borderId="1" xfId="0" applyFont="1" applyBorder="1" applyAlignment="1">
      <alignment horizontal="center" vertical="center" wrapText="1"/>
    </xf>
    <xf numFmtId="0" fontId="65" fillId="0" borderId="1" xfId="0" applyFont="1" applyBorder="1" applyAlignment="1">
      <alignment horizontal="center" vertical="center" wrapText="1"/>
    </xf>
    <xf numFmtId="182" fontId="65" fillId="0" borderId="1" xfId="0" applyNumberFormat="1" applyFont="1" applyBorder="1" applyAlignment="1">
      <alignment horizontal="center" vertical="center" wrapText="1"/>
    </xf>
    <xf numFmtId="182" fontId="65" fillId="0" borderId="5" xfId="0" applyNumberFormat="1" applyFont="1" applyBorder="1" applyAlignment="1">
      <alignment horizontal="center" vertical="center" wrapText="1"/>
    </xf>
    <xf numFmtId="182" fontId="65" fillId="0" borderId="54" xfId="0" applyNumberFormat="1" applyFont="1" applyBorder="1" applyAlignment="1">
      <alignment horizontal="center" vertical="center" wrapText="1"/>
    </xf>
    <xf numFmtId="182" fontId="65" fillId="0" borderId="3" xfId="0" applyNumberFormat="1" applyFont="1" applyBorder="1" applyAlignment="1">
      <alignment horizontal="center" vertical="center" wrapText="1"/>
    </xf>
    <xf numFmtId="0" fontId="218" fillId="0" borderId="0" xfId="0" applyFont="1" applyAlignment="1">
      <alignment horizontal="center" vertical="center"/>
    </xf>
    <xf numFmtId="0" fontId="65" fillId="0" borderId="44" xfId="0" applyFont="1" applyBorder="1" applyAlignment="1">
      <alignment horizontal="center" vertical="center" wrapText="1"/>
    </xf>
    <xf numFmtId="0" fontId="132"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4" fillId="0" borderId="0" xfId="0" applyFont="1" applyAlignment="1">
      <alignment vertical="center" wrapText="1"/>
    </xf>
    <xf numFmtId="0" fontId="175" fillId="0" borderId="0" xfId="0" applyFont="1" applyAlignment="1" applyProtection="1">
      <alignment vertical="center" wrapText="1"/>
      <protection locked="0"/>
    </xf>
    <xf numFmtId="0" fontId="131" fillId="0" borderId="0" xfId="0" applyFont="1" applyAlignment="1">
      <alignment horizontal="left" vertical="center" wrapText="1"/>
    </xf>
    <xf numFmtId="0" fontId="209" fillId="0" borderId="0" xfId="0" applyFont="1" applyAlignment="1">
      <alignment horizontal="left" vertical="center"/>
    </xf>
    <xf numFmtId="0" fontId="209" fillId="0" borderId="0" xfId="0" applyFont="1" applyAlignment="1">
      <alignment horizontal="justify" vertical="center" wrapText="1"/>
    </xf>
    <xf numFmtId="0" fontId="65" fillId="0" borderId="0" xfId="0" applyFont="1" applyAlignment="1">
      <alignment horizontal="left" vertical="center" wrapText="1"/>
    </xf>
    <xf numFmtId="0" fontId="230" fillId="0" borderId="5"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100" fillId="0" borderId="1" xfId="0" applyFont="1" applyBorder="1" applyAlignment="1">
      <alignment horizontal="left" vertical="center"/>
    </xf>
    <xf numFmtId="0" fontId="100" fillId="9" borderId="1" xfId="0" applyFont="1" applyFill="1" applyBorder="1" applyAlignment="1">
      <alignment horizontal="left" vertical="center"/>
    </xf>
    <xf numFmtId="0" fontId="100" fillId="5" borderId="13" xfId="0" applyFont="1" applyFill="1" applyBorder="1" applyAlignment="1">
      <alignment horizontal="left" vertical="center"/>
    </xf>
    <xf numFmtId="0" fontId="100" fillId="5" borderId="15" xfId="0" applyFont="1" applyFill="1" applyBorder="1" applyAlignment="1">
      <alignment horizontal="left" vertical="center"/>
    </xf>
    <xf numFmtId="0" fontId="100"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100" fillId="6" borderId="0" xfId="0" applyFont="1" applyFill="1" applyAlignment="1">
      <alignment horizontal="center" vertical="center" wrapText="1"/>
    </xf>
    <xf numFmtId="0" fontId="51" fillId="6" borderId="1" xfId="0" applyFont="1" applyFill="1" applyBorder="1" applyAlignment="1">
      <alignment horizontal="center" vertical="center" wrapText="1"/>
    </xf>
    <xf numFmtId="0" fontId="51" fillId="6" borderId="15" xfId="0" applyFont="1" applyFill="1" applyBorder="1" applyAlignment="1">
      <alignment horizontal="left" vertical="center"/>
    </xf>
    <xf numFmtId="0" fontId="51" fillId="6" borderId="2" xfId="0" applyFont="1" applyFill="1" applyBorder="1" applyAlignment="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34" xfId="0" applyFont="1" applyFill="1" applyBorder="1" applyAlignment="1">
      <alignment horizontal="left" vertical="center" wrapText="1"/>
    </xf>
    <xf numFmtId="0" fontId="51" fillId="6" borderId="64" xfId="0" applyFont="1" applyFill="1" applyBorder="1" applyAlignment="1">
      <alignment horizontal="left" vertical="center" wrapText="1"/>
    </xf>
    <xf numFmtId="0" fontId="51" fillId="6" borderId="65" xfId="0" applyFont="1" applyFill="1" applyBorder="1" applyAlignment="1">
      <alignment horizontal="left" vertical="center" wrapText="1"/>
    </xf>
    <xf numFmtId="0" fontId="51" fillId="17" borderId="13" xfId="0" applyFont="1" applyFill="1" applyBorder="1" applyAlignment="1">
      <alignment horizontal="center" vertical="center" wrapText="1"/>
    </xf>
    <xf numFmtId="0" fontId="51" fillId="17" borderId="103"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6" xfId="0" applyFont="1" applyFill="1" applyBorder="1">
      <alignment vertical="center"/>
    </xf>
    <xf numFmtId="0" fontId="51" fillId="6" borderId="10" xfId="0" applyFont="1" applyFill="1" applyBorder="1">
      <alignment vertical="center"/>
    </xf>
    <xf numFmtId="0" fontId="51" fillId="6" borderId="51" xfId="0" applyFont="1" applyFill="1" applyBorder="1">
      <alignment vertical="center"/>
    </xf>
    <xf numFmtId="0" fontId="51"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5"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123" fillId="0" borderId="4" xfId="0" applyFont="1" applyBorder="1" applyAlignment="1">
      <alignment horizontal="center" vertical="center"/>
    </xf>
    <xf numFmtId="0" fontId="123"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48" fillId="6" borderId="6" xfId="0" applyFont="1" applyFill="1" applyBorder="1" applyAlignment="1">
      <alignment horizontal="center" vertical="center"/>
    </xf>
    <xf numFmtId="0" fontId="48" fillId="6" borderId="9" xfId="0" applyFont="1" applyFill="1" applyBorder="1" applyAlignment="1">
      <alignment horizontal="center" vertical="center"/>
    </xf>
    <xf numFmtId="0" fontId="48" fillId="6" borderId="10" xfId="0" applyFont="1" applyFill="1" applyBorder="1" applyAlignment="1">
      <alignment horizontal="center" vertical="center"/>
    </xf>
    <xf numFmtId="0" fontId="50" fillId="6" borderId="40" xfId="0" applyFont="1" applyFill="1" applyBorder="1" applyAlignment="1">
      <alignment horizontal="center" vertical="center"/>
    </xf>
    <xf numFmtId="0" fontId="50" fillId="6" borderId="17" xfId="0" applyFont="1" applyFill="1" applyBorder="1" applyAlignment="1">
      <alignment horizontal="center" vertical="center"/>
    </xf>
    <xf numFmtId="0" fontId="50" fillId="6" borderId="62"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51" xfId="0" applyFont="1" applyFill="1" applyBorder="1" applyAlignment="1">
      <alignment horizontal="center" vertical="center"/>
    </xf>
    <xf numFmtId="0" fontId="50" fillId="6" borderId="20" xfId="0" applyFont="1" applyFill="1" applyBorder="1" applyAlignment="1">
      <alignment horizontal="center" vertical="center"/>
    </xf>
    <xf numFmtId="0" fontId="50"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73" fillId="6" borderId="105" xfId="0" applyFont="1" applyFill="1" applyBorder="1">
      <alignment vertical="center"/>
    </xf>
    <xf numFmtId="0" fontId="73" fillId="6" borderId="101" xfId="0" applyFont="1" applyFill="1" applyBorder="1">
      <alignment vertical="center"/>
    </xf>
    <xf numFmtId="0" fontId="281" fillId="0" borderId="172" xfId="0" applyFont="1" applyBorder="1" applyAlignment="1">
      <alignment horizontal="justify" vertical="center" wrapText="1"/>
    </xf>
    <xf numFmtId="0" fontId="281" fillId="0" borderId="168" xfId="0" applyFont="1" applyBorder="1" applyAlignment="1">
      <alignment horizontal="justify" vertical="center" wrapText="1"/>
    </xf>
    <xf numFmtId="0" fontId="142" fillId="0" borderId="13" xfId="0" applyFont="1" applyBorder="1" applyAlignment="1">
      <alignment horizontal="center" vertical="center"/>
    </xf>
    <xf numFmtId="0" fontId="142" fillId="0" borderId="2" xfId="0" applyFont="1" applyBorder="1" applyAlignment="1">
      <alignment horizontal="center" vertical="center"/>
    </xf>
    <xf numFmtId="0" fontId="142" fillId="0" borderId="1" xfId="0" applyFont="1" applyBorder="1" applyAlignment="1">
      <alignment horizontal="center" vertical="center"/>
    </xf>
    <xf numFmtId="0" fontId="51" fillId="6" borderId="54" xfId="0" applyFont="1" applyFill="1" applyBorder="1" applyAlignment="1">
      <alignment horizontal="left" vertical="center" wrapText="1"/>
    </xf>
    <xf numFmtId="0" fontId="48" fillId="6" borderId="1"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21" xfId="0" applyFont="1" applyFill="1" applyBorder="1" applyAlignment="1">
      <alignment horizontal="center" vertical="center" wrapText="1"/>
    </xf>
    <xf numFmtId="0" fontId="56" fillId="6" borderId="46" xfId="0" applyFont="1" applyFill="1" applyBorder="1" applyAlignment="1">
      <alignment horizontal="left" vertical="center" wrapText="1"/>
    </xf>
    <xf numFmtId="0" fontId="56" fillId="6" borderId="3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1" fillId="6" borderId="5" xfId="0" applyNumberFormat="1" applyFont="1" applyFill="1" applyBorder="1" applyAlignment="1">
      <alignment horizontal="left" vertical="center" wrapText="1"/>
    </xf>
    <xf numFmtId="10" fontId="51" fillId="6" borderId="54" xfId="0" applyNumberFormat="1" applyFont="1" applyFill="1" applyBorder="1" applyAlignment="1">
      <alignment horizontal="left" vertical="center" wrapText="1"/>
    </xf>
    <xf numFmtId="0" fontId="50" fillId="6" borderId="21" xfId="0" applyFont="1" applyFill="1" applyBorder="1" applyAlignment="1">
      <alignment horizontal="center" vertical="center"/>
    </xf>
    <xf numFmtId="0" fontId="56" fillId="6" borderId="47" xfId="0" applyFont="1" applyFill="1" applyBorder="1" applyAlignment="1">
      <alignment horizontal="center" vertical="center"/>
    </xf>
    <xf numFmtId="0" fontId="48" fillId="6" borderId="1"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6" borderId="40"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50" fillId="6" borderId="12" xfId="0" applyFont="1" applyFill="1" applyBorder="1" applyAlignment="1">
      <alignment horizontal="center" vertical="center" wrapText="1"/>
    </xf>
    <xf numFmtId="0" fontId="58" fillId="6" borderId="6" xfId="0" applyFont="1" applyFill="1" applyBorder="1" applyAlignment="1">
      <alignment horizontal="left" vertical="center" wrapText="1"/>
    </xf>
    <xf numFmtId="0" fontId="58" fillId="6" borderId="9" xfId="0" applyFont="1" applyFill="1" applyBorder="1" applyAlignment="1">
      <alignment horizontal="left" vertical="center" wrapText="1"/>
    </xf>
    <xf numFmtId="0" fontId="51" fillId="6" borderId="11" xfId="0" applyFont="1" applyFill="1" applyBorder="1" applyAlignment="1">
      <alignment horizontal="left" vertical="center" wrapText="1"/>
    </xf>
    <xf numFmtId="0" fontId="106" fillId="6" borderId="63" xfId="0" applyFont="1" applyFill="1" applyBorder="1" applyAlignment="1">
      <alignment horizontal="center" vertical="center"/>
    </xf>
    <xf numFmtId="0" fontId="106" fillId="6" borderId="64" xfId="0" applyFont="1" applyFill="1" applyBorder="1" applyAlignment="1">
      <alignment horizontal="center" vertical="center"/>
    </xf>
    <xf numFmtId="0" fontId="106" fillId="6" borderId="65"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lignment horizontal="center" vertical="center"/>
    </xf>
    <xf numFmtId="0" fontId="51" fillId="6" borderId="60"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54"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23" xfId="0" applyFont="1" applyFill="1" applyBorder="1" applyAlignment="1">
      <alignment horizontal="left" vertical="center"/>
    </xf>
    <xf numFmtId="0" fontId="50" fillId="6" borderId="1" xfId="0" applyFont="1" applyFill="1" applyBorder="1" applyAlignment="1">
      <alignment horizontal="left" vertical="center"/>
    </xf>
    <xf numFmtId="0" fontId="50" fillId="6" borderId="1" xfId="0" applyFont="1" applyFill="1" applyBorder="1" applyAlignment="1">
      <alignment horizontal="left" vertical="center" wrapText="1"/>
    </xf>
    <xf numFmtId="0" fontId="132" fillId="6" borderId="23" xfId="0" applyFont="1" applyFill="1" applyBorder="1" applyAlignment="1">
      <alignment horizontal="left" vertical="center"/>
    </xf>
    <xf numFmtId="0" fontId="132" fillId="6" borderId="25" xfId="0" applyFont="1" applyFill="1" applyBorder="1" applyAlignment="1">
      <alignment horizontal="left" vertical="center"/>
    </xf>
    <xf numFmtId="0" fontId="51" fillId="6" borderId="19" xfId="0" applyFont="1" applyFill="1" applyBorder="1" applyAlignment="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lignment horizontal="left" vertical="center" wrapText="1"/>
    </xf>
    <xf numFmtId="0" fontId="58" fillId="6" borderId="18" xfId="0" applyFont="1" applyFill="1" applyBorder="1" applyAlignment="1">
      <alignment horizontal="center" vertical="center" wrapText="1"/>
    </xf>
    <xf numFmtId="0" fontId="58" fillId="6" borderId="0" xfId="0" applyFont="1" applyFill="1" applyAlignment="1">
      <alignment horizontal="center" vertical="center" wrapText="1"/>
    </xf>
    <xf numFmtId="182" fontId="48" fillId="6" borderId="5" xfId="0" applyNumberFormat="1" applyFont="1" applyFill="1" applyBorder="1" applyAlignment="1">
      <alignment horizontal="left" vertical="center" wrapText="1"/>
    </xf>
    <xf numFmtId="182" fontId="48" fillId="6" borderId="54" xfId="0" applyNumberFormat="1" applyFont="1" applyFill="1" applyBorder="1" applyAlignment="1">
      <alignment horizontal="left" vertical="center" wrapText="1"/>
    </xf>
    <xf numFmtId="182" fontId="48" fillId="6" borderId="3" xfId="0" applyNumberFormat="1" applyFont="1" applyFill="1" applyBorder="1" applyAlignment="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1" fillId="6" borderId="36" xfId="0" applyFont="1" applyFill="1" applyBorder="1" applyAlignment="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8" fillId="6" borderId="1"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3"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0" fontId="51" fillId="6" borderId="61" xfId="0" applyFont="1" applyFill="1" applyBorder="1" applyAlignment="1">
      <alignment horizontal="left" vertical="center"/>
    </xf>
    <xf numFmtId="0" fontId="51" fillId="6" borderId="53" xfId="0" applyFont="1" applyFill="1" applyBorder="1" applyAlignment="1">
      <alignment horizontal="left" vertical="center"/>
    </xf>
    <xf numFmtId="0" fontId="51" fillId="6" borderId="8" xfId="0" applyFont="1" applyFill="1" applyBorder="1" applyAlignment="1">
      <alignment horizontal="left" vertical="center"/>
    </xf>
    <xf numFmtId="0" fontId="110" fillId="6" borderId="106" xfId="0" applyFont="1" applyFill="1" applyBorder="1">
      <alignment vertical="center"/>
    </xf>
    <xf numFmtId="0" fontId="110" fillId="6" borderId="107" xfId="0" applyFont="1" applyFill="1" applyBorder="1">
      <alignment vertical="center"/>
    </xf>
    <xf numFmtId="0" fontId="50" fillId="6" borderId="23"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lignment horizontal="center" vertical="center" wrapText="1"/>
    </xf>
    <xf numFmtId="0" fontId="108" fillId="6" borderId="1" xfId="0" applyFont="1" applyFill="1" applyBorder="1" applyAlignment="1">
      <alignment horizontal="left" vertical="center" wrapText="1"/>
    </xf>
    <xf numFmtId="0" fontId="133" fillId="6" borderId="1" xfId="0" applyFont="1" applyFill="1" applyBorder="1" applyAlignment="1" applyProtection="1">
      <alignment horizontal="center" vertical="center" wrapText="1"/>
      <protection locked="0"/>
    </xf>
    <xf numFmtId="192" fontId="283" fillId="6" borderId="1" xfId="0" applyNumberFormat="1" applyFont="1" applyFill="1" applyBorder="1" applyAlignment="1">
      <alignment horizontal="center" vertical="center" wrapText="1"/>
    </xf>
    <xf numFmtId="0" fontId="283"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0" fontId="50" fillId="6" borderId="3" xfId="0" applyFont="1" applyFill="1" applyBorder="1" applyAlignment="1">
      <alignment horizontal="left" vertical="center"/>
    </xf>
    <xf numFmtId="0" fontId="57" fillId="6" borderId="5" xfId="0" applyFont="1" applyFill="1" applyBorder="1" applyAlignment="1">
      <alignment horizontal="left" vertical="center"/>
    </xf>
    <xf numFmtId="0" fontId="57" fillId="6" borderId="54" xfId="0" applyFont="1" applyFill="1" applyBorder="1" applyAlignment="1">
      <alignment horizontal="left" vertical="center"/>
    </xf>
    <xf numFmtId="0" fontId="172" fillId="6" borderId="1" xfId="0" applyFont="1" applyFill="1" applyBorder="1" applyAlignment="1">
      <alignment horizontal="left" vertical="center" wrapText="1"/>
    </xf>
    <xf numFmtId="0" fontId="57" fillId="6" borderId="3" xfId="0" applyFont="1" applyFill="1" applyBorder="1" applyAlignment="1">
      <alignment horizontal="left" vertical="center"/>
    </xf>
    <xf numFmtId="10" fontId="81" fillId="6" borderId="1" xfId="0" applyNumberFormat="1" applyFont="1" applyFill="1" applyBorder="1" applyAlignment="1">
      <alignment horizontal="left" vertical="center" wrapText="1"/>
    </xf>
    <xf numFmtId="10" fontId="51" fillId="6" borderId="1" xfId="0" applyNumberFormat="1" applyFont="1" applyFill="1" applyBorder="1" applyAlignment="1">
      <alignment horizontal="left" vertical="center" wrapText="1"/>
    </xf>
    <xf numFmtId="0" fontId="57" fillId="6" borderId="61" xfId="0" applyFont="1" applyFill="1" applyBorder="1" applyAlignment="1">
      <alignment horizontal="left" vertical="center"/>
    </xf>
    <xf numFmtId="0" fontId="57" fillId="6" borderId="53" xfId="0" applyFont="1" applyFill="1" applyBorder="1" applyAlignment="1">
      <alignment horizontal="left" vertical="center"/>
    </xf>
    <xf numFmtId="0" fontId="57" fillId="6" borderId="8" xfId="0" applyFont="1" applyFill="1" applyBorder="1" applyAlignment="1">
      <alignment horizontal="left" vertical="center"/>
    </xf>
    <xf numFmtId="186" fontId="55" fillId="6" borderId="1" xfId="0" applyNumberFormat="1" applyFont="1" applyFill="1" applyBorder="1" applyAlignment="1">
      <alignment horizontal="center" vertical="center"/>
    </xf>
    <xf numFmtId="0" fontId="55" fillId="6" borderId="5" xfId="0" applyFont="1" applyFill="1" applyBorder="1" applyAlignment="1">
      <alignment horizontal="center" vertical="center" wrapText="1"/>
    </xf>
    <xf numFmtId="0" fontId="55" fillId="6" borderId="3" xfId="0" applyFont="1" applyFill="1" applyBorder="1" applyAlignment="1">
      <alignment horizontal="center" vertical="center" wrapText="1"/>
    </xf>
    <xf numFmtId="186" fontId="54" fillId="19" borderId="1" xfId="0" applyNumberFormat="1" applyFont="1" applyFill="1" applyBorder="1" applyAlignment="1">
      <alignment horizontal="center" vertical="center"/>
    </xf>
    <xf numFmtId="0" fontId="55" fillId="6" borderId="6" xfId="0" applyFont="1" applyFill="1" applyBorder="1" applyAlignment="1">
      <alignment horizontal="center" vertical="center" wrapText="1"/>
    </xf>
    <xf numFmtId="0" fontId="55" fillId="6" borderId="9"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105" fillId="6" borderId="23" xfId="0" applyFont="1" applyFill="1" applyBorder="1" applyAlignment="1">
      <alignment horizontal="center" vertical="center"/>
    </xf>
    <xf numFmtId="0" fontId="55" fillId="6" borderId="13"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13" xfId="0" applyFont="1" applyFill="1" applyBorder="1" applyAlignment="1">
      <alignment horizontal="center" vertical="center" textRotation="255" wrapText="1"/>
    </xf>
    <xf numFmtId="0" fontId="55" fillId="6" borderId="15" xfId="0" applyFont="1" applyFill="1" applyBorder="1" applyAlignment="1">
      <alignment horizontal="center" vertical="center" textRotation="255" wrapText="1"/>
    </xf>
    <xf numFmtId="0" fontId="55" fillId="6" borderId="1" xfId="0" applyFont="1" applyFill="1" applyBorder="1" applyAlignment="1">
      <alignment horizontal="center" vertical="center"/>
    </xf>
    <xf numFmtId="0" fontId="55" fillId="6" borderId="13" xfId="0" applyFont="1" applyFill="1" applyBorder="1" applyAlignment="1">
      <alignment horizontal="center" vertical="center"/>
    </xf>
    <xf numFmtId="0" fontId="55" fillId="6" borderId="15" xfId="0" applyFont="1" applyFill="1" applyBorder="1" applyAlignment="1">
      <alignment horizontal="center" vertical="center"/>
    </xf>
    <xf numFmtId="0" fontId="55" fillId="6" borderId="2" xfId="0" applyFont="1" applyFill="1" applyBorder="1" applyAlignment="1">
      <alignment horizontal="center" vertical="center"/>
    </xf>
    <xf numFmtId="0" fontId="55" fillId="6" borderId="10" xfId="0" applyFont="1" applyFill="1" applyBorder="1" applyAlignment="1">
      <alignment horizontal="center" vertical="center" wrapText="1"/>
    </xf>
    <xf numFmtId="0" fontId="55" fillId="6" borderId="30"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5" fillId="6" borderId="46" xfId="0" applyFont="1" applyFill="1" applyBorder="1" applyAlignment="1">
      <alignment horizontal="center" vertical="center" wrapText="1"/>
    </xf>
    <xf numFmtId="0" fontId="55" fillId="6" borderId="22" xfId="0" applyFont="1" applyFill="1" applyBorder="1" applyAlignment="1">
      <alignment horizontal="center"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55" fillId="6" borderId="4" xfId="0" applyFont="1" applyFill="1" applyBorder="1" applyAlignment="1">
      <alignment horizontal="center" vertical="center" wrapText="1"/>
    </xf>
    <xf numFmtId="0" fontId="55" fillId="6" borderId="7" xfId="0" applyFont="1" applyFill="1" applyBorder="1" applyAlignment="1">
      <alignment horizontal="center" vertical="center" wrapText="1"/>
    </xf>
    <xf numFmtId="0" fontId="55" fillId="6" borderId="46"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58" xfId="0" applyFont="1" applyFill="1" applyBorder="1" applyAlignment="1">
      <alignment horizontal="center" vertical="center"/>
    </xf>
    <xf numFmtId="0" fontId="55" fillId="6" borderId="35" xfId="0" applyFont="1" applyFill="1" applyBorder="1" applyAlignment="1">
      <alignment horizontal="center" vertical="center"/>
    </xf>
    <xf numFmtId="0" fontId="55" fillId="6" borderId="4" xfId="0" applyFont="1" applyFill="1" applyBorder="1" applyAlignment="1">
      <alignment horizontal="center" vertical="center"/>
    </xf>
    <xf numFmtId="0" fontId="55" fillId="6" borderId="7" xfId="0" applyFont="1" applyFill="1" applyBorder="1" applyAlignment="1">
      <alignment horizontal="center" vertical="center"/>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175"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54" xfId="0" applyFont="1" applyFill="1" applyBorder="1" applyAlignment="1">
      <alignment horizontal="center" vertical="center"/>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175"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221" fillId="0" borderId="3"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221" fillId="0" borderId="22" xfId="0" applyFont="1" applyBorder="1" applyAlignment="1" applyProtection="1">
      <alignment horizontal="center" vertical="center" wrapText="1"/>
      <protection locked="0"/>
    </xf>
    <xf numFmtId="0" fontId="221" fillId="0" borderId="11" xfId="0" applyFont="1" applyBorder="1" applyAlignment="1" applyProtection="1">
      <alignment horizontal="center" vertical="center" wrapText="1"/>
      <protection locked="0"/>
    </xf>
    <xf numFmtId="0" fontId="55" fillId="6" borderId="11"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11" xfId="0" applyFont="1" applyFill="1" applyBorder="1" applyAlignment="1">
      <alignment horizontal="center" vertical="center" textRotation="255" wrapText="1"/>
    </xf>
    <xf numFmtId="0" fontId="55" fillId="6" borderId="14" xfId="0" applyFont="1" applyFill="1" applyBorder="1" applyAlignment="1">
      <alignment horizontal="center" vertical="center" textRotation="255" wrapText="1"/>
    </xf>
    <xf numFmtId="0" fontId="55" fillId="6" borderId="41" xfId="0" applyFont="1" applyFill="1" applyBorder="1" applyAlignment="1">
      <alignment horizontal="center" vertical="center" textRotation="255" wrapText="1"/>
    </xf>
    <xf numFmtId="0" fontId="55" fillId="6" borderId="2" xfId="0" applyFont="1" applyFill="1" applyBorder="1" applyAlignment="1">
      <alignment horizontal="center" vertical="center" textRotation="255" wrapText="1"/>
    </xf>
    <xf numFmtId="0" fontId="54" fillId="19" borderId="1" xfId="0" applyFont="1" applyFill="1" applyBorder="1" applyAlignment="1">
      <alignment horizontal="center" vertical="center"/>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1" fillId="6" borderId="13"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5" fillId="6" borderId="23" xfId="0" applyFont="1" applyFill="1" applyBorder="1" applyAlignment="1">
      <alignment horizontal="left" vertical="center" wrapText="1"/>
    </xf>
    <xf numFmtId="0" fontId="21" fillId="0" borderId="1" xfId="0" applyFont="1" applyBorder="1" applyAlignment="1">
      <alignment horizontal="center" vertical="center"/>
    </xf>
    <xf numFmtId="0" fontId="85" fillId="0" borderId="1" xfId="0" applyFont="1" applyBorder="1" applyAlignment="1">
      <alignment horizontal="center" vertical="center"/>
    </xf>
    <xf numFmtId="0" fontId="85" fillId="6" borderId="1" xfId="0" applyFont="1" applyFill="1" applyBorder="1" applyAlignment="1">
      <alignment horizontal="left" vertical="center" wrapText="1"/>
    </xf>
    <xf numFmtId="0" fontId="143" fillId="6" borderId="55" xfId="0" applyFont="1" applyFill="1" applyBorder="1">
      <alignment vertical="center"/>
    </xf>
    <xf numFmtId="0" fontId="143" fillId="6" borderId="36" xfId="0" applyFont="1" applyFill="1" applyBorder="1">
      <alignment vertical="center"/>
    </xf>
    <xf numFmtId="0" fontId="143" fillId="6" borderId="22" xfId="0" applyFont="1" applyFill="1" applyBorder="1">
      <alignment vertical="center"/>
    </xf>
    <xf numFmtId="0" fontId="143" fillId="6" borderId="42" xfId="0" applyFont="1" applyFill="1" applyBorder="1">
      <alignment vertical="center"/>
    </xf>
    <xf numFmtId="0" fontId="143" fillId="6" borderId="47" xfId="0" applyFont="1" applyFill="1" applyBorder="1">
      <alignment vertical="center"/>
    </xf>
    <xf numFmtId="0" fontId="143" fillId="6" borderId="73" xfId="0" applyFont="1" applyFill="1" applyBorder="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5" fillId="6" borderId="38" xfId="0" applyFont="1" applyFill="1" applyBorder="1" applyAlignment="1">
      <alignment horizontal="center" vertical="center" wrapText="1"/>
    </xf>
    <xf numFmtId="0" fontId="55" fillId="6" borderId="66" xfId="0" applyFont="1" applyFill="1" applyBorder="1" applyAlignment="1">
      <alignment horizontal="center" vertical="center" wrapText="1"/>
    </xf>
    <xf numFmtId="0" fontId="54" fillId="6" borderId="32" xfId="0" applyFont="1" applyFill="1" applyBorder="1" applyAlignment="1">
      <alignment horizontal="center" vertical="center"/>
    </xf>
    <xf numFmtId="0" fontId="55" fillId="6" borderId="62" xfId="0" applyFont="1" applyFill="1" applyBorder="1" applyAlignment="1">
      <alignment horizontal="center" vertical="center"/>
    </xf>
    <xf numFmtId="0" fontId="55" fillId="6" borderId="53" xfId="0" applyFont="1" applyFill="1" applyBorder="1" applyAlignment="1">
      <alignment horizontal="center" vertical="center"/>
    </xf>
    <xf numFmtId="0" fontId="55" fillId="6" borderId="8" xfId="0" applyFont="1" applyFill="1" applyBorder="1" applyAlignment="1">
      <alignment horizontal="center" vertical="center"/>
    </xf>
    <xf numFmtId="0" fontId="55" fillId="6" borderId="16"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55" fillId="6" borderId="18" xfId="0" applyFont="1" applyFill="1" applyBorder="1" applyAlignment="1">
      <alignment horizontal="center" vertical="center" wrapText="1"/>
    </xf>
    <xf numFmtId="0" fontId="55" fillId="6" borderId="69" xfId="0" applyFont="1" applyFill="1" applyBorder="1" applyAlignment="1">
      <alignment horizontal="center" vertical="center" wrapText="1"/>
    </xf>
    <xf numFmtId="0" fontId="55" fillId="6" borderId="29" xfId="0" applyFont="1" applyFill="1" applyBorder="1" applyAlignment="1">
      <alignment horizontal="center" vertical="center"/>
    </xf>
    <xf numFmtId="0" fontId="55" fillId="6" borderId="39" xfId="0" applyFont="1" applyFill="1" applyBorder="1" applyAlignment="1">
      <alignment horizontal="center" vertical="center"/>
    </xf>
    <xf numFmtId="0" fontId="55" fillId="6" borderId="9" xfId="0" applyFont="1" applyFill="1" applyBorder="1" applyAlignment="1">
      <alignment horizontal="center" vertical="center"/>
    </xf>
    <xf numFmtId="0" fontId="48" fillId="6" borderId="37" xfId="0" applyFont="1" applyFill="1" applyBorder="1" applyAlignment="1">
      <alignment horizontal="center" vertical="center"/>
    </xf>
    <xf numFmtId="0" fontId="55" fillId="6" borderId="17" xfId="0" applyFont="1" applyFill="1" applyBorder="1" applyAlignment="1">
      <alignment horizontal="center" vertical="center"/>
    </xf>
    <xf numFmtId="0" fontId="54" fillId="6" borderId="1" xfId="0" applyFont="1" applyFill="1" applyBorder="1" applyAlignment="1">
      <alignment horizontal="center" vertical="center"/>
    </xf>
    <xf numFmtId="0" fontId="55" fillId="0" borderId="11" xfId="0" applyFont="1" applyBorder="1" applyAlignment="1" applyProtection="1">
      <alignment horizontal="center" vertical="center" wrapText="1"/>
      <protection locked="0"/>
    </xf>
    <xf numFmtId="0" fontId="55" fillId="0" borderId="61" xfId="0" applyFont="1" applyBorder="1" applyAlignment="1" applyProtection="1">
      <alignment horizontal="center" vertical="center" wrapText="1"/>
      <protection locked="0"/>
    </xf>
    <xf numFmtId="0" fontId="55" fillId="0" borderId="22"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lignment horizontal="center" vertical="center" wrapText="1"/>
    </xf>
    <xf numFmtId="0" fontId="61" fillId="6" borderId="54"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2" xfId="0" applyFont="1" applyFill="1" applyBorder="1" applyAlignment="1">
      <alignment horizontal="center" vertical="center" wrapText="1"/>
    </xf>
    <xf numFmtId="49" fontId="57" fillId="6" borderId="40" xfId="0" applyNumberFormat="1" applyFont="1" applyFill="1" applyBorder="1" applyAlignment="1">
      <alignment horizontal="center" vertical="center" wrapText="1"/>
    </xf>
    <xf numFmtId="49" fontId="57" fillId="6" borderId="14" xfId="0" applyNumberFormat="1" applyFont="1" applyFill="1" applyBorder="1" applyAlignment="1">
      <alignment horizontal="center" vertical="center" wrapText="1"/>
    </xf>
    <xf numFmtId="49" fontId="104" fillId="6" borderId="18" xfId="0" applyNumberFormat="1" applyFont="1" applyFill="1" applyBorder="1" applyAlignment="1">
      <alignment horizontal="center" vertical="center" wrapText="1"/>
    </xf>
    <xf numFmtId="49" fontId="104" fillId="6" borderId="12"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105" fillId="0" borderId="0" xfId="0" applyFont="1" applyAlignment="1">
      <alignment horizontal="left" vertical="center"/>
    </xf>
    <xf numFmtId="0" fontId="105" fillId="6" borderId="1" xfId="0" applyFont="1" applyFill="1" applyBorder="1" applyAlignment="1">
      <alignment horizontal="center" vertical="center"/>
    </xf>
    <xf numFmtId="0" fontId="105" fillId="6" borderId="13" xfId="0" applyFont="1" applyFill="1" applyBorder="1" applyAlignment="1">
      <alignment horizontal="center" vertical="center"/>
    </xf>
    <xf numFmtId="0" fontId="105" fillId="6" borderId="15" xfId="0" applyFont="1" applyFill="1" applyBorder="1" applyAlignment="1">
      <alignment horizontal="center" vertical="center"/>
    </xf>
    <xf numFmtId="0" fontId="105" fillId="6" borderId="2" xfId="0" applyFont="1" applyFill="1" applyBorder="1" applyAlignment="1">
      <alignment horizontal="center" vertical="center"/>
    </xf>
    <xf numFmtId="0" fontId="105" fillId="6" borderId="13" xfId="0" applyFont="1" applyFill="1" applyBorder="1" applyAlignment="1">
      <alignment horizontal="center" vertical="center" wrapText="1"/>
    </xf>
    <xf numFmtId="0" fontId="105"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7" fillId="6" borderId="29"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112" fillId="6" borderId="1" xfId="0" applyFont="1" applyFill="1" applyBorder="1" applyAlignment="1">
      <alignment horizontal="center" vertical="center"/>
    </xf>
    <xf numFmtId="0" fontId="150" fillId="12" borderId="131" xfId="9" applyFont="1" applyFill="1" applyBorder="1" applyAlignment="1">
      <alignment horizontal="left" vertical="center" wrapText="1"/>
    </xf>
    <xf numFmtId="0" fontId="150" fillId="12" borderId="125" xfId="9" applyFont="1" applyFill="1" applyBorder="1" applyAlignment="1">
      <alignment horizontal="left" vertical="center" wrapText="1"/>
    </xf>
    <xf numFmtId="0" fontId="150" fillId="12" borderId="127" xfId="9" applyFont="1" applyFill="1" applyBorder="1" applyAlignment="1">
      <alignment horizontal="left" vertical="center" wrapText="1"/>
    </xf>
    <xf numFmtId="0" fontId="143" fillId="0" borderId="0" xfId="9" applyFont="1" applyAlignment="1">
      <alignment horizontal="left" vertical="center"/>
    </xf>
    <xf numFmtId="0" fontId="108"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lignment horizontal="left" vertical="center" wrapText="1"/>
    </xf>
    <xf numFmtId="0" fontId="105" fillId="12" borderId="131" xfId="9" applyFont="1" applyFill="1" applyBorder="1" applyAlignment="1">
      <alignment horizontal="left" vertical="center" wrapText="1"/>
    </xf>
    <xf numFmtId="0" fontId="105" fillId="12" borderId="125" xfId="9" applyFont="1" applyFill="1" applyBorder="1" applyAlignment="1">
      <alignment horizontal="left" vertical="center" wrapText="1"/>
    </xf>
    <xf numFmtId="0" fontId="105" fillId="12" borderId="127" xfId="9" applyFont="1" applyFill="1" applyBorder="1" applyAlignment="1">
      <alignment horizontal="left" vertical="center" wrapText="1"/>
    </xf>
    <xf numFmtId="0" fontId="150" fillId="12" borderId="153" xfId="9"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xf numFmtId="0" fontId="140" fillId="41" borderId="63" xfId="0" applyFont="1" applyFill="1" applyBorder="1" applyAlignment="1">
      <alignment horizontal="justify" vertical="center" wrapText="1"/>
    </xf>
    <xf numFmtId="0" fontId="140" fillId="41" borderId="64" xfId="0" applyFont="1" applyFill="1" applyBorder="1" applyAlignment="1">
      <alignment horizontal="justify" vertical="center" wrapText="1"/>
    </xf>
    <xf numFmtId="0" fontId="140" fillId="41" borderId="65" xfId="0" applyFont="1" applyFill="1" applyBorder="1" applyAlignment="1">
      <alignment horizontal="justify" vertical="center" wrapText="1"/>
    </xf>
    <xf numFmtId="198" fontId="56" fillId="9" borderId="24" xfId="0" applyNumberFormat="1" applyFont="1" applyFill="1" applyBorder="1" applyAlignment="1">
      <alignment horizontal="center" vertical="center"/>
    </xf>
    <xf numFmtId="0" fontId="135" fillId="6" borderId="5" xfId="0" applyFont="1" applyFill="1" applyBorder="1" applyAlignment="1">
      <alignment horizontal="center" vertical="center" wrapText="1"/>
    </xf>
  </cellXfs>
  <cellStyles count="586">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41755</v>
      </c>
    </row>
    <row r="21" spans="1:2">
      <c r="A21" s="1266" t="s">
        <v>1202</v>
      </c>
      <c r="B21" s="1267">
        <f ca="1">'预评函-2'!D7</f>
        <v>27361</v>
      </c>
    </row>
    <row r="22" spans="1:2">
      <c r="A22" s="1266" t="s">
        <v>1203</v>
      </c>
      <c r="B22" s="1267" t="str">
        <f ca="1">'预评函-2'!D6</f>
        <v>肆亿壹仟柒佰伍拾伍万元整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41755</v>
      </c>
    </row>
    <row r="31" spans="1:2">
      <c r="A31" s="1266" t="s">
        <v>1241</v>
      </c>
      <c r="B31" s="1267">
        <f ca="1">'预评函-2'!D15</f>
        <v>27361</v>
      </c>
    </row>
    <row r="32" spans="1:2">
      <c r="A32" s="1266" t="s">
        <v>1208</v>
      </c>
      <c r="B32" s="1267" t="str">
        <f ca="1">'预评函-2'!D14</f>
        <v>肆亿壹仟柒佰伍拾伍万元整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26"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26"/>
      <c r="B54" s="1616" t="s">
        <v>832</v>
      </c>
      <c r="C54" s="1614" t="s">
        <v>1248</v>
      </c>
    </row>
    <row r="55" spans="1:4">
      <c r="A55" s="2926"/>
      <c r="B55" s="1616" t="s">
        <v>833</v>
      </c>
      <c r="C55" s="1614" t="s">
        <v>1249</v>
      </c>
    </row>
    <row r="56" spans="1:4">
      <c r="A56" s="2926"/>
      <c r="B56" s="1616" t="s">
        <v>834</v>
      </c>
      <c r="C56" s="1614" t="s">
        <v>1253</v>
      </c>
    </row>
    <row r="57" spans="1:4">
      <c r="A57" s="2926"/>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34"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35"/>
      <c r="D1" s="2935"/>
      <c r="E1" s="2935"/>
      <c r="F1" s="2935"/>
      <c r="G1" s="2935"/>
      <c r="H1" s="2935"/>
      <c r="I1" s="2936"/>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3714</v>
      </c>
      <c r="C4" s="2387">
        <f>SUMIF(注册房地产估价师,B4,估价师及机构信息!B3:B24)</f>
        <v>0</v>
      </c>
      <c r="D4" s="2386" t="s">
        <v>3714</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37"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38"/>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44" t="s">
        <v>3339</v>
      </c>
      <c r="C16" s="2945"/>
      <c r="D16" s="2946"/>
      <c r="E16" s="2421" t="s">
        <v>2921</v>
      </c>
      <c r="F16" s="2947"/>
      <c r="G16" s="2948"/>
      <c r="H16" s="2948"/>
      <c r="I16" s="2949"/>
      <c r="J16" s="2445"/>
      <c r="K16" s="2585"/>
      <c r="L16" s="1839"/>
      <c r="M16" s="1839"/>
      <c r="N16" s="2445"/>
      <c r="O16" s="1839"/>
      <c r="P16" s="2445"/>
      <c r="Q16" s="2445"/>
      <c r="R16" s="2445"/>
    </row>
    <row r="17" spans="1:28">
      <c r="A17" s="309" t="s">
        <v>2922</v>
      </c>
      <c r="B17" s="298" t="s">
        <v>2923</v>
      </c>
      <c r="C17" s="11">
        <f>'数据-汇总表'!E3</f>
        <v>15260.819999999994</v>
      </c>
      <c r="D17" s="1424" t="s">
        <v>2924</v>
      </c>
      <c r="E17" s="2950" t="s">
        <v>2925</v>
      </c>
      <c r="F17" s="2951"/>
      <c r="G17" s="2951"/>
      <c r="H17" s="2951"/>
      <c r="I17" s="2952"/>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53" t="s">
        <v>2929</v>
      </c>
      <c r="F18" s="2954"/>
      <c r="G18" s="2954"/>
      <c r="H18" s="2954"/>
      <c r="I18" s="2955"/>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40" t="s">
        <v>2933</v>
      </c>
      <c r="C20" s="2941"/>
      <c r="D20" s="2942" t="s">
        <v>2934</v>
      </c>
      <c r="E20" s="2943"/>
      <c r="F20" s="2612" t="s">
        <v>1742</v>
      </c>
      <c r="G20" s="2624"/>
      <c r="H20" s="2624"/>
      <c r="I20" s="2624"/>
      <c r="J20" s="2445"/>
      <c r="K20" s="2939"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39"/>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39"/>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28"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28"/>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28"/>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29"/>
      <c r="B30" s="298" t="s">
        <v>2945</v>
      </c>
      <c r="C30" s="2930"/>
      <c r="D30" s="2931"/>
      <c r="E30" s="2624"/>
      <c r="F30" s="2624"/>
      <c r="G30" s="2624"/>
      <c r="H30" s="2624"/>
      <c r="I30" s="2624"/>
      <c r="J30" s="2445"/>
      <c r="K30" s="2583"/>
      <c r="L30" s="2580"/>
      <c r="M30" s="2580"/>
      <c r="N30" s="2445"/>
      <c r="O30" s="1839"/>
      <c r="P30" s="2445"/>
      <c r="Q30" s="2445"/>
      <c r="R30" s="2445"/>
      <c r="S30" s="2445"/>
      <c r="T30" s="2445"/>
      <c r="U30" s="2445"/>
      <c r="V30" s="2445"/>
    </row>
    <row r="31" spans="1:28">
      <c r="A31" s="2932"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33"/>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33"/>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27" t="s">
        <v>2955</v>
      </c>
      <c r="T34" s="2435" t="str">
        <f>NUMBERSTRING(7-K34,1)&amp;"通"</f>
        <v>七通</v>
      </c>
      <c r="U34" s="2445"/>
      <c r="V34" s="2445"/>
    </row>
    <row r="35" spans="1:30">
      <c r="A35" s="2436"/>
      <c r="B35" s="2927" t="s">
        <v>2956</v>
      </c>
      <c r="C35" s="2927"/>
      <c r="D35" s="2927"/>
      <c r="E35" s="2927"/>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27"/>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8">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56" t="s">
        <v>0</v>
      </c>
      <c r="B1" s="2956" t="s">
        <v>4</v>
      </c>
      <c r="C1" s="2956" t="s">
        <v>5</v>
      </c>
      <c r="D1" s="2957" t="s">
        <v>53</v>
      </c>
      <c r="E1" s="2957" t="s">
        <v>54</v>
      </c>
      <c r="F1" s="2957"/>
      <c r="G1" s="2957"/>
      <c r="H1" s="2957"/>
      <c r="I1" s="2957"/>
      <c r="J1" s="2957"/>
      <c r="K1" s="2957"/>
      <c r="L1" s="2957"/>
      <c r="M1" s="2957"/>
    </row>
    <row r="2" spans="1:13" ht="27" customHeight="1">
      <c r="A2" s="2956"/>
      <c r="B2" s="2956"/>
      <c r="C2" s="2956"/>
      <c r="D2" s="2957"/>
      <c r="E2" s="2957" t="s">
        <v>37</v>
      </c>
      <c r="F2" s="2957" t="s">
        <v>38</v>
      </c>
      <c r="G2" s="2957"/>
      <c r="H2" s="2957"/>
      <c r="I2" s="2957"/>
      <c r="J2" s="2957" t="s">
        <v>39</v>
      </c>
      <c r="K2" s="2957"/>
      <c r="L2" s="2957"/>
      <c r="M2" s="2957"/>
    </row>
    <row r="3" spans="1:13" ht="28.5">
      <c r="A3" s="2956"/>
      <c r="B3" s="2956"/>
      <c r="C3" s="2956"/>
      <c r="D3" s="2957"/>
      <c r="E3" s="29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57" t="s">
        <v>55</v>
      </c>
      <c r="B9" s="2957"/>
      <c r="C9" s="29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5" customWidth="1"/>
    <col min="2" max="2" width="10.5" style="2795" customWidth="1"/>
    <col min="3" max="3" width="11.875" style="2795" customWidth="1"/>
    <col min="4" max="4" width="12.5" style="2795" customWidth="1"/>
    <col min="5" max="5" width="7.625" style="2795" customWidth="1"/>
    <col min="6" max="6" width="11.375" style="2795" bestFit="1" customWidth="1"/>
    <col min="7" max="8" width="9.125" style="2795" customWidth="1"/>
    <col min="9" max="9" width="6.375" style="2795" hidden="1" customWidth="1"/>
    <col min="10" max="10" width="9.125" style="2795" customWidth="1"/>
    <col min="11" max="11" width="9.375" style="2795" hidden="1" customWidth="1"/>
    <col min="12" max="12" width="4.875" style="2795" customWidth="1"/>
    <col min="13" max="13" width="9" style="2795" customWidth="1"/>
    <col min="14" max="14" width="9.25" style="2795" customWidth="1"/>
    <col min="15" max="15" width="10.25" style="2795" bestFit="1" customWidth="1"/>
    <col min="16" max="16" width="8.625" style="2795" customWidth="1"/>
    <col min="17" max="17" width="9.875" style="2795" customWidth="1"/>
    <col min="18" max="16384" width="9" style="2795"/>
  </cols>
  <sheetData>
    <row r="1" spans="1:17" ht="14.25">
      <c r="A1" s="2958" t="s">
        <v>3815</v>
      </c>
      <c r="B1" s="2959"/>
      <c r="C1" s="2959"/>
      <c r="D1" s="2959"/>
      <c r="E1" s="2959"/>
      <c r="F1" s="2959"/>
      <c r="G1" s="2959"/>
      <c r="H1" s="2959"/>
      <c r="I1" s="2959"/>
      <c r="J1" s="2959"/>
      <c r="K1" s="2959"/>
      <c r="L1" s="2959"/>
      <c r="M1" s="2959"/>
      <c r="N1" s="2959"/>
      <c r="O1" s="2959"/>
      <c r="P1" s="2959"/>
      <c r="Q1" s="2959"/>
    </row>
    <row r="2" spans="1:17" ht="24">
      <c r="A2" s="2802" t="s">
        <v>3229</v>
      </c>
      <c r="B2" s="2802" t="s">
        <v>3230</v>
      </c>
      <c r="C2" s="2802" t="s">
        <v>3231</v>
      </c>
      <c r="D2" s="2802" t="s">
        <v>3228</v>
      </c>
      <c r="E2" s="2802" t="s">
        <v>3232</v>
      </c>
      <c r="F2" s="2803" t="s">
        <v>3233</v>
      </c>
      <c r="G2" s="2803" t="s">
        <v>3587</v>
      </c>
      <c r="H2" s="2803" t="s">
        <v>3588</v>
      </c>
      <c r="I2" s="2802" t="s">
        <v>3234</v>
      </c>
      <c r="J2" s="2803" t="s">
        <v>3239</v>
      </c>
      <c r="K2" s="2803" t="s">
        <v>3240</v>
      </c>
      <c r="L2" s="2803" t="s">
        <v>3235</v>
      </c>
      <c r="M2" s="2803" t="s">
        <v>3236</v>
      </c>
      <c r="N2" s="2803" t="s">
        <v>3237</v>
      </c>
      <c r="O2" s="2802" t="s">
        <v>3238</v>
      </c>
      <c r="P2" s="2803" t="s">
        <v>3247</v>
      </c>
      <c r="Q2" s="2802" t="s">
        <v>3585</v>
      </c>
    </row>
    <row r="3" spans="1:17" ht="84">
      <c r="A3" s="2802">
        <v>1</v>
      </c>
      <c r="B3" s="2803" t="s">
        <v>3241</v>
      </c>
      <c r="C3" s="2803" t="s">
        <v>3242</v>
      </c>
      <c r="D3" s="2806" t="s">
        <v>3243</v>
      </c>
      <c r="E3" s="2803" t="s">
        <v>3244</v>
      </c>
      <c r="F3" s="2802">
        <v>1029.82</v>
      </c>
      <c r="G3" s="2802">
        <v>699.87</v>
      </c>
      <c r="H3" s="2802">
        <v>329.95</v>
      </c>
      <c r="I3" s="2802" t="s">
        <v>3245</v>
      </c>
      <c r="J3" s="2802">
        <v>1399.74</v>
      </c>
      <c r="K3" s="2960">
        <v>80634.87</v>
      </c>
      <c r="L3" s="2802" t="s">
        <v>3246</v>
      </c>
      <c r="M3" s="2803" t="s">
        <v>3584</v>
      </c>
      <c r="N3" s="2804">
        <v>43157</v>
      </c>
      <c r="O3" s="2804">
        <v>54750</v>
      </c>
      <c r="P3" s="2803" t="s">
        <v>3248</v>
      </c>
      <c r="Q3" s="2803" t="s">
        <v>3586</v>
      </c>
    </row>
    <row r="4" spans="1:17" ht="84">
      <c r="A4" s="2802">
        <v>2</v>
      </c>
      <c r="B4" s="2803" t="s">
        <v>3241</v>
      </c>
      <c r="C4" s="2803" t="s">
        <v>3249</v>
      </c>
      <c r="D4" s="2806" t="s">
        <v>3251</v>
      </c>
      <c r="E4" s="2803" t="s">
        <v>3244</v>
      </c>
      <c r="F4" s="2802">
        <v>1029.82</v>
      </c>
      <c r="G4" s="2802">
        <v>699.87</v>
      </c>
      <c r="H4" s="2802">
        <v>329.95</v>
      </c>
      <c r="I4" s="2802" t="s">
        <v>3250</v>
      </c>
      <c r="J4" s="2802">
        <v>1399.74</v>
      </c>
      <c r="K4" s="2961"/>
      <c r="L4" s="2802" t="s">
        <v>3246</v>
      </c>
      <c r="M4" s="2803" t="s">
        <v>3584</v>
      </c>
      <c r="N4" s="2804">
        <v>43157</v>
      </c>
      <c r="O4" s="2804">
        <v>54750</v>
      </c>
      <c r="P4" s="2803" t="s">
        <v>3248</v>
      </c>
      <c r="Q4" s="2803" t="s">
        <v>3586</v>
      </c>
    </row>
    <row r="5" spans="1:17" ht="84">
      <c r="A5" s="2802">
        <v>3</v>
      </c>
      <c r="B5" s="2803" t="s">
        <v>3241</v>
      </c>
      <c r="C5" s="2803" t="s">
        <v>3252</v>
      </c>
      <c r="D5" s="2806" t="s">
        <v>3253</v>
      </c>
      <c r="E5" s="2803" t="s">
        <v>3244</v>
      </c>
      <c r="F5" s="2802">
        <v>1029.82</v>
      </c>
      <c r="G5" s="2802">
        <v>699.87</v>
      </c>
      <c r="H5" s="2802">
        <v>329.95</v>
      </c>
      <c r="I5" s="2802" t="s">
        <v>3254</v>
      </c>
      <c r="J5" s="2802">
        <v>1399.74</v>
      </c>
      <c r="K5" s="2961"/>
      <c r="L5" s="2802" t="s">
        <v>3246</v>
      </c>
      <c r="M5" s="2803" t="s">
        <v>3584</v>
      </c>
      <c r="N5" s="2804">
        <v>43157</v>
      </c>
      <c r="O5" s="2804">
        <v>54750</v>
      </c>
      <c r="P5" s="2803" t="s">
        <v>3248</v>
      </c>
      <c r="Q5" s="2803" t="s">
        <v>3586</v>
      </c>
    </row>
    <row r="6" spans="1:17" ht="96">
      <c r="A6" s="2802">
        <v>4</v>
      </c>
      <c r="B6" s="2803" t="s">
        <v>3241</v>
      </c>
      <c r="C6" s="2803" t="s">
        <v>3591</v>
      </c>
      <c r="D6" s="2809" t="s">
        <v>3590</v>
      </c>
      <c r="E6" s="2803" t="s">
        <v>3244</v>
      </c>
      <c r="F6" s="2802">
        <v>361.31</v>
      </c>
      <c r="G6" s="2802">
        <v>242.66</v>
      </c>
      <c r="H6" s="2802">
        <v>118.65</v>
      </c>
      <c r="I6" s="2802" t="s">
        <v>3589</v>
      </c>
      <c r="J6" s="2802">
        <v>485.32</v>
      </c>
      <c r="K6" s="2961"/>
      <c r="L6" s="2802" t="s">
        <v>3246</v>
      </c>
      <c r="M6" s="2803" t="s">
        <v>3584</v>
      </c>
      <c r="N6" s="2804">
        <v>43157</v>
      </c>
      <c r="O6" s="2804">
        <v>54750</v>
      </c>
      <c r="P6" s="2803" t="s">
        <v>3248</v>
      </c>
      <c r="Q6" s="2803" t="s">
        <v>3586</v>
      </c>
    </row>
    <row r="7" spans="1:17" ht="96">
      <c r="A7" s="2802">
        <v>5</v>
      </c>
      <c r="B7" s="2803" t="s">
        <v>3241</v>
      </c>
      <c r="C7" s="2803" t="s">
        <v>3255</v>
      </c>
      <c r="D7" s="2806" t="s">
        <v>3257</v>
      </c>
      <c r="E7" s="2803" t="s">
        <v>3244</v>
      </c>
      <c r="F7" s="2802">
        <v>361.31</v>
      </c>
      <c r="G7" s="2802">
        <v>242.66</v>
      </c>
      <c r="H7" s="2802">
        <v>118.65</v>
      </c>
      <c r="I7" s="2802" t="s">
        <v>3256</v>
      </c>
      <c r="J7" s="2802">
        <v>485.32</v>
      </c>
      <c r="K7" s="2961"/>
      <c r="L7" s="2802" t="s">
        <v>3246</v>
      </c>
      <c r="M7" s="2803" t="s">
        <v>3584</v>
      </c>
      <c r="N7" s="2804">
        <v>43157</v>
      </c>
      <c r="O7" s="2804">
        <v>54750</v>
      </c>
      <c r="P7" s="2803" t="s">
        <v>3248</v>
      </c>
      <c r="Q7" s="2803" t="s">
        <v>3586</v>
      </c>
    </row>
    <row r="8" spans="1:17" ht="96">
      <c r="A8" s="2802">
        <v>6</v>
      </c>
      <c r="B8" s="2803" t="s">
        <v>3241</v>
      </c>
      <c r="C8" s="2803" t="s">
        <v>3258</v>
      </c>
      <c r="D8" s="2806" t="s">
        <v>3260</v>
      </c>
      <c r="E8" s="2803" t="s">
        <v>3244</v>
      </c>
      <c r="F8" s="2802">
        <v>449.56</v>
      </c>
      <c r="G8" s="2802">
        <v>293.70999999999998</v>
      </c>
      <c r="H8" s="2802">
        <v>155.85</v>
      </c>
      <c r="I8" s="2802" t="s">
        <v>3259</v>
      </c>
      <c r="J8" s="2802">
        <v>587.41999999999996</v>
      </c>
      <c r="K8" s="2961"/>
      <c r="L8" s="2802" t="s">
        <v>3246</v>
      </c>
      <c r="M8" s="2803" t="s">
        <v>3584</v>
      </c>
      <c r="N8" s="2804">
        <v>43157</v>
      </c>
      <c r="O8" s="2804">
        <v>54750</v>
      </c>
      <c r="P8" s="2803" t="s">
        <v>3248</v>
      </c>
      <c r="Q8" s="2803" t="s">
        <v>3586</v>
      </c>
    </row>
    <row r="9" spans="1:17" ht="96">
      <c r="A9" s="2802">
        <v>7</v>
      </c>
      <c r="B9" s="2803" t="s">
        <v>3241</v>
      </c>
      <c r="C9" s="2803" t="s">
        <v>3261</v>
      </c>
      <c r="D9" s="2806" t="s">
        <v>3262</v>
      </c>
      <c r="E9" s="2803" t="s">
        <v>3244</v>
      </c>
      <c r="F9" s="2802">
        <v>361.31</v>
      </c>
      <c r="G9" s="2802">
        <v>242.66</v>
      </c>
      <c r="H9" s="2802">
        <v>118.65</v>
      </c>
      <c r="I9" s="2802" t="s">
        <v>3263</v>
      </c>
      <c r="J9" s="2802">
        <v>485.32</v>
      </c>
      <c r="K9" s="2961"/>
      <c r="L9" s="2802" t="s">
        <v>3246</v>
      </c>
      <c r="M9" s="2803" t="s">
        <v>3584</v>
      </c>
      <c r="N9" s="2804">
        <v>43157</v>
      </c>
      <c r="O9" s="2804">
        <v>54750</v>
      </c>
      <c r="P9" s="2803" t="s">
        <v>3248</v>
      </c>
      <c r="Q9" s="2803" t="s">
        <v>3586</v>
      </c>
    </row>
    <row r="10" spans="1:17" ht="96">
      <c r="A10" s="2802">
        <v>8</v>
      </c>
      <c r="B10" s="2803" t="s">
        <v>3241</v>
      </c>
      <c r="C10" s="2803" t="s">
        <v>3264</v>
      </c>
      <c r="D10" s="2806" t="s">
        <v>3265</v>
      </c>
      <c r="E10" s="2803" t="s">
        <v>3244</v>
      </c>
      <c r="F10" s="2802">
        <v>449.56</v>
      </c>
      <c r="G10" s="2802">
        <v>293.70999999999998</v>
      </c>
      <c r="H10" s="2802">
        <v>155.85</v>
      </c>
      <c r="I10" s="2802" t="s">
        <v>3266</v>
      </c>
      <c r="J10" s="2802">
        <v>587.41999999999996</v>
      </c>
      <c r="K10" s="2961"/>
      <c r="L10" s="2802" t="s">
        <v>3246</v>
      </c>
      <c r="M10" s="2803" t="s">
        <v>3584</v>
      </c>
      <c r="N10" s="2804">
        <v>43157</v>
      </c>
      <c r="O10" s="2804">
        <v>54750</v>
      </c>
      <c r="P10" s="2803" t="s">
        <v>3248</v>
      </c>
      <c r="Q10" s="2803" t="s">
        <v>3586</v>
      </c>
    </row>
    <row r="11" spans="1:17" ht="96">
      <c r="A11" s="2802">
        <v>9</v>
      </c>
      <c r="B11" s="2803" t="s">
        <v>3241</v>
      </c>
      <c r="C11" s="2803" t="s">
        <v>3267</v>
      </c>
      <c r="D11" s="2806" t="s">
        <v>3268</v>
      </c>
      <c r="E11" s="2803" t="s">
        <v>3244</v>
      </c>
      <c r="F11" s="2802">
        <v>361.31</v>
      </c>
      <c r="G11" s="2802">
        <v>242.66</v>
      </c>
      <c r="H11" s="2802">
        <v>118.65</v>
      </c>
      <c r="I11" s="2802" t="s">
        <v>3269</v>
      </c>
      <c r="J11" s="2802">
        <v>485.32</v>
      </c>
      <c r="K11" s="2961"/>
      <c r="L11" s="2802" t="s">
        <v>3246</v>
      </c>
      <c r="M11" s="2803" t="s">
        <v>3584</v>
      </c>
      <c r="N11" s="2804">
        <v>43157</v>
      </c>
      <c r="O11" s="2804">
        <v>54750</v>
      </c>
      <c r="P11" s="2803" t="s">
        <v>3248</v>
      </c>
      <c r="Q11" s="2803" t="s">
        <v>3586</v>
      </c>
    </row>
    <row r="12" spans="1:17" ht="96">
      <c r="A12" s="2802">
        <v>10</v>
      </c>
      <c r="B12" s="2803" t="s">
        <v>3241</v>
      </c>
      <c r="C12" s="2803" t="s">
        <v>3270</v>
      </c>
      <c r="D12" s="2806" t="s">
        <v>3271</v>
      </c>
      <c r="E12" s="2803" t="s">
        <v>3244</v>
      </c>
      <c r="F12" s="2802">
        <v>449.56</v>
      </c>
      <c r="G12" s="2802">
        <v>293.70999999999998</v>
      </c>
      <c r="H12" s="2802">
        <v>155.85</v>
      </c>
      <c r="I12" s="2802" t="s">
        <v>3272</v>
      </c>
      <c r="J12" s="2802">
        <v>587.41999999999996</v>
      </c>
      <c r="K12" s="2961"/>
      <c r="L12" s="2802" t="s">
        <v>3246</v>
      </c>
      <c r="M12" s="2803" t="s">
        <v>3584</v>
      </c>
      <c r="N12" s="2804">
        <v>43157</v>
      </c>
      <c r="O12" s="2804">
        <v>54750</v>
      </c>
      <c r="P12" s="2803" t="s">
        <v>3248</v>
      </c>
      <c r="Q12" s="2803" t="s">
        <v>3586</v>
      </c>
    </row>
    <row r="13" spans="1:17" ht="96">
      <c r="A13" s="2802">
        <v>11</v>
      </c>
      <c r="B13" s="2803" t="s">
        <v>3241</v>
      </c>
      <c r="C13" s="2803" t="s">
        <v>3273</v>
      </c>
      <c r="D13" s="2806" t="s">
        <v>3274</v>
      </c>
      <c r="E13" s="2803" t="s">
        <v>3244</v>
      </c>
      <c r="F13" s="2802">
        <v>361.31</v>
      </c>
      <c r="G13" s="2802">
        <v>242.66</v>
      </c>
      <c r="H13" s="2802">
        <v>118.65</v>
      </c>
      <c r="I13" s="2802" t="s">
        <v>3275</v>
      </c>
      <c r="J13" s="2802">
        <v>485.32</v>
      </c>
      <c r="K13" s="2961"/>
      <c r="L13" s="2802" t="s">
        <v>3246</v>
      </c>
      <c r="M13" s="2803" t="s">
        <v>3584</v>
      </c>
      <c r="N13" s="2804">
        <v>43157</v>
      </c>
      <c r="O13" s="2804">
        <v>54750</v>
      </c>
      <c r="P13" s="2803" t="s">
        <v>3248</v>
      </c>
      <c r="Q13" s="2803" t="s">
        <v>3586</v>
      </c>
    </row>
    <row r="14" spans="1:17" ht="96">
      <c r="A14" s="2802">
        <v>12</v>
      </c>
      <c r="B14" s="2803" t="s">
        <v>3241</v>
      </c>
      <c r="C14" s="2803" t="s">
        <v>3276</v>
      </c>
      <c r="D14" s="2806" t="s">
        <v>3277</v>
      </c>
      <c r="E14" s="2803" t="s">
        <v>3244</v>
      </c>
      <c r="F14" s="2802">
        <v>449.56</v>
      </c>
      <c r="G14" s="2802">
        <v>293.70999999999998</v>
      </c>
      <c r="H14" s="2802">
        <v>155.85</v>
      </c>
      <c r="I14" s="2802" t="s">
        <v>3278</v>
      </c>
      <c r="J14" s="2802">
        <v>587.41999999999996</v>
      </c>
      <c r="K14" s="2961"/>
      <c r="L14" s="2802" t="s">
        <v>3246</v>
      </c>
      <c r="M14" s="2803" t="s">
        <v>3584</v>
      </c>
      <c r="N14" s="2804">
        <v>43157</v>
      </c>
      <c r="O14" s="2804">
        <v>54750</v>
      </c>
      <c r="P14" s="2803" t="s">
        <v>3248</v>
      </c>
      <c r="Q14" s="2803" t="s">
        <v>3586</v>
      </c>
    </row>
    <row r="15" spans="1:17" ht="96">
      <c r="A15" s="2802">
        <v>13</v>
      </c>
      <c r="B15" s="2803" t="s">
        <v>3241</v>
      </c>
      <c r="C15" s="2803" t="s">
        <v>3279</v>
      </c>
      <c r="D15" s="2806" t="s">
        <v>3280</v>
      </c>
      <c r="E15" s="2803" t="s">
        <v>3244</v>
      </c>
      <c r="F15" s="2802">
        <v>361.31</v>
      </c>
      <c r="G15" s="2802">
        <v>242.66</v>
      </c>
      <c r="H15" s="2802">
        <v>118.65</v>
      </c>
      <c r="I15" s="2802" t="s">
        <v>3281</v>
      </c>
      <c r="J15" s="2802">
        <v>485.32</v>
      </c>
      <c r="K15" s="2961"/>
      <c r="L15" s="2802" t="s">
        <v>3246</v>
      </c>
      <c r="M15" s="2803" t="s">
        <v>3584</v>
      </c>
      <c r="N15" s="2804">
        <v>43157</v>
      </c>
      <c r="O15" s="2804">
        <v>54750</v>
      </c>
      <c r="P15" s="2803" t="s">
        <v>3248</v>
      </c>
      <c r="Q15" s="2803" t="s">
        <v>3586</v>
      </c>
    </row>
    <row r="16" spans="1:17" ht="96">
      <c r="A16" s="2802">
        <v>14</v>
      </c>
      <c r="B16" s="2803" t="s">
        <v>3241</v>
      </c>
      <c r="C16" s="2803" t="s">
        <v>3678</v>
      </c>
      <c r="D16" s="2806" t="s">
        <v>3282</v>
      </c>
      <c r="E16" s="2803" t="s">
        <v>3244</v>
      </c>
      <c r="F16" s="2802">
        <v>449.56</v>
      </c>
      <c r="G16" s="2802">
        <v>293.70999999999998</v>
      </c>
      <c r="H16" s="2802">
        <v>155.85</v>
      </c>
      <c r="I16" s="2802" t="s">
        <v>3283</v>
      </c>
      <c r="J16" s="2802">
        <v>587.41999999999996</v>
      </c>
      <c r="K16" s="2961"/>
      <c r="L16" s="2802" t="s">
        <v>3246</v>
      </c>
      <c r="M16" s="2803" t="s">
        <v>3584</v>
      </c>
      <c r="N16" s="2804">
        <v>43157</v>
      </c>
      <c r="O16" s="2804">
        <v>54750</v>
      </c>
      <c r="P16" s="2803" t="s">
        <v>3248</v>
      </c>
      <c r="Q16" s="2803" t="s">
        <v>3586</v>
      </c>
    </row>
    <row r="17" spans="1:18" ht="96">
      <c r="A17" s="2802">
        <v>15</v>
      </c>
      <c r="B17" s="2803" t="s">
        <v>3241</v>
      </c>
      <c r="C17" s="2803" t="s">
        <v>3594</v>
      </c>
      <c r="D17" s="2803" t="s">
        <v>3596</v>
      </c>
      <c r="E17" s="2803" t="s">
        <v>3244</v>
      </c>
      <c r="F17" s="2802">
        <v>361.31</v>
      </c>
      <c r="G17" s="2802">
        <v>242.66</v>
      </c>
      <c r="H17" s="2802">
        <v>118.65</v>
      </c>
      <c r="I17" s="2802" t="s">
        <v>3592</v>
      </c>
      <c r="J17" s="2802">
        <v>485.32</v>
      </c>
      <c r="K17" s="2961"/>
      <c r="L17" s="2802" t="s">
        <v>3246</v>
      </c>
      <c r="M17" s="2803" t="s">
        <v>3584</v>
      </c>
      <c r="N17" s="2804">
        <v>43157</v>
      </c>
      <c r="O17" s="2804">
        <v>54750</v>
      </c>
      <c r="P17" s="2803" t="s">
        <v>3248</v>
      </c>
      <c r="Q17" s="2803" t="s">
        <v>3586</v>
      </c>
    </row>
    <row r="18" spans="1:18" ht="96">
      <c r="A18" s="2802">
        <v>16</v>
      </c>
      <c r="B18" s="2803" t="s">
        <v>3241</v>
      </c>
      <c r="C18" s="2803" t="s">
        <v>3595</v>
      </c>
      <c r="D18" s="2803" t="s">
        <v>3597</v>
      </c>
      <c r="E18" s="2803" t="s">
        <v>3244</v>
      </c>
      <c r="F18" s="2802">
        <v>449.56</v>
      </c>
      <c r="G18" s="2802">
        <v>293.70999999999998</v>
      </c>
      <c r="H18" s="2802">
        <v>155.85</v>
      </c>
      <c r="I18" s="2802" t="s">
        <v>3593</v>
      </c>
      <c r="J18" s="2802">
        <v>587.41999999999996</v>
      </c>
      <c r="K18" s="2961"/>
      <c r="L18" s="2802" t="s">
        <v>3246</v>
      </c>
      <c r="M18" s="2803" t="s">
        <v>3584</v>
      </c>
      <c r="N18" s="2804">
        <v>43157</v>
      </c>
      <c r="O18" s="2804">
        <v>54750</v>
      </c>
      <c r="P18" s="2803" t="s">
        <v>3248</v>
      </c>
      <c r="Q18" s="2803" t="s">
        <v>3586</v>
      </c>
    </row>
    <row r="19" spans="1:18" ht="96">
      <c r="A19" s="2802">
        <v>17</v>
      </c>
      <c r="B19" s="2803" t="s">
        <v>3241</v>
      </c>
      <c r="C19" s="2803" t="s">
        <v>3284</v>
      </c>
      <c r="D19" s="2806" t="s">
        <v>3285</v>
      </c>
      <c r="E19" s="2803" t="s">
        <v>3244</v>
      </c>
      <c r="F19" s="2802">
        <v>449.56</v>
      </c>
      <c r="G19" s="2802">
        <v>293.70999999999998</v>
      </c>
      <c r="H19" s="2802">
        <v>155.85</v>
      </c>
      <c r="I19" s="2802" t="s">
        <v>3286</v>
      </c>
      <c r="J19" s="2802">
        <v>587.41999999999996</v>
      </c>
      <c r="K19" s="2961"/>
      <c r="L19" s="2802" t="s">
        <v>3246</v>
      </c>
      <c r="M19" s="2803" t="s">
        <v>3584</v>
      </c>
      <c r="N19" s="2804">
        <v>43157</v>
      </c>
      <c r="O19" s="2804">
        <v>54750</v>
      </c>
      <c r="P19" s="2803" t="s">
        <v>3248</v>
      </c>
      <c r="Q19" s="2803" t="s">
        <v>3586</v>
      </c>
    </row>
    <row r="20" spans="1:18" ht="96">
      <c r="A20" s="2802">
        <v>18</v>
      </c>
      <c r="B20" s="2803" t="s">
        <v>3241</v>
      </c>
      <c r="C20" s="2803" t="s">
        <v>3287</v>
      </c>
      <c r="D20" s="2806" t="s">
        <v>3288</v>
      </c>
      <c r="E20" s="2803" t="s">
        <v>3244</v>
      </c>
      <c r="F20" s="2802">
        <v>361.31</v>
      </c>
      <c r="G20" s="2802">
        <v>242.66</v>
      </c>
      <c r="H20" s="2802">
        <v>118.65</v>
      </c>
      <c r="I20" s="2802" t="s">
        <v>3289</v>
      </c>
      <c r="J20" s="2802">
        <v>485.32</v>
      </c>
      <c r="K20" s="2961"/>
      <c r="L20" s="2802" t="s">
        <v>3246</v>
      </c>
      <c r="M20" s="2803" t="s">
        <v>3584</v>
      </c>
      <c r="N20" s="2804">
        <v>43157</v>
      </c>
      <c r="O20" s="2804">
        <v>54750</v>
      </c>
      <c r="P20" s="2803" t="s">
        <v>3248</v>
      </c>
      <c r="Q20" s="2803" t="s">
        <v>3586</v>
      </c>
    </row>
    <row r="21" spans="1:18" ht="96">
      <c r="A21" s="2802">
        <v>19</v>
      </c>
      <c r="B21" s="2803" t="s">
        <v>3241</v>
      </c>
      <c r="C21" s="2803" t="s">
        <v>3290</v>
      </c>
      <c r="D21" s="2806" t="s">
        <v>3291</v>
      </c>
      <c r="E21" s="2803" t="s">
        <v>3244</v>
      </c>
      <c r="F21" s="2802">
        <v>449.56</v>
      </c>
      <c r="G21" s="2802">
        <v>293.70999999999998</v>
      </c>
      <c r="H21" s="2802">
        <v>155.85</v>
      </c>
      <c r="I21" s="2802" t="s">
        <v>3292</v>
      </c>
      <c r="J21" s="2802">
        <v>587.41999999999996</v>
      </c>
      <c r="K21" s="2961"/>
      <c r="L21" s="2802" t="s">
        <v>3246</v>
      </c>
      <c r="M21" s="2803" t="s">
        <v>3584</v>
      </c>
      <c r="N21" s="2804">
        <v>43157</v>
      </c>
      <c r="O21" s="2804">
        <v>54750</v>
      </c>
      <c r="P21" s="2803" t="s">
        <v>3248</v>
      </c>
      <c r="Q21" s="2803" t="s">
        <v>3586</v>
      </c>
    </row>
    <row r="22" spans="1:18" ht="96">
      <c r="A22" s="2802">
        <v>20</v>
      </c>
      <c r="B22" s="2803" t="s">
        <v>3241</v>
      </c>
      <c r="C22" s="2803" t="s">
        <v>3293</v>
      </c>
      <c r="D22" s="2806" t="s">
        <v>3294</v>
      </c>
      <c r="E22" s="2803" t="s">
        <v>3244</v>
      </c>
      <c r="F22" s="2802">
        <v>361.31</v>
      </c>
      <c r="G22" s="2802">
        <v>242.66</v>
      </c>
      <c r="H22" s="2802">
        <v>118.65</v>
      </c>
      <c r="I22" s="2802" t="s">
        <v>3295</v>
      </c>
      <c r="J22" s="2802">
        <v>485.32</v>
      </c>
      <c r="K22" s="2961"/>
      <c r="L22" s="2802" t="s">
        <v>3246</v>
      </c>
      <c r="M22" s="2803" t="s">
        <v>3584</v>
      </c>
      <c r="N22" s="2804">
        <v>43157</v>
      </c>
      <c r="O22" s="2804">
        <v>54750</v>
      </c>
      <c r="P22" s="2803" t="s">
        <v>3248</v>
      </c>
      <c r="Q22" s="2803" t="s">
        <v>3586</v>
      </c>
    </row>
    <row r="23" spans="1:18" ht="96">
      <c r="A23" s="2802">
        <v>21</v>
      </c>
      <c r="B23" s="2803" t="s">
        <v>3241</v>
      </c>
      <c r="C23" s="2803" t="s">
        <v>3296</v>
      </c>
      <c r="D23" s="2806" t="s">
        <v>3297</v>
      </c>
      <c r="E23" s="2803" t="s">
        <v>3244</v>
      </c>
      <c r="F23" s="2802">
        <v>449.56</v>
      </c>
      <c r="G23" s="2802">
        <v>293.70999999999998</v>
      </c>
      <c r="H23" s="2802">
        <v>155.85</v>
      </c>
      <c r="I23" s="2802" t="s">
        <v>3298</v>
      </c>
      <c r="J23" s="2802">
        <v>578.41999999999996</v>
      </c>
      <c r="K23" s="2961"/>
      <c r="L23" s="2802" t="s">
        <v>3246</v>
      </c>
      <c r="M23" s="2803" t="s">
        <v>3584</v>
      </c>
      <c r="N23" s="2804">
        <v>43157</v>
      </c>
      <c r="O23" s="2804">
        <v>54750</v>
      </c>
      <c r="P23" s="2803" t="s">
        <v>3248</v>
      </c>
      <c r="Q23" s="2803" t="s">
        <v>3586</v>
      </c>
    </row>
    <row r="24" spans="1:18" ht="96">
      <c r="A24" s="2802">
        <v>22</v>
      </c>
      <c r="B24" s="2803" t="s">
        <v>3241</v>
      </c>
      <c r="C24" s="2803" t="s">
        <v>3299</v>
      </c>
      <c r="D24" s="2806" t="s">
        <v>3301</v>
      </c>
      <c r="E24" s="2803" t="s">
        <v>3244</v>
      </c>
      <c r="F24" s="2802">
        <v>361.31</v>
      </c>
      <c r="G24" s="2802">
        <v>242.66</v>
      </c>
      <c r="H24" s="2802">
        <v>118.65</v>
      </c>
      <c r="I24" s="2802" t="s">
        <v>3300</v>
      </c>
      <c r="J24" s="2802">
        <v>485.22</v>
      </c>
      <c r="K24" s="2961"/>
      <c r="L24" s="2802" t="s">
        <v>3246</v>
      </c>
      <c r="M24" s="2803" t="s">
        <v>3584</v>
      </c>
      <c r="N24" s="2804">
        <v>43157</v>
      </c>
      <c r="O24" s="2804">
        <v>54750</v>
      </c>
      <c r="P24" s="2803" t="s">
        <v>3248</v>
      </c>
      <c r="Q24" s="2803" t="s">
        <v>3586</v>
      </c>
    </row>
    <row r="25" spans="1:18" ht="96">
      <c r="A25" s="2802">
        <v>23</v>
      </c>
      <c r="B25" s="2803" t="s">
        <v>3241</v>
      </c>
      <c r="C25" s="2803" t="s">
        <v>3302</v>
      </c>
      <c r="D25" s="2806" t="s">
        <v>3303</v>
      </c>
      <c r="E25" s="2803" t="s">
        <v>3244</v>
      </c>
      <c r="F25" s="2802">
        <v>449.56</v>
      </c>
      <c r="G25" s="2802">
        <v>293.70999999999998</v>
      </c>
      <c r="H25" s="2802">
        <v>155.85</v>
      </c>
      <c r="I25" s="2802" t="s">
        <v>3304</v>
      </c>
      <c r="J25" s="2802">
        <v>587.41999999999996</v>
      </c>
      <c r="K25" s="2961"/>
      <c r="L25" s="2802" t="s">
        <v>3246</v>
      </c>
      <c r="M25" s="2803" t="s">
        <v>3584</v>
      </c>
      <c r="N25" s="2804">
        <v>43157</v>
      </c>
      <c r="O25" s="2804">
        <v>54750</v>
      </c>
      <c r="P25" s="2803" t="s">
        <v>3248</v>
      </c>
      <c r="Q25" s="2803" t="s">
        <v>3586</v>
      </c>
    </row>
    <row r="26" spans="1:18" ht="96">
      <c r="A26" s="2802">
        <v>24</v>
      </c>
      <c r="B26" s="2803" t="s">
        <v>3241</v>
      </c>
      <c r="C26" s="2803" t="s">
        <v>3305</v>
      </c>
      <c r="D26" s="2806" t="s">
        <v>3306</v>
      </c>
      <c r="E26" s="2803" t="s">
        <v>3244</v>
      </c>
      <c r="F26" s="2802">
        <v>361.31</v>
      </c>
      <c r="G26" s="2802">
        <v>242.66</v>
      </c>
      <c r="H26" s="2802">
        <v>118.65</v>
      </c>
      <c r="I26" s="2802" t="s">
        <v>3307</v>
      </c>
      <c r="J26" s="2802">
        <v>485.32</v>
      </c>
      <c r="K26" s="2961"/>
      <c r="L26" s="2802" t="s">
        <v>3246</v>
      </c>
      <c r="M26" s="2803" t="s">
        <v>3584</v>
      </c>
      <c r="N26" s="2804">
        <v>43157</v>
      </c>
      <c r="O26" s="2804">
        <v>54750</v>
      </c>
      <c r="P26" s="2803" t="s">
        <v>3248</v>
      </c>
      <c r="Q26" s="2803" t="s">
        <v>3586</v>
      </c>
    </row>
    <row r="27" spans="1:18" ht="96">
      <c r="A27" s="2802">
        <v>25</v>
      </c>
      <c r="B27" s="2803" t="s">
        <v>3241</v>
      </c>
      <c r="C27" s="2803" t="s">
        <v>3308</v>
      </c>
      <c r="D27" s="2806" t="s">
        <v>3309</v>
      </c>
      <c r="E27" s="2803" t="s">
        <v>3244</v>
      </c>
      <c r="F27" s="2802">
        <v>449.56</v>
      </c>
      <c r="G27" s="2802">
        <v>293.70999999999998</v>
      </c>
      <c r="H27" s="2802">
        <v>155.85</v>
      </c>
      <c r="I27" s="2802" t="s">
        <v>3310</v>
      </c>
      <c r="J27" s="2802">
        <v>587.41999999999996</v>
      </c>
      <c r="K27" s="2961"/>
      <c r="L27" s="2802" t="s">
        <v>3246</v>
      </c>
      <c r="M27" s="2803" t="s">
        <v>3584</v>
      </c>
      <c r="N27" s="2804">
        <v>43157</v>
      </c>
      <c r="O27" s="2804">
        <v>54750</v>
      </c>
      <c r="P27" s="2803" t="s">
        <v>3248</v>
      </c>
      <c r="Q27" s="2803" t="s">
        <v>3586</v>
      </c>
      <c r="R27" s="2795">
        <f>H27/F27</f>
        <v>0.3466723018062105</v>
      </c>
    </row>
    <row r="28" spans="1:18" ht="96">
      <c r="A28" s="2802">
        <v>26</v>
      </c>
      <c r="B28" s="2803" t="s">
        <v>3241</v>
      </c>
      <c r="C28" s="2803" t="s">
        <v>3311</v>
      </c>
      <c r="D28" s="2806" t="s">
        <v>3312</v>
      </c>
      <c r="E28" s="2803" t="s">
        <v>3244</v>
      </c>
      <c r="F28" s="2802">
        <v>361.31</v>
      </c>
      <c r="G28" s="2802">
        <v>242.66</v>
      </c>
      <c r="H28" s="2802">
        <v>118.65</v>
      </c>
      <c r="I28" s="2802" t="s">
        <v>3313</v>
      </c>
      <c r="J28" s="2802">
        <v>485.32</v>
      </c>
      <c r="K28" s="2961"/>
      <c r="L28" s="2802" t="s">
        <v>3246</v>
      </c>
      <c r="M28" s="2803" t="s">
        <v>3584</v>
      </c>
      <c r="N28" s="2804">
        <v>43157</v>
      </c>
      <c r="O28" s="2804">
        <v>54750</v>
      </c>
      <c r="P28" s="2803" t="s">
        <v>3248</v>
      </c>
      <c r="Q28" s="2803" t="s">
        <v>3586</v>
      </c>
    </row>
    <row r="29" spans="1:18" ht="96">
      <c r="A29" s="2802">
        <v>27</v>
      </c>
      <c r="B29" s="2803" t="s">
        <v>3241</v>
      </c>
      <c r="C29" s="2803" t="s">
        <v>3314</v>
      </c>
      <c r="D29" s="2806" t="s">
        <v>3315</v>
      </c>
      <c r="E29" s="2803" t="s">
        <v>3244</v>
      </c>
      <c r="F29" s="2802">
        <v>361.31</v>
      </c>
      <c r="G29" s="2802">
        <v>242.66</v>
      </c>
      <c r="H29" s="2802">
        <v>118.65</v>
      </c>
      <c r="I29" s="2802" t="s">
        <v>3316</v>
      </c>
      <c r="J29" s="2802">
        <v>485.32</v>
      </c>
      <c r="K29" s="2961"/>
      <c r="L29" s="2802" t="s">
        <v>3246</v>
      </c>
      <c r="M29" s="2803" t="s">
        <v>3584</v>
      </c>
      <c r="N29" s="2804">
        <v>43157</v>
      </c>
      <c r="O29" s="2804">
        <v>54750</v>
      </c>
      <c r="P29" s="2803" t="s">
        <v>3248</v>
      </c>
      <c r="Q29" s="2803" t="s">
        <v>3586</v>
      </c>
    </row>
    <row r="30" spans="1:18" ht="96">
      <c r="A30" s="2802">
        <v>28</v>
      </c>
      <c r="B30" s="2803" t="s">
        <v>3241</v>
      </c>
      <c r="C30" s="2803" t="s">
        <v>3599</v>
      </c>
      <c r="D30" s="2803" t="s">
        <v>3600</v>
      </c>
      <c r="E30" s="2803" t="s">
        <v>3244</v>
      </c>
      <c r="F30" s="2802">
        <v>361.31</v>
      </c>
      <c r="G30" s="2802">
        <v>242.66</v>
      </c>
      <c r="H30" s="2802">
        <v>118.65</v>
      </c>
      <c r="I30" s="2802" t="s">
        <v>3598</v>
      </c>
      <c r="J30" s="2802">
        <v>485.32</v>
      </c>
      <c r="K30" s="2961"/>
      <c r="L30" s="2802" t="s">
        <v>3246</v>
      </c>
      <c r="M30" s="2803" t="s">
        <v>3584</v>
      </c>
      <c r="N30" s="2804">
        <v>43157</v>
      </c>
      <c r="O30" s="2804">
        <v>54750</v>
      </c>
      <c r="P30" s="2803" t="s">
        <v>3248</v>
      </c>
      <c r="Q30" s="2803" t="s">
        <v>3586</v>
      </c>
    </row>
    <row r="31" spans="1:18" ht="96">
      <c r="A31" s="2802">
        <v>29</v>
      </c>
      <c r="B31" s="2803" t="s">
        <v>3241</v>
      </c>
      <c r="C31" s="2803" t="s">
        <v>3607</v>
      </c>
      <c r="D31" s="2803" t="s">
        <v>3603</v>
      </c>
      <c r="E31" s="2803" t="s">
        <v>3244</v>
      </c>
      <c r="F31" s="2802">
        <v>361.31</v>
      </c>
      <c r="G31" s="2802">
        <v>242.66</v>
      </c>
      <c r="H31" s="2802">
        <v>118.65</v>
      </c>
      <c r="I31" s="2802" t="s">
        <v>3601</v>
      </c>
      <c r="J31" s="2802">
        <v>485.32</v>
      </c>
      <c r="K31" s="2961"/>
      <c r="L31" s="2802" t="s">
        <v>3246</v>
      </c>
      <c r="M31" s="2803" t="s">
        <v>3584</v>
      </c>
      <c r="N31" s="2804">
        <v>43157</v>
      </c>
      <c r="O31" s="2804">
        <v>54750</v>
      </c>
      <c r="P31" s="2803" t="s">
        <v>3248</v>
      </c>
      <c r="Q31" s="2803" t="s">
        <v>3586</v>
      </c>
    </row>
    <row r="32" spans="1:18" ht="96">
      <c r="A32" s="2802">
        <v>30</v>
      </c>
      <c r="B32" s="2803" t="s">
        <v>3241</v>
      </c>
      <c r="C32" s="2803" t="s">
        <v>3608</v>
      </c>
      <c r="D32" s="2803" t="s">
        <v>3606</v>
      </c>
      <c r="E32" s="2803" t="s">
        <v>3244</v>
      </c>
      <c r="F32" s="2802">
        <v>361.31</v>
      </c>
      <c r="G32" s="2802">
        <v>242.66</v>
      </c>
      <c r="H32" s="2802">
        <v>118.65</v>
      </c>
      <c r="I32" s="2802" t="s">
        <v>3602</v>
      </c>
      <c r="J32" s="2802">
        <v>485.32</v>
      </c>
      <c r="K32" s="2961"/>
      <c r="L32" s="2802" t="s">
        <v>3246</v>
      </c>
      <c r="M32" s="2803" t="s">
        <v>3584</v>
      </c>
      <c r="N32" s="2804">
        <v>43157</v>
      </c>
      <c r="O32" s="2804">
        <v>54750</v>
      </c>
      <c r="P32" s="2803" t="s">
        <v>3248</v>
      </c>
      <c r="Q32" s="2803" t="s">
        <v>3586</v>
      </c>
    </row>
    <row r="33" spans="1:18" ht="96">
      <c r="A33" s="2802">
        <v>31</v>
      </c>
      <c r="B33" s="2803" t="s">
        <v>3241</v>
      </c>
      <c r="C33" s="2803" t="s">
        <v>3609</v>
      </c>
      <c r="D33" s="2803" t="s">
        <v>3611</v>
      </c>
      <c r="E33" s="2803" t="s">
        <v>3244</v>
      </c>
      <c r="F33" s="2802">
        <v>361.31</v>
      </c>
      <c r="G33" s="2802">
        <v>242.66</v>
      </c>
      <c r="H33" s="2802">
        <v>118.65</v>
      </c>
      <c r="I33" s="2802" t="s">
        <v>3604</v>
      </c>
      <c r="J33" s="2802">
        <v>485.32</v>
      </c>
      <c r="K33" s="2961"/>
      <c r="L33" s="2802" t="s">
        <v>3246</v>
      </c>
      <c r="M33" s="2803" t="s">
        <v>3584</v>
      </c>
      <c r="N33" s="2804">
        <v>43157</v>
      </c>
      <c r="O33" s="2804">
        <v>54750</v>
      </c>
      <c r="P33" s="2803" t="s">
        <v>3248</v>
      </c>
      <c r="Q33" s="2803" t="s">
        <v>3586</v>
      </c>
    </row>
    <row r="34" spans="1:18" ht="96">
      <c r="A34" s="2802">
        <v>32</v>
      </c>
      <c r="B34" s="2803" t="s">
        <v>3241</v>
      </c>
      <c r="C34" s="2803" t="s">
        <v>3610</v>
      </c>
      <c r="D34" s="2803" t="s">
        <v>3612</v>
      </c>
      <c r="E34" s="2803" t="s">
        <v>3244</v>
      </c>
      <c r="F34" s="2802">
        <v>361.31</v>
      </c>
      <c r="G34" s="2802">
        <v>242.66</v>
      </c>
      <c r="H34" s="2802">
        <v>118.65</v>
      </c>
      <c r="I34" s="2802" t="s">
        <v>3605</v>
      </c>
      <c r="J34" s="2802">
        <v>485.32</v>
      </c>
      <c r="K34" s="2961"/>
      <c r="L34" s="2802" t="s">
        <v>3246</v>
      </c>
      <c r="M34" s="2803" t="s">
        <v>3584</v>
      </c>
      <c r="N34" s="2804">
        <v>43157</v>
      </c>
      <c r="O34" s="2804">
        <v>54750</v>
      </c>
      <c r="P34" s="2803" t="s">
        <v>3248</v>
      </c>
      <c r="Q34" s="2803" t="s">
        <v>3586</v>
      </c>
    </row>
    <row r="35" spans="1:18" ht="96">
      <c r="A35" s="2802">
        <v>33</v>
      </c>
      <c r="B35" s="2803" t="s">
        <v>3241</v>
      </c>
      <c r="C35" s="2803" t="s">
        <v>3615</v>
      </c>
      <c r="D35" s="2803" t="s">
        <v>3617</v>
      </c>
      <c r="E35" s="2803" t="s">
        <v>3244</v>
      </c>
      <c r="F35" s="2802">
        <v>361.31</v>
      </c>
      <c r="G35" s="2802">
        <v>242.66</v>
      </c>
      <c r="H35" s="2802">
        <v>118.65</v>
      </c>
      <c r="I35" s="2802" t="s">
        <v>3613</v>
      </c>
      <c r="J35" s="2802">
        <v>485.32</v>
      </c>
      <c r="K35" s="2961"/>
      <c r="L35" s="2802" t="s">
        <v>3246</v>
      </c>
      <c r="M35" s="2803" t="s">
        <v>3584</v>
      </c>
      <c r="N35" s="2804">
        <v>43157</v>
      </c>
      <c r="O35" s="2804">
        <v>54750</v>
      </c>
      <c r="P35" s="2803" t="s">
        <v>3248</v>
      </c>
      <c r="Q35" s="2803" t="s">
        <v>3586</v>
      </c>
    </row>
    <row r="36" spans="1:18" ht="96">
      <c r="A36" s="2802">
        <v>34</v>
      </c>
      <c r="B36" s="2803" t="s">
        <v>3241</v>
      </c>
      <c r="C36" s="2803" t="s">
        <v>3616</v>
      </c>
      <c r="D36" s="2803" t="s">
        <v>3618</v>
      </c>
      <c r="E36" s="2803" t="s">
        <v>3244</v>
      </c>
      <c r="F36" s="2802">
        <v>361.31</v>
      </c>
      <c r="G36" s="2802">
        <v>242.66</v>
      </c>
      <c r="H36" s="2802">
        <v>118.65</v>
      </c>
      <c r="I36" s="2802" t="s">
        <v>3614</v>
      </c>
      <c r="J36" s="2802">
        <v>485.32</v>
      </c>
      <c r="K36" s="2962"/>
      <c r="L36" s="2802" t="s">
        <v>3246</v>
      </c>
      <c r="M36" s="2803" t="s">
        <v>3584</v>
      </c>
      <c r="N36" s="2804">
        <v>43157</v>
      </c>
      <c r="O36" s="2804">
        <v>54750</v>
      </c>
      <c r="P36" s="2803" t="s">
        <v>3248</v>
      </c>
      <c r="Q36" s="2803" t="s">
        <v>3586</v>
      </c>
      <c r="R36" s="2795">
        <f>H36/F36</f>
        <v>0.32838836456228726</v>
      </c>
    </row>
    <row r="37" spans="1:18">
      <c r="A37" s="2802" t="s">
        <v>3317</v>
      </c>
      <c r="B37" s="2802"/>
      <c r="C37" s="2802"/>
      <c r="D37" s="2802"/>
      <c r="E37" s="2802"/>
      <c r="F37" s="2805">
        <f>SUM(F3:F36)</f>
        <v>15260.819999999994</v>
      </c>
      <c r="G37" s="2805">
        <f>SUM(G3:G36)</f>
        <v>10183.619999999999</v>
      </c>
      <c r="H37" s="2805">
        <f>SUM(H3:H36)</f>
        <v>5077.1999999999971</v>
      </c>
      <c r="I37" s="2805"/>
      <c r="J37" s="2805">
        <f>SUM(J3:J36)</f>
        <v>20358.139999999996</v>
      </c>
      <c r="K37" s="2802"/>
      <c r="L37" s="2802"/>
      <c r="M37" s="2802"/>
      <c r="N37" s="2802"/>
      <c r="O37" s="2802"/>
      <c r="P37" s="2802"/>
      <c r="Q37" s="2802"/>
    </row>
    <row r="40" spans="1:18">
      <c r="D40" s="2795" t="s">
        <v>3338</v>
      </c>
    </row>
    <row r="41" spans="1:18">
      <c r="D41" s="2808" t="s">
        <v>3318</v>
      </c>
    </row>
    <row r="42" spans="1:18">
      <c r="D42" s="2795" t="s">
        <v>3319</v>
      </c>
    </row>
    <row r="43" spans="1:18">
      <c r="D43" s="2808" t="s">
        <v>3320</v>
      </c>
    </row>
    <row r="44" spans="1:18">
      <c r="D44" s="2808" t="s">
        <v>3321</v>
      </c>
    </row>
    <row r="45" spans="1:18">
      <c r="D45" s="2808" t="s">
        <v>3322</v>
      </c>
    </row>
    <row r="46" spans="1:18">
      <c r="D46" s="2795" t="s">
        <v>3323</v>
      </c>
    </row>
    <row r="47" spans="1:18">
      <c r="D47" s="2808" t="s">
        <v>3324</v>
      </c>
    </row>
    <row r="48" spans="1:18">
      <c r="D48" s="2808" t="s">
        <v>3325</v>
      </c>
    </row>
    <row r="49" spans="4:19">
      <c r="D49" s="2795" t="s">
        <v>3326</v>
      </c>
    </row>
    <row r="50" spans="4:19">
      <c r="D50" s="2808" t="s">
        <v>3327</v>
      </c>
    </row>
    <row r="51" spans="4:19">
      <c r="D51" s="2795" t="s">
        <v>3328</v>
      </c>
    </row>
    <row r="52" spans="4:19">
      <c r="D52" s="2795" t="s">
        <v>3329</v>
      </c>
    </row>
    <row r="53" spans="4:19">
      <c r="D53" s="2808" t="s">
        <v>3330</v>
      </c>
      <c r="H53" s="2795">
        <f>1700*10000/450</f>
        <v>37777.777777777781</v>
      </c>
    </row>
    <row r="54" spans="4:19">
      <c r="D54" s="2808" t="s">
        <v>3331</v>
      </c>
    </row>
    <row r="55" spans="4:19">
      <c r="D55" s="2808" t="s">
        <v>3332</v>
      </c>
    </row>
    <row r="56" spans="4:19">
      <c r="D56" s="2808" t="s">
        <v>3333</v>
      </c>
    </row>
    <row r="57" spans="4:19">
      <c r="D57" s="2808" t="s">
        <v>3334</v>
      </c>
    </row>
    <row r="58" spans="4:19">
      <c r="D58" s="2808" t="s">
        <v>3335</v>
      </c>
    </row>
    <row r="59" spans="4:19">
      <c r="D59" s="2808" t="s">
        <v>3336</v>
      </c>
    </row>
    <row r="60" spans="4:19">
      <c r="D60" s="2808" t="s">
        <v>3337</v>
      </c>
    </row>
    <row r="62" spans="4:19">
      <c r="E62" s="2795" t="s">
        <v>3665</v>
      </c>
      <c r="F62" s="2795" t="s">
        <v>3666</v>
      </c>
      <c r="M62" s="778" t="s">
        <v>3680</v>
      </c>
      <c r="N62" s="778" t="s">
        <v>3681</v>
      </c>
      <c r="O62" s="778" t="s">
        <v>3684</v>
      </c>
      <c r="P62" s="778" t="s">
        <v>3679</v>
      </c>
    </row>
    <row r="63" spans="4:19">
      <c r="D63" s="2795" t="s">
        <v>3664</v>
      </c>
      <c r="E63" s="2795">
        <v>17543.689999999999</v>
      </c>
      <c r="F63" s="2795">
        <v>8058.18</v>
      </c>
      <c r="G63" s="2795">
        <f>E63+F63</f>
        <v>25601.87</v>
      </c>
      <c r="J63" s="2795">
        <v>25767.599999999999</v>
      </c>
      <c r="M63" s="778">
        <v>80634.87</v>
      </c>
      <c r="N63" s="778">
        <f>G65</f>
        <v>65031.89</v>
      </c>
      <c r="O63" s="778">
        <f>O64+O65</f>
        <v>15260.819999999994</v>
      </c>
      <c r="P63" s="2816">
        <f>O63*Q64</f>
        <v>20358.139999999996</v>
      </c>
      <c r="Q63" s="2795">
        <f>M63/N63</f>
        <v>1.2399281337202408</v>
      </c>
      <c r="R63" s="2795">
        <f>N63/M63</f>
        <v>0.80649835486806143</v>
      </c>
      <c r="S63" s="2817">
        <f>O63/R64</f>
        <v>20358.139999999996</v>
      </c>
    </row>
    <row r="64" spans="4:19">
      <c r="D64" s="2795" t="s">
        <v>3667</v>
      </c>
      <c r="E64" s="2795">
        <v>28103.09</v>
      </c>
      <c r="F64" s="2795">
        <v>11326.93</v>
      </c>
      <c r="G64" s="2795">
        <f>E64+F64</f>
        <v>39430.020000000004</v>
      </c>
      <c r="J64" s="2795">
        <v>39639.33</v>
      </c>
      <c r="L64" s="2795" t="s">
        <v>3682</v>
      </c>
      <c r="M64" s="778">
        <v>64507.9</v>
      </c>
      <c r="N64" s="778">
        <f>G63</f>
        <v>25601.87</v>
      </c>
      <c r="O64" s="778">
        <f>F37</f>
        <v>15260.819999999994</v>
      </c>
      <c r="P64" s="2816">
        <f>J37</f>
        <v>20358.139999999996</v>
      </c>
      <c r="Q64" s="2795">
        <f>P64/O64</f>
        <v>1.334013506482614</v>
      </c>
      <c r="R64" s="2795">
        <f>O64/P64</f>
        <v>0.74961759767837322</v>
      </c>
    </row>
    <row r="65" spans="5:16">
      <c r="E65" s="2795">
        <f>SUM(E63:E64)</f>
        <v>45646.78</v>
      </c>
      <c r="F65" s="2795">
        <f>SUM(F63:F64)</f>
        <v>19385.11</v>
      </c>
      <c r="G65" s="2795">
        <f>G63+G64</f>
        <v>65031.89</v>
      </c>
      <c r="H65" s="2795">
        <v>65406.93</v>
      </c>
      <c r="J65" s="2795">
        <f>SUM(J63:J64)</f>
        <v>65406.93</v>
      </c>
      <c r="L65" s="2795" t="s">
        <v>3683</v>
      </c>
      <c r="M65" s="778">
        <f>M63-M64</f>
        <v>16126.969999999994</v>
      </c>
      <c r="N65" s="778">
        <f>G64</f>
        <v>39430.020000000004</v>
      </c>
      <c r="O65" s="778">
        <f>'数据-基础表'!K13</f>
        <v>0</v>
      </c>
      <c r="P65" s="2816"/>
    </row>
    <row r="67" spans="5:16">
      <c r="J67" s="2795">
        <v>80634.87</v>
      </c>
    </row>
    <row r="68" spans="5:16">
      <c r="J68" s="2795">
        <v>64507.9</v>
      </c>
    </row>
    <row r="69" spans="5:16">
      <c r="J69" s="2795">
        <f>J67-J68</f>
        <v>16126.969999999994</v>
      </c>
    </row>
  </sheetData>
  <autoFilter ref="A2:P37" xr:uid="{00000000-0009-0000-0000-00000D000000}"/>
  <mergeCells count="2">
    <mergeCell ref="A1:Q1"/>
    <mergeCell ref="K3:K36"/>
  </mergeCells>
  <phoneticPr fontId="141"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72" t="s">
        <v>1817</v>
      </c>
      <c r="B2" s="2972"/>
      <c r="C2" s="2972"/>
      <c r="D2" s="845" t="s">
        <v>1793</v>
      </c>
      <c r="E2" s="1692" t="s">
        <v>1794</v>
      </c>
      <c r="F2" s="2621"/>
      <c r="G2" s="2614"/>
      <c r="H2" s="2615"/>
      <c r="I2" s="2344" t="s">
        <v>1818</v>
      </c>
      <c r="J2" s="2621"/>
      <c r="K2" s="2621"/>
      <c r="L2" s="2621"/>
      <c r="M2" s="2621"/>
      <c r="N2" s="2622"/>
      <c r="O2" s="2621"/>
      <c r="P2" s="2621"/>
    </row>
    <row r="3" spans="1:16" ht="15.75" thickBot="1">
      <c r="A3" s="2973" t="s">
        <v>1791</v>
      </c>
      <c r="B3" s="2973"/>
      <c r="C3" s="2973"/>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74"/>
      <c r="B4" s="2975"/>
      <c r="C4" s="2976"/>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77" t="s">
        <v>1796</v>
      </c>
      <c r="C5" s="2977"/>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77" t="s">
        <v>1797</v>
      </c>
      <c r="C6" s="2977"/>
      <c r="D6" s="45">
        <f>ROUND($D$3*E6/$E$3,2)</f>
        <v>0</v>
      </c>
      <c r="E6" s="46">
        <f>E3-E5</f>
        <v>0</v>
      </c>
      <c r="F6" s="2621"/>
      <c r="G6" s="1698" t="s">
        <v>1798</v>
      </c>
      <c r="H6" s="47" t="s">
        <v>1799</v>
      </c>
      <c r="I6" s="2617">
        <f>ROUND(F31/D31,2)</f>
        <v>0.75</v>
      </c>
      <c r="J6" s="2621"/>
      <c r="K6" s="2621"/>
      <c r="L6" s="2621"/>
      <c r="M6" s="2621"/>
      <c r="N6" s="2621"/>
      <c r="O6" s="2621"/>
      <c r="P6" s="2621"/>
    </row>
    <row r="7" spans="1:16" ht="15.75" thickBot="1">
      <c r="A7" s="2969"/>
      <c r="B7" s="2970"/>
      <c r="C7" s="2971"/>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66" t="s">
        <v>1821</v>
      </c>
      <c r="L16" s="2967"/>
      <c r="M16" s="2967"/>
      <c r="N16" s="2967"/>
      <c r="O16" s="2967"/>
      <c r="P16" s="2968"/>
    </row>
    <row r="17" spans="1:19" ht="15">
      <c r="A17" s="1702" t="s">
        <v>1822</v>
      </c>
      <c r="B17" s="1703" t="s">
        <v>1823</v>
      </c>
      <c r="C17" s="1704" t="s">
        <v>1824</v>
      </c>
      <c r="D17" s="1705" t="s">
        <v>1812</v>
      </c>
      <c r="E17" s="1706" t="s">
        <v>1813</v>
      </c>
      <c r="F17" s="1707"/>
      <c r="G17" s="1708"/>
      <c r="H17" s="1709" t="s">
        <v>1825</v>
      </c>
      <c r="I17" s="1710" t="s">
        <v>1810</v>
      </c>
      <c r="J17" s="1219"/>
      <c r="K17" s="2963" t="s">
        <v>1826</v>
      </c>
      <c r="L17" s="2964"/>
      <c r="M17" s="2965"/>
      <c r="N17" s="2963" t="s">
        <v>1827</v>
      </c>
      <c r="O17" s="2964"/>
      <c r="P17" s="2965"/>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2"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2"/>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0.05</v>
      </c>
      <c r="J6" s="66">
        <v>8.5000000000000006E-2</v>
      </c>
      <c r="K6" s="1089">
        <f>SUMIF('数据-汇总表'!C$19:C$33,A6,'数据-汇总表'!E$19:E$33)</f>
        <v>15260.819999999994</v>
      </c>
      <c r="L6" s="699">
        <v>4000</v>
      </c>
      <c r="M6" s="67">
        <f t="shared" ref="M6:M14" si="0">ROUND(K6*L6/10000,0)</f>
        <v>6104</v>
      </c>
      <c r="N6" s="697">
        <f>ROUND((1-0%)-(2024-2018)/60,4)</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3</v>
      </c>
      <c r="V6" s="71">
        <v>1.4999999999999999E-2</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5.0000000000000001E-3</v>
      </c>
      <c r="AL6" s="80">
        <v>1E-3</v>
      </c>
      <c r="AM6" s="81">
        <v>5.0000000000000001E-3</v>
      </c>
      <c r="AN6" s="1758" t="s">
        <v>3623</v>
      </c>
      <c r="AO6" s="52">
        <f ca="1">SUMIF(INDIRECT("'"&amp;AN6&amp;"'"&amp;"!A:A"),"总价",INDIRECT("'"&amp;AN6&amp;"'"&amp;"!B:B"))</f>
        <v>17933</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4"/>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3760</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2" t="s">
        <v>3761</v>
      </c>
      <c r="L24" s="2823">
        <v>3210.0893120528299</v>
      </c>
      <c r="M24" s="2823">
        <v>3134.7474133186602</v>
      </c>
      <c r="N24" s="2823">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0" t="s">
        <v>603</v>
      </c>
      <c r="K25" s="2824" t="s">
        <v>3762</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3686</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3687</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0"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3715</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78" t="s">
        <v>3013</v>
      </c>
      <c r="B1" s="2979"/>
      <c r="C1" s="2979"/>
      <c r="D1" s="2979"/>
      <c r="E1" s="2979"/>
      <c r="F1" s="2979"/>
      <c r="G1" s="2979"/>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Normal="80" zoomScaleSheetLayoutView="100" workbookViewId="0">
      <selection activeCell="J15" sqref="J15"/>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41755</v>
      </c>
      <c r="C5" s="2500">
        <f ca="1">ROUND(B5*10000/$B$1,0)</f>
        <v>27361</v>
      </c>
      <c r="D5" s="2500">
        <f ca="1">ROUND(B5*10000/$B$2,0)</f>
        <v>20510</v>
      </c>
      <c r="E5" s="2815"/>
      <c r="F5" s="2646"/>
      <c r="G5" s="2646"/>
      <c r="H5" s="2646"/>
      <c r="I5" s="2646"/>
      <c r="J5" s="2646"/>
      <c r="K5" s="2646"/>
    </row>
    <row r="6" spans="1:11" ht="16.5">
      <c r="A6" s="2500" t="s">
        <v>1322</v>
      </c>
      <c r="B6" s="2500">
        <f ca="1">SUM(G14:G23)</f>
        <v>23383</v>
      </c>
      <c r="C6" s="2500">
        <f ca="1">ROUND(B6*10000/$B$1,0)</f>
        <v>15322</v>
      </c>
      <c r="D6" s="2500">
        <f ca="1">ROUND(B6*10000/$B$2,0)</f>
        <v>11486</v>
      </c>
      <c r="E6" s="2646" t="s">
        <v>3685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73" t="s">
        <v>3835</v>
      </c>
      <c r="H12" s="2646">
        <v>0.56000000000000005</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41755</v>
      </c>
      <c r="E14" s="2506">
        <f ca="1">ROUND(D14*10000/B14,0)</f>
        <v>27361</v>
      </c>
      <c r="F14" s="2506">
        <f ca="1">ROUND(D14*10000/C14,0)</f>
        <v>20510</v>
      </c>
      <c r="G14" s="2506">
        <f ca="1">ROUND(D14*H12,0)</f>
        <v>23383</v>
      </c>
      <c r="H14" s="2506" t="str">
        <f>结果表!D124</f>
        <v>——</v>
      </c>
      <c r="I14" s="2506" t="str">
        <f>结果表!D126</f>
        <v>——</v>
      </c>
      <c r="J14" s="2646">
        <f ca="1">E14*H12</f>
        <v>15322.160000000002</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19"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F54B-E5D1-40A2-B752-855C0313EB9C}">
  <sheetPr>
    <tabColor rgb="FF92D050"/>
  </sheetPr>
  <dimension ref="D2:Y61"/>
  <sheetViews>
    <sheetView workbookViewId="0">
      <selection activeCell="J17" sqref="J17"/>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4:25" ht="14.25">
      <c r="P2" s="2984" t="s">
        <v>3797</v>
      </c>
      <c r="Q2" s="2984"/>
      <c r="R2" s="2982" t="s">
        <v>3798</v>
      </c>
      <c r="S2" s="2982" t="s">
        <v>3799</v>
      </c>
      <c r="V2" s="2984" t="s">
        <v>3797</v>
      </c>
      <c r="W2" s="2984"/>
      <c r="X2" s="2982" t="s">
        <v>3798</v>
      </c>
      <c r="Y2" s="2982" t="s">
        <v>3799</v>
      </c>
    </row>
    <row r="3" spans="4:25" ht="14.25">
      <c r="P3" s="2847" t="s">
        <v>3800</v>
      </c>
      <c r="Q3" s="2847" t="s">
        <v>3801</v>
      </c>
      <c r="R3" s="2983"/>
      <c r="S3" s="2983"/>
      <c r="V3" s="2847" t="s">
        <v>3800</v>
      </c>
      <c r="W3" s="2847" t="s">
        <v>3801</v>
      </c>
      <c r="X3" s="2983"/>
      <c r="Y3" s="2983"/>
    </row>
    <row r="4" spans="4: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4:25" ht="14.25">
      <c r="I5">
        <f ca="1">F12</f>
        <v>41755</v>
      </c>
      <c r="J5" s="2876">
        <v>0.01</v>
      </c>
      <c r="K5">
        <f ca="1">I5*J5</f>
        <v>417.55</v>
      </c>
      <c r="P5" s="1146">
        <v>201</v>
      </c>
      <c r="Q5" s="1146">
        <v>1000</v>
      </c>
      <c r="R5" s="1146">
        <v>3</v>
      </c>
      <c r="S5" s="1146">
        <f>S4+(Q5-Q4)*R5*100</f>
        <v>340000</v>
      </c>
      <c r="V5" s="1146">
        <v>101</v>
      </c>
      <c r="W5" s="1146">
        <v>1000</v>
      </c>
      <c r="X5" s="1146">
        <v>2.5</v>
      </c>
      <c r="Y5" s="1146">
        <f>Y4+(W5-W4)*X5*10</f>
        <v>27500</v>
      </c>
    </row>
    <row r="6" spans="4:25" ht="14.25">
      <c r="P6" s="1146">
        <v>1001</v>
      </c>
      <c r="Q6" s="1146">
        <v>5000</v>
      </c>
      <c r="R6" s="1146">
        <v>2</v>
      </c>
      <c r="S6" s="1146">
        <f t="shared" ref="S6:S7" si="0">S5+(Q6-Q5)*R6*100</f>
        <v>1140000</v>
      </c>
      <c r="V6" s="1146">
        <v>1001</v>
      </c>
      <c r="W6" s="1146">
        <v>2000</v>
      </c>
      <c r="X6" s="1146">
        <v>1.5</v>
      </c>
      <c r="Y6" s="1146">
        <f t="shared" ref="Y6:Y9" si="1">Y5+(W6-W5)*X6*10</f>
        <v>42500</v>
      </c>
    </row>
    <row r="7" spans="4:25" ht="14.25">
      <c r="P7" s="1146">
        <v>5001</v>
      </c>
      <c r="Q7" s="1146">
        <v>10000</v>
      </c>
      <c r="R7" s="1146">
        <v>1</v>
      </c>
      <c r="S7" s="1146">
        <f t="shared" si="0"/>
        <v>1640000</v>
      </c>
      <c r="V7" s="1146">
        <v>2001</v>
      </c>
      <c r="W7" s="1146">
        <v>5000</v>
      </c>
      <c r="X7" s="1146">
        <v>0.8</v>
      </c>
      <c r="Y7" s="1146">
        <f t="shared" si="1"/>
        <v>66500</v>
      </c>
    </row>
    <row r="8" spans="4:25" ht="14.25">
      <c r="P8" s="1146">
        <v>10001</v>
      </c>
      <c r="Q8" s="1146"/>
      <c r="R8" s="1146">
        <v>0.5</v>
      </c>
      <c r="S8" s="1146"/>
      <c r="V8" s="1146">
        <v>5001</v>
      </c>
      <c r="W8" s="1146">
        <v>8000</v>
      </c>
      <c r="X8" s="1146">
        <v>0.4</v>
      </c>
      <c r="Y8" s="1146">
        <f t="shared" si="1"/>
        <v>78500</v>
      </c>
    </row>
    <row r="9" spans="4:25" ht="14.25">
      <c r="P9" s="1146"/>
      <c r="Q9" s="1146"/>
      <c r="R9" s="1146"/>
      <c r="S9" s="1146"/>
      <c r="V9" s="1146">
        <v>8001</v>
      </c>
      <c r="W9" s="1146">
        <v>10000</v>
      </c>
      <c r="X9" s="1146">
        <v>0.2</v>
      </c>
      <c r="Y9" s="1146">
        <f t="shared" si="1"/>
        <v>82500</v>
      </c>
    </row>
    <row r="10" spans="4:25" ht="14.25">
      <c r="P10" s="1146"/>
      <c r="Q10" s="1146"/>
      <c r="R10" s="1146"/>
      <c r="S10" s="1146"/>
      <c r="V10" s="1146">
        <v>10001</v>
      </c>
      <c r="W10" s="1146"/>
      <c r="X10" s="1146">
        <v>0.1</v>
      </c>
      <c r="Y10" s="1146"/>
    </row>
    <row r="11" spans="4:25" ht="14.25">
      <c r="P11" s="2848" t="s">
        <v>3802</v>
      </c>
      <c r="Q11" s="2848">
        <f ca="1">F12</f>
        <v>41755</v>
      </c>
      <c r="R11" s="2848" t="s">
        <v>3803</v>
      </c>
      <c r="S11" s="2849"/>
      <c r="V11" s="2848" t="s">
        <v>3802</v>
      </c>
      <c r="W11" s="2848">
        <f ca="1">Q11</f>
        <v>41755</v>
      </c>
      <c r="X11" s="2848" t="s">
        <v>3803</v>
      </c>
      <c r="Y11" s="2849"/>
    </row>
    <row r="12" spans="4:25" ht="29.25" thickBot="1">
      <c r="D12" s="1574" t="s">
        <v>3807</v>
      </c>
      <c r="E12" s="1574" t="s">
        <v>3833</v>
      </c>
      <c r="F12">
        <f ca="1">结果表!G19</f>
        <v>41755</v>
      </c>
      <c r="J12" s="1574" t="s">
        <v>3808</v>
      </c>
      <c r="P12" s="2850" t="s">
        <v>3804</v>
      </c>
      <c r="Q12" s="2851">
        <f ca="1">IF(Q11&gt;=Q7,(S7+(Q11-Q7)*R8*100),IF(AND(Q11&gt;=Q6,Q11&lt;Q7),(S6+(Q11-Q6)*R7*100),IF(AND(Q11&gt;=Q5,Q11&lt;Q6),(S5+(Q11-Q5)*R6*100),IF(AND(Q11&gt;=Q4,Q11&lt;Q5),(S4+(Q11-Q4)*R5*100),IF(AND(Q11&gt;=0,Q11&lt;Q4),(Q11-P4)*R4*100)))))</f>
        <v>3227750</v>
      </c>
      <c r="R12" s="2850" t="s">
        <v>3805</v>
      </c>
      <c r="S12" s="2849"/>
      <c r="V12" s="2850" t="s">
        <v>3804</v>
      </c>
      <c r="W12" s="2851">
        <f ca="1">IF(W11&gt;=W9,(Y9+(W11-W9)*X10*10),IF(AND(W11&gt;=W8,W11&lt;W9),(Y8+(W9-W8)*X9*10),IF(AND(W11&gt;=W7,W11&lt;W8),(Y7+(W8-W7)*X8*10),IF(AND(W11&gt;=W6,W11&lt;W7),(Y6+(W11-W6)*X7*10),IF(AND(W11&gt;=W5,W11&lt;W6),(Y5+(W11-W5)*X6*10),IF(AND(W11&gt;=W4,W11&lt;W5),(Y4+(W11-W4)*X5*10),IF(AND(W11&gt;=0,W11&lt;W4),(W11-V4)*X4*10)))))))</f>
        <v>114255</v>
      </c>
      <c r="X12" s="2850" t="s">
        <v>3805</v>
      </c>
      <c r="Y12" s="2849"/>
    </row>
    <row r="13" spans="4:25" ht="26.25" thickBot="1">
      <c r="D13" s="2825" t="s">
        <v>3047</v>
      </c>
      <c r="E13" s="2826" t="s">
        <v>3775</v>
      </c>
      <c r="F13" s="2826" t="s">
        <v>3776</v>
      </c>
      <c r="G13" s="2826" t="s">
        <v>3777</v>
      </c>
      <c r="H13" s="2826" t="s">
        <v>3778</v>
      </c>
      <c r="J13" s="2825" t="s">
        <v>3047</v>
      </c>
      <c r="K13" s="2826" t="s">
        <v>3775</v>
      </c>
      <c r="L13" s="2826" t="s">
        <v>3776</v>
      </c>
      <c r="M13" s="2826" t="s">
        <v>3777</v>
      </c>
      <c r="N13" s="2826" t="s">
        <v>3778</v>
      </c>
      <c r="P13" s="2852" t="s">
        <v>3806</v>
      </c>
      <c r="Q13" s="2852">
        <f ca="1">ROUND(Q12/10000,2)</f>
        <v>322.77999999999997</v>
      </c>
      <c r="R13" s="2852" t="s">
        <v>3803</v>
      </c>
      <c r="S13" s="2849"/>
      <c r="V13" s="2852" t="s">
        <v>3806</v>
      </c>
      <c r="W13" s="2852">
        <f ca="1">ROUND(W12/10000,2)</f>
        <v>11.43</v>
      </c>
      <c r="X13" s="2852" t="s">
        <v>3803</v>
      </c>
      <c r="Y13" s="2849"/>
    </row>
    <row r="14" spans="4:25" ht="26.25" thickBot="1">
      <c r="D14" s="2827">
        <v>1</v>
      </c>
      <c r="E14" s="2828" t="s">
        <v>3779</v>
      </c>
      <c r="F14" s="2829">
        <f ca="1">ROUND(F12*H14,0)</f>
        <v>2338</v>
      </c>
      <c r="G14" s="2828" t="s">
        <v>3780</v>
      </c>
      <c r="H14" s="2830">
        <v>5.6000000000000001E-2</v>
      </c>
      <c r="J14" s="2831">
        <v>1</v>
      </c>
      <c r="K14" s="2832" t="s">
        <v>3790</v>
      </c>
      <c r="L14" s="2835">
        <f ca="1">ROUND(F12*N14,0)</f>
        <v>1253</v>
      </c>
      <c r="M14" s="2836" t="s">
        <v>3782</v>
      </c>
      <c r="N14" s="2837">
        <v>0.03</v>
      </c>
    </row>
    <row r="15" spans="4:25" ht="26.25" thickBot="1">
      <c r="D15" s="2831">
        <v>2</v>
      </c>
      <c r="E15" s="2828" t="s">
        <v>3781</v>
      </c>
      <c r="F15" s="2829">
        <f ca="1">结果表!D55</f>
        <v>21</v>
      </c>
      <c r="G15" s="2832" t="s">
        <v>3782</v>
      </c>
      <c r="H15" s="2881">
        <v>5.0000000000000001E-4</v>
      </c>
      <c r="J15" s="2831">
        <v>2</v>
      </c>
      <c r="K15" s="2838" t="s">
        <v>3781</v>
      </c>
      <c r="L15" s="2839">
        <f ca="1">ROUND(F12*N15,0)</f>
        <v>21</v>
      </c>
      <c r="M15" s="2840" t="s">
        <v>3782</v>
      </c>
      <c r="N15" s="2841">
        <v>5.0000000000000001E-4</v>
      </c>
      <c r="P15" s="2848" t="s">
        <v>3802</v>
      </c>
      <c r="Q15" s="2848">
        <f ca="1">F25</f>
        <v>23383</v>
      </c>
      <c r="R15" s="2848" t="s">
        <v>3803</v>
      </c>
      <c r="V15" s="2848" t="s">
        <v>3802</v>
      </c>
      <c r="W15" s="2848">
        <f ca="1">Q15</f>
        <v>23383</v>
      </c>
      <c r="X15" s="2848" t="s">
        <v>3803</v>
      </c>
    </row>
    <row r="16" spans="4:25" ht="64.5" thickBot="1">
      <c r="D16" s="2831">
        <v>3</v>
      </c>
      <c r="E16" s="2828" t="s">
        <v>3783</v>
      </c>
      <c r="F16" s="2829">
        <f ca="1">结果表!D56</f>
        <v>5932</v>
      </c>
      <c r="G16" s="2828" t="s">
        <v>3784</v>
      </c>
      <c r="H16" s="2832" t="s">
        <v>3785</v>
      </c>
      <c r="J16" s="2831">
        <v>3</v>
      </c>
      <c r="K16" s="2838" t="s">
        <v>3837</v>
      </c>
      <c r="L16" s="2839">
        <f ca="1">F12*N16</f>
        <v>417.55</v>
      </c>
      <c r="M16" s="2840" t="s">
        <v>3840</v>
      </c>
      <c r="N16" s="2841">
        <v>0.01</v>
      </c>
      <c r="P16" s="2850" t="s">
        <v>3804</v>
      </c>
      <c r="Q16" s="2851">
        <f ca="1">IF(Q15&gt;=Q7,(S7+(Q15-Q7)*R8*100),IF(AND(Q15&gt;=Q6,Q15&lt;Q7),(S6+(Q15-Q6)*R7*100),IF(AND(Q15&gt;=Q5,Q15&lt;Q6),(S5+(Q15-Q5)*R6*100),IF(AND(Q15&gt;=Q4,Q15&lt;Q5),(S4+(Q15-Q4)*R5*100),IF(AND(Q15&gt;=0,Q15&lt;Q4),(Q15-P4)*R4*100)))))</f>
        <v>2309150</v>
      </c>
      <c r="R16" s="2850" t="s">
        <v>3805</v>
      </c>
      <c r="V16" s="2850" t="s">
        <v>3804</v>
      </c>
      <c r="W16" s="2851">
        <f ca="1">IF(W15&gt;=W9,(Y9+(W15-W9)*X10*10),IF(AND(W15&gt;=W8,W15&lt;W9),(Y8+(W9-W8)*X9*10),IF(AND(W15&gt;=W7,W15&lt;W8),(Y7+(W8-W7)*X8*10),IF(AND(W15&gt;=W6,W15&lt;W7),(Y6+(W15-W6)*X7*10),IF(AND(W15&gt;=W5,W15&lt;W6),(Y5+(W15-W5)*X6*10),IF(AND(W15&gt;=W4,W15&lt;W5),(Y4+(W15-W4)*X5*10),IF(AND(W15&gt;=0,W15&lt;W4),(W15-V4)*X4*10)))))))</f>
        <v>95883</v>
      </c>
      <c r="X16" s="2850" t="s">
        <v>3805</v>
      </c>
    </row>
    <row r="17" spans="4:24" ht="77.25" thickBot="1">
      <c r="D17" s="2831">
        <v>4</v>
      </c>
      <c r="E17" s="2832" t="s">
        <v>3786</v>
      </c>
      <c r="F17" s="2829">
        <f ca="1">Q13</f>
        <v>322.77999999999997</v>
      </c>
      <c r="G17" s="2832" t="s">
        <v>3787</v>
      </c>
      <c r="H17" s="2833" t="s">
        <v>3838</v>
      </c>
      <c r="J17" s="2831">
        <v>4</v>
      </c>
      <c r="K17" s="2838" t="s">
        <v>37</v>
      </c>
      <c r="L17" s="2839">
        <f ca="1">SUM(L14:L16)</f>
        <v>1691.55</v>
      </c>
      <c r="M17" s="2839" t="s">
        <v>70</v>
      </c>
      <c r="N17" s="2842" t="s">
        <v>70</v>
      </c>
      <c r="P17" s="2852" t="s">
        <v>3806</v>
      </c>
      <c r="Q17" s="2852">
        <f ca="1">ROUND(Q16/10000,2)</f>
        <v>230.92</v>
      </c>
      <c r="R17" s="2852" t="s">
        <v>3803</v>
      </c>
      <c r="V17" s="2852" t="s">
        <v>3806</v>
      </c>
      <c r="W17" s="2852">
        <f ca="1">ROUND(W16/10000,2)</f>
        <v>9.59</v>
      </c>
      <c r="X17" s="2852" t="s">
        <v>3803</v>
      </c>
    </row>
    <row r="18" spans="4:24" ht="77.25" thickBot="1">
      <c r="D18" s="2831">
        <v>5</v>
      </c>
      <c r="E18" s="2832" t="s">
        <v>3788</v>
      </c>
      <c r="F18" s="2829">
        <f ca="1">W13</f>
        <v>11.43</v>
      </c>
      <c r="G18" s="2828" t="s">
        <v>3787</v>
      </c>
      <c r="H18" s="2834" t="s">
        <v>3789</v>
      </c>
      <c r="K18" s="2821" t="s">
        <v>3812</v>
      </c>
      <c r="L18" s="2839">
        <f ca="1">F12*N18</f>
        <v>835.1</v>
      </c>
      <c r="M18" s="2854" t="s">
        <v>3782</v>
      </c>
      <c r="N18" s="2853">
        <v>0.02</v>
      </c>
    </row>
    <row r="19" spans="4:24" ht="26.25" thickBot="1">
      <c r="D19" s="2831">
        <v>6</v>
      </c>
      <c r="E19" s="2838" t="s">
        <v>3837</v>
      </c>
      <c r="F19" s="2829">
        <f ca="1">F12*H19</f>
        <v>417.55</v>
      </c>
      <c r="G19" s="2828" t="s">
        <v>3839</v>
      </c>
      <c r="H19" s="2880">
        <v>0.01</v>
      </c>
      <c r="K19" s="1574" t="s">
        <v>3813</v>
      </c>
      <c r="L19">
        <f>N19*'数据-汇总表'!F19/10000</f>
        <v>16.786901999999994</v>
      </c>
      <c r="M19" s="1574" t="s">
        <v>3814</v>
      </c>
      <c r="N19">
        <v>11</v>
      </c>
    </row>
    <row r="20" spans="4:24" ht="14.25" thickBot="1">
      <c r="D20" s="2980" t="s">
        <v>37</v>
      </c>
      <c r="E20" s="2981"/>
      <c r="F20" s="2835">
        <f ca="1">SUM(F14:F19)</f>
        <v>9042.76</v>
      </c>
      <c r="G20" s="2835" t="s">
        <v>70</v>
      </c>
      <c r="H20" s="2835" t="s">
        <v>70</v>
      </c>
    </row>
    <row r="21" spans="4:24">
      <c r="D21" s="2870"/>
      <c r="E21" s="2870"/>
      <c r="F21" s="2871"/>
      <c r="G21" s="2871"/>
      <c r="H21" s="2871"/>
    </row>
    <row r="22" spans="4:24">
      <c r="D22" s="2870"/>
      <c r="E22" s="2870"/>
      <c r="F22" s="2871"/>
      <c r="G22" s="2871"/>
      <c r="H22" s="2871"/>
    </row>
    <row r="23" spans="4:24">
      <c r="D23" s="2870"/>
      <c r="E23" s="2870"/>
      <c r="F23" s="2871"/>
      <c r="G23" s="2871"/>
      <c r="H23" s="2871"/>
    </row>
    <row r="24" spans="4:24">
      <c r="D24" s="2870"/>
      <c r="E24" s="2870"/>
      <c r="F24" s="2871"/>
      <c r="G24" s="2871"/>
      <c r="H24" s="2871"/>
    </row>
    <row r="25" spans="4:24" ht="14.25" thickBot="1">
      <c r="D25" s="1574" t="s">
        <v>3807</v>
      </c>
      <c r="E25" s="1574" t="s">
        <v>3834</v>
      </c>
      <c r="F25">
        <f ca="1">ROUND(F12*G25,0)</f>
        <v>23383</v>
      </c>
      <c r="G25">
        <v>0.56000000000000005</v>
      </c>
      <c r="J25" s="1574" t="s">
        <v>3808</v>
      </c>
    </row>
    <row r="26" spans="4:24" ht="26.25" thickBot="1">
      <c r="D26" s="2825" t="s">
        <v>3047</v>
      </c>
      <c r="E26" s="2826" t="s">
        <v>3775</v>
      </c>
      <c r="F26" s="2826" t="s">
        <v>3776</v>
      </c>
      <c r="G26" s="2826" t="s">
        <v>3777</v>
      </c>
      <c r="H26" s="2826" t="s">
        <v>3778</v>
      </c>
      <c r="J26" s="2825" t="s">
        <v>3047</v>
      </c>
      <c r="K26" s="2826" t="s">
        <v>3775</v>
      </c>
      <c r="L26" s="2826" t="s">
        <v>3776</v>
      </c>
      <c r="M26" s="2826" t="s">
        <v>3777</v>
      </c>
      <c r="N26" s="2826" t="s">
        <v>3778</v>
      </c>
    </row>
    <row r="27" spans="4:24" ht="26.25" thickBot="1">
      <c r="D27" s="2827">
        <v>1</v>
      </c>
      <c r="E27" s="2828" t="s">
        <v>3779</v>
      </c>
      <c r="F27" s="2829">
        <f ca="1">ROUND(F25*H27,0)</f>
        <v>1309</v>
      </c>
      <c r="G27" s="2828" t="s">
        <v>3780</v>
      </c>
      <c r="H27" s="2830">
        <v>5.6000000000000001E-2</v>
      </c>
      <c r="J27" s="2831">
        <v>1</v>
      </c>
      <c r="K27" s="2832" t="s">
        <v>3790</v>
      </c>
      <c r="L27" s="2835">
        <f ca="1">ROUND(F25*N27,0)</f>
        <v>701</v>
      </c>
      <c r="M27" s="2836" t="s">
        <v>3782</v>
      </c>
      <c r="N27" s="2837">
        <v>0.03</v>
      </c>
    </row>
    <row r="28" spans="4:24" ht="26.25" thickBot="1">
      <c r="D28" s="2831">
        <v>2</v>
      </c>
      <c r="E28" s="2828" t="s">
        <v>3781</v>
      </c>
      <c r="F28" s="2829">
        <f ca="1">ROUND(F25*H28,0)</f>
        <v>12</v>
      </c>
      <c r="G28" s="2832" t="s">
        <v>3782</v>
      </c>
      <c r="H28" s="2881">
        <v>5.0000000000000001E-4</v>
      </c>
      <c r="J28" s="2831">
        <v>2</v>
      </c>
      <c r="K28" s="2838" t="s">
        <v>3781</v>
      </c>
      <c r="L28" s="2839">
        <f ca="1">ROUND(F25*N28,0)</f>
        <v>12</v>
      </c>
      <c r="M28" s="2840" t="s">
        <v>3782</v>
      </c>
      <c r="N28" s="2841">
        <v>5.0000000000000001E-4</v>
      </c>
    </row>
    <row r="29" spans="4:24" ht="64.5" thickBot="1">
      <c r="D29" s="2831">
        <v>3</v>
      </c>
      <c r="E29" s="2828" t="s">
        <v>3783</v>
      </c>
      <c r="F29" s="2829">
        <v>0</v>
      </c>
      <c r="G29" s="2828" t="s">
        <v>3784</v>
      </c>
      <c r="H29" s="2832" t="s">
        <v>3785</v>
      </c>
      <c r="J29" s="2831">
        <v>3</v>
      </c>
      <c r="K29" s="2838" t="s">
        <v>3837</v>
      </c>
      <c r="L29" s="2839">
        <f ca="1">F25*N29</f>
        <v>233.83</v>
      </c>
      <c r="M29" s="2840" t="s">
        <v>3782</v>
      </c>
      <c r="N29" s="2841">
        <v>0.01</v>
      </c>
    </row>
    <row r="30" spans="4:24" ht="77.25" thickBot="1">
      <c r="D30" s="2831">
        <v>4</v>
      </c>
      <c r="E30" s="2832" t="s">
        <v>3786</v>
      </c>
      <c r="F30" s="2829">
        <f ca="1">Q17</f>
        <v>230.92</v>
      </c>
      <c r="G30" s="2832" t="s">
        <v>3787</v>
      </c>
      <c r="H30" s="2833" t="s">
        <v>3838</v>
      </c>
      <c r="J30" s="2831">
        <v>4</v>
      </c>
      <c r="K30" s="2838" t="s">
        <v>37</v>
      </c>
      <c r="L30" s="2839">
        <f ca="1">SUM(L27:L29)</f>
        <v>946.83</v>
      </c>
      <c r="M30" s="2839" t="s">
        <v>70</v>
      </c>
      <c r="N30" s="2842" t="s">
        <v>70</v>
      </c>
    </row>
    <row r="31" spans="4:24" ht="77.25" thickBot="1">
      <c r="D31" s="2831">
        <v>5</v>
      </c>
      <c r="E31" s="2832" t="s">
        <v>3788</v>
      </c>
      <c r="F31" s="2829">
        <f ca="1">W17</f>
        <v>9.59</v>
      </c>
      <c r="G31" s="2828" t="s">
        <v>3787</v>
      </c>
      <c r="H31" s="2834" t="s">
        <v>3789</v>
      </c>
      <c r="K31" s="2821" t="s">
        <v>3812</v>
      </c>
      <c r="L31" s="2839">
        <f ca="1">F25*N31</f>
        <v>467.66</v>
      </c>
      <c r="M31" s="2854" t="s">
        <v>3782</v>
      </c>
      <c r="N31" s="2853">
        <v>0.02</v>
      </c>
    </row>
    <row r="32" spans="4:24" ht="26.25" thickBot="1">
      <c r="D32" s="2831">
        <v>6</v>
      </c>
      <c r="E32" s="2838" t="s">
        <v>3837</v>
      </c>
      <c r="F32" s="2829">
        <f ca="1">F25*H32</f>
        <v>233.83</v>
      </c>
      <c r="G32" s="2828" t="s">
        <v>3839</v>
      </c>
      <c r="H32" s="2880">
        <v>0.01</v>
      </c>
      <c r="K32" s="1574" t="s">
        <v>3813</v>
      </c>
      <c r="L32">
        <f>N32*'数据-汇总表'!F32/10000</f>
        <v>0</v>
      </c>
      <c r="M32" s="1574" t="s">
        <v>3814</v>
      </c>
      <c r="N32">
        <v>11</v>
      </c>
    </row>
    <row r="33" spans="4:8" ht="14.25" thickBot="1">
      <c r="D33" s="2980" t="s">
        <v>37</v>
      </c>
      <c r="E33" s="2981"/>
      <c r="F33" s="2835">
        <f ca="1">SUM(F27:F32)</f>
        <v>1795.34</v>
      </c>
      <c r="G33" s="2835" t="s">
        <v>70</v>
      </c>
      <c r="H33" s="2835" t="s">
        <v>70</v>
      </c>
    </row>
    <row r="34" spans="4:8">
      <c r="D34" s="2870"/>
      <c r="E34" s="2870"/>
      <c r="F34" s="2871"/>
      <c r="G34" s="2871"/>
      <c r="H34" s="2871"/>
    </row>
    <row r="35" spans="4:8">
      <c r="D35" s="2870"/>
      <c r="E35" s="2870"/>
      <c r="F35" s="2871"/>
      <c r="G35" s="2871"/>
      <c r="H35" s="2871"/>
    </row>
    <row r="36" spans="4:8">
      <c r="D36" s="2870"/>
      <c r="E36" s="2870"/>
      <c r="F36" s="2871"/>
      <c r="G36" s="2871"/>
      <c r="H36" s="2871"/>
    </row>
    <row r="37" spans="4:8">
      <c r="D37" s="2870"/>
      <c r="E37" s="2870"/>
      <c r="F37" s="2871"/>
      <c r="G37" s="2871"/>
      <c r="H37" s="2871"/>
    </row>
    <row r="38" spans="4:8">
      <c r="D38" s="2870"/>
      <c r="E38" s="2870"/>
      <c r="F38" s="2871"/>
      <c r="G38" s="2871"/>
      <c r="H38" s="2871"/>
    </row>
    <row r="39" spans="4:8">
      <c r="D39" s="2870"/>
      <c r="E39" s="2870"/>
      <c r="F39" s="2871"/>
      <c r="G39" s="2871"/>
      <c r="H39" s="2871"/>
    </row>
    <row r="40" spans="4:8">
      <c r="D40" s="2870"/>
      <c r="E40" s="2870"/>
      <c r="F40" s="2871"/>
      <c r="G40" s="2871"/>
      <c r="H40" s="2871"/>
    </row>
    <row r="41" spans="4:8">
      <c r="D41" s="2870"/>
      <c r="E41" s="2870"/>
      <c r="F41" s="2871"/>
      <c r="G41" s="2871"/>
      <c r="H41" s="2871"/>
    </row>
    <row r="42" spans="4:8">
      <c r="D42" s="2870"/>
      <c r="E42" s="2870"/>
      <c r="F42" s="2871"/>
      <c r="G42" s="2871"/>
      <c r="H42" s="2871"/>
    </row>
    <row r="43" spans="4:8">
      <c r="D43" s="2870"/>
      <c r="E43" s="2870"/>
      <c r="F43" s="2871"/>
      <c r="G43" s="2871"/>
      <c r="H43" s="2871"/>
    </row>
    <row r="44" spans="4:8">
      <c r="D44" s="2870"/>
      <c r="E44" s="2870"/>
      <c r="F44" s="2871"/>
      <c r="G44" s="2871"/>
      <c r="H44" s="2871"/>
    </row>
    <row r="45" spans="4:8">
      <c r="D45" s="2870"/>
      <c r="E45" s="2870"/>
      <c r="F45" s="2871"/>
      <c r="G45" s="2871"/>
      <c r="H45" s="2871"/>
    </row>
    <row r="46" spans="4:8">
      <c r="D46" s="2870"/>
      <c r="E46" s="2870"/>
      <c r="F46" s="2871"/>
      <c r="G46" s="2871"/>
      <c r="H46" s="2871"/>
    </row>
    <row r="47" spans="4:8">
      <c r="D47" s="2870"/>
      <c r="E47" s="2870"/>
      <c r="F47" s="2871"/>
      <c r="G47" s="2871"/>
      <c r="H47" s="2871"/>
    </row>
    <row r="48" spans="4:8">
      <c r="D48" s="2870"/>
      <c r="E48" s="2870"/>
      <c r="F48" s="2871"/>
      <c r="G48" s="2871"/>
      <c r="H48" s="2871"/>
    </row>
    <row r="49" spans="4:14">
      <c r="D49" s="2870"/>
      <c r="E49" s="2870"/>
      <c r="F49" s="2871"/>
      <c r="G49" s="2871"/>
      <c r="H49" s="2871"/>
    </row>
    <row r="50" spans="4:14">
      <c r="D50" s="2870"/>
      <c r="E50" s="2870"/>
      <c r="F50" s="2871"/>
      <c r="G50" s="2871"/>
      <c r="H50" s="2871"/>
    </row>
    <row r="56" spans="4:14" ht="14.25" thickBot="1">
      <c r="D56" s="1574" t="s">
        <v>3809</v>
      </c>
      <c r="E56" s="1574" t="s">
        <v>3810</v>
      </c>
      <c r="J56" s="1574" t="s">
        <v>3811</v>
      </c>
    </row>
    <row r="57" spans="4:14" ht="26.25" thickBot="1">
      <c r="D57" s="2825" t="s">
        <v>3047</v>
      </c>
      <c r="E57" s="2826" t="s">
        <v>3775</v>
      </c>
      <c r="F57" s="2826" t="s">
        <v>3776</v>
      </c>
      <c r="G57" s="2826" t="s">
        <v>3777</v>
      </c>
      <c r="H57" s="2826" t="s">
        <v>3778</v>
      </c>
      <c r="J57" s="2825" t="s">
        <v>3047</v>
      </c>
      <c r="K57" s="2826" t="s">
        <v>3775</v>
      </c>
      <c r="L57" s="2826" t="s">
        <v>3776</v>
      </c>
      <c r="M57" s="2826" t="s">
        <v>3777</v>
      </c>
      <c r="N57" s="2826" t="s">
        <v>3778</v>
      </c>
    </row>
    <row r="58" spans="4:14" ht="64.5" thickBot="1">
      <c r="D58" s="2831">
        <v>1</v>
      </c>
      <c r="E58" s="2828" t="s">
        <v>3779</v>
      </c>
      <c r="F58" s="2834" t="s">
        <v>3791</v>
      </c>
      <c r="G58" s="2828" t="s">
        <v>3792</v>
      </c>
      <c r="H58" s="2830">
        <v>5.5E-2</v>
      </c>
      <c r="J58" s="2831">
        <v>1</v>
      </c>
      <c r="K58" s="2832" t="s">
        <v>3790</v>
      </c>
      <c r="L58" s="2843" t="s">
        <v>3791</v>
      </c>
      <c r="M58" s="2844" t="s">
        <v>3793</v>
      </c>
      <c r="N58" s="2837">
        <v>0.03</v>
      </c>
    </row>
    <row r="59" spans="4:14" ht="64.5" thickBot="1">
      <c r="D59" s="2831">
        <v>2</v>
      </c>
      <c r="E59" s="2828" t="s">
        <v>3781</v>
      </c>
      <c r="F59" s="2834" t="s">
        <v>3791</v>
      </c>
      <c r="G59" s="2832" t="s">
        <v>3793</v>
      </c>
      <c r="H59" s="2882">
        <v>5.0000000000000001E-4</v>
      </c>
      <c r="J59" s="2831">
        <v>2</v>
      </c>
      <c r="K59" s="2838" t="s">
        <v>3781</v>
      </c>
      <c r="L59" s="2845" t="s">
        <v>3791</v>
      </c>
      <c r="M59" s="2846" t="s">
        <v>3793</v>
      </c>
      <c r="N59" s="2841">
        <v>5.0000000000000001E-4</v>
      </c>
    </row>
    <row r="60" spans="4:14" ht="64.5" thickBot="1">
      <c r="D60" s="2831">
        <v>3</v>
      </c>
      <c r="E60" s="2828" t="s">
        <v>3783</v>
      </c>
      <c r="F60" s="2843" t="s">
        <v>3794</v>
      </c>
      <c r="G60" s="2844" t="s">
        <v>3792</v>
      </c>
      <c r="H60" s="2883" t="s">
        <v>3785</v>
      </c>
    </row>
    <row r="61" spans="4:14" ht="77.25" thickBot="1">
      <c r="D61" s="2831">
        <v>4</v>
      </c>
      <c r="E61" s="2832" t="s">
        <v>3788</v>
      </c>
      <c r="F61" s="2834" t="s">
        <v>3795</v>
      </c>
      <c r="G61" s="2828" t="s">
        <v>3787</v>
      </c>
      <c r="H61" s="2829" t="s">
        <v>3796</v>
      </c>
    </row>
  </sheetData>
  <mergeCells count="8">
    <mergeCell ref="D33:E33"/>
    <mergeCell ref="Y2:Y3"/>
    <mergeCell ref="D20:E20"/>
    <mergeCell ref="P2:Q2"/>
    <mergeCell ref="R2:R3"/>
    <mergeCell ref="S2:S3"/>
    <mergeCell ref="V2:W2"/>
    <mergeCell ref="X2:X3"/>
  </mergeCells>
  <phoneticPr fontId="14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84" t="str">
        <f>项目基本情况!B1</f>
        <v>海南省海口市秀英区滨海大道158号琼珠海岸生态度假村暨全国政协（海南）会议培训中心北区项目6号楼等39套别墅用房及产权式酒店180套公寓用房房地产市场价值预评估</v>
      </c>
      <c r="C37" s="2884"/>
      <c r="D37" s="2884"/>
      <c r="E37" s="2884"/>
      <c r="F37" s="2884"/>
      <c r="G37" s="2884"/>
      <c r="H37" s="2884"/>
      <c r="I37" s="2884"/>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B1" zoomScaleNormal="100" zoomScaleSheetLayoutView="100" zoomScalePageLayoutView="80" workbookViewId="0">
      <selection activeCell="G23" sqref="G23"/>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19" t="str">
        <f>项目基本情况!S2</f>
        <v>海南省海口市秀英区滨海大道158号琼珠海岸生态度假村暨全国政协（海南）会议培训中心北区项目6号楼等39套别墅用房及产权式酒店180套公寓用房房地产</v>
      </c>
      <c r="B2" s="3020"/>
      <c r="C2" s="3020"/>
      <c r="D2" s="3020"/>
      <c r="E2" s="3020"/>
      <c r="F2" s="3020"/>
      <c r="G2" s="3020"/>
      <c r="H2" s="3020"/>
      <c r="I2" s="3021"/>
    </row>
    <row r="3" spans="1:12" ht="12.75">
      <c r="A3" s="3023" t="s">
        <v>1950</v>
      </c>
      <c r="B3" s="3024"/>
      <c r="C3" s="3024"/>
      <c r="D3" s="3024"/>
      <c r="E3" s="3024"/>
      <c r="F3" s="3024"/>
      <c r="G3" s="3024"/>
      <c r="H3" s="3024"/>
      <c r="I3" s="3024"/>
    </row>
    <row r="4" spans="1:12" ht="14.25">
      <c r="A4" s="1793" t="s">
        <v>1951</v>
      </c>
      <c r="B4" s="1794" t="s">
        <v>1952</v>
      </c>
      <c r="C4" s="1795" t="s">
        <v>3635</v>
      </c>
      <c r="D4" s="1795" t="s">
        <v>3623</v>
      </c>
      <c r="E4" s="3025" t="s">
        <v>1953</v>
      </c>
      <c r="F4" s="3026"/>
      <c r="G4" s="3026"/>
      <c r="H4" s="3026"/>
      <c r="I4" s="3027"/>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2999" t="s">
        <v>1954</v>
      </c>
      <c r="B5" s="2986">
        <v>25</v>
      </c>
      <c r="C5" s="3002">
        <v>24</v>
      </c>
      <c r="D5" s="3022">
        <v>17</v>
      </c>
      <c r="E5" s="126" t="s">
        <v>1955</v>
      </c>
      <c r="F5" s="1796"/>
      <c r="G5" s="1796"/>
      <c r="H5" s="1796"/>
      <c r="I5" s="1449"/>
    </row>
    <row r="6" spans="1:12" ht="12.75">
      <c r="A6" s="2999"/>
      <c r="B6" s="2986"/>
      <c r="C6" s="3003"/>
      <c r="D6" s="3022"/>
      <c r="E6" s="126" t="s">
        <v>1956</v>
      </c>
      <c r="F6" s="1796"/>
      <c r="G6" s="1796"/>
      <c r="H6" s="1796"/>
      <c r="I6" s="1449"/>
    </row>
    <row r="7" spans="1:12" ht="12.75">
      <c r="A7" s="2999"/>
      <c r="B7" s="2986"/>
      <c r="C7" s="3004"/>
      <c r="D7" s="3022"/>
      <c r="E7" s="126" t="s">
        <v>1957</v>
      </c>
      <c r="F7" s="1796"/>
      <c r="G7" s="1796"/>
      <c r="H7" s="1796"/>
      <c r="I7" s="1449"/>
    </row>
    <row r="8" spans="1:12" ht="12.75">
      <c r="A8" s="2999" t="s">
        <v>1958</v>
      </c>
      <c r="B8" s="2986">
        <v>15</v>
      </c>
      <c r="C8" s="3002">
        <v>14</v>
      </c>
      <c r="D8" s="3022">
        <v>10</v>
      </c>
      <c r="E8" s="126" t="s">
        <v>1959</v>
      </c>
      <c r="F8" s="1796"/>
      <c r="G8" s="1796"/>
      <c r="H8" s="1796"/>
      <c r="I8" s="1449"/>
    </row>
    <row r="9" spans="1:12" ht="12.75">
      <c r="A9" s="2999"/>
      <c r="B9" s="2986"/>
      <c r="C9" s="3004"/>
      <c r="D9" s="3022"/>
      <c r="E9" s="126" t="s">
        <v>1960</v>
      </c>
      <c r="F9" s="1796"/>
      <c r="G9" s="1796"/>
      <c r="H9" s="1796"/>
      <c r="I9" s="1449"/>
    </row>
    <row r="10" spans="1:12" ht="12.75">
      <c r="A10" s="2999" t="s">
        <v>1961</v>
      </c>
      <c r="B10" s="2986">
        <v>15</v>
      </c>
      <c r="C10" s="3002">
        <v>14</v>
      </c>
      <c r="D10" s="3022">
        <v>10</v>
      </c>
      <c r="E10" s="126" t="s">
        <v>1962</v>
      </c>
      <c r="F10" s="1796"/>
      <c r="G10" s="1796"/>
      <c r="H10" s="1796"/>
      <c r="I10" s="1449"/>
    </row>
    <row r="11" spans="1:12" ht="12.75">
      <c r="A11" s="2999"/>
      <c r="B11" s="2986"/>
      <c r="C11" s="3004"/>
      <c r="D11" s="3022"/>
      <c r="E11" s="126" t="s">
        <v>1963</v>
      </c>
      <c r="F11" s="1796"/>
      <c r="G11" s="1796"/>
      <c r="H11" s="1796"/>
      <c r="I11" s="1449"/>
    </row>
    <row r="12" spans="1:12" ht="12.75">
      <c r="A12" s="2999" t="s">
        <v>1964</v>
      </c>
      <c r="B12" s="2986">
        <v>15</v>
      </c>
      <c r="C12" s="3002">
        <v>14</v>
      </c>
      <c r="D12" s="3022">
        <v>10</v>
      </c>
      <c r="E12" s="126" t="s">
        <v>1965</v>
      </c>
      <c r="F12" s="1796"/>
      <c r="G12" s="1796"/>
      <c r="H12" s="1796"/>
      <c r="I12" s="1449"/>
    </row>
    <row r="13" spans="1:12" ht="12.75">
      <c r="A13" s="2999"/>
      <c r="B13" s="2986"/>
      <c r="C13" s="3004"/>
      <c r="D13" s="3022"/>
      <c r="E13" s="126" t="s">
        <v>1966</v>
      </c>
      <c r="F13" s="1796"/>
      <c r="G13" s="1796"/>
      <c r="H13" s="1796"/>
      <c r="I13" s="1449"/>
    </row>
    <row r="14" spans="1:12" ht="12.75">
      <c r="A14" s="2999" t="s">
        <v>1967</v>
      </c>
      <c r="B14" s="2986">
        <v>30</v>
      </c>
      <c r="C14" s="3002">
        <v>28</v>
      </c>
      <c r="D14" s="3022">
        <v>15</v>
      </c>
      <c r="E14" s="126" t="s">
        <v>1968</v>
      </c>
      <c r="F14" s="1796"/>
      <c r="G14" s="1796"/>
      <c r="H14" s="1796"/>
      <c r="I14" s="1449"/>
    </row>
    <row r="15" spans="1:12" ht="12.75">
      <c r="A15" s="2999"/>
      <c r="B15" s="2986"/>
      <c r="C15" s="3003"/>
      <c r="D15" s="3022"/>
      <c r="E15" s="126" t="s">
        <v>1969</v>
      </c>
      <c r="F15" s="1796"/>
      <c r="G15" s="1796"/>
      <c r="H15" s="1796"/>
      <c r="I15" s="1449"/>
    </row>
    <row r="16" spans="1:12" ht="12.75">
      <c r="A16" s="2999"/>
      <c r="B16" s="2986"/>
      <c r="C16" s="3004"/>
      <c r="D16" s="3022"/>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09" t="s">
        <v>2854</v>
      </c>
      <c r="F18" s="3010"/>
      <c r="G18" s="3010"/>
      <c r="H18" s="3010"/>
      <c r="I18" s="3010"/>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57636</v>
      </c>
      <c r="D19" s="130">
        <f ca="1">SUMIF(INDIRECT("'"&amp;D4&amp;"'"&amp;"!A:A"),结果表!B19,INDIRECT("'"&amp;D4&amp;"'"&amp;"!B:B"))</f>
        <v>17933</v>
      </c>
      <c r="E19" s="1799" t="s">
        <v>1978</v>
      </c>
      <c r="F19" s="1800" t="s">
        <v>1977</v>
      </c>
      <c r="G19" s="131">
        <f ca="1">ROUND(C19*$C$18+D19*$D$18,0)</f>
        <v>41755</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37767</v>
      </c>
      <c r="D20" s="133">
        <f ca="1">SUMIF(INDIRECT("'"&amp;D4&amp;"'"&amp;"!A:A"),结果表!B20,INDIRECT("'"&amp;D4&amp;"'"&amp;"!B:B"))</f>
        <v>11751</v>
      </c>
      <c r="E20" s="1802"/>
      <c r="F20" s="45" t="s">
        <v>1981</v>
      </c>
      <c r="G20" s="134">
        <f ca="1">ROUND(C20*$C$18+D20*$D$18,0)</f>
        <v>27361</v>
      </c>
      <c r="H20" s="858" t="s">
        <v>1982</v>
      </c>
      <c r="I20" s="124"/>
      <c r="J20" s="691">
        <f ca="1">G20/C20</f>
        <v>0.72446845129345727</v>
      </c>
    </row>
    <row r="21" spans="1:36" ht="15" customHeight="1" thickBot="1">
      <c r="A21" s="455"/>
      <c r="B21" s="96" t="s">
        <v>1983</v>
      </c>
      <c r="C21" s="685">
        <f ca="1">ROUND(C19*10000/L19,0)</f>
        <v>28311</v>
      </c>
      <c r="D21" s="686">
        <f ca="1">ROUND(D19*10000/L19,0)</f>
        <v>8809</v>
      </c>
      <c r="E21" s="455"/>
      <c r="F21" s="96" t="s">
        <v>1983</v>
      </c>
      <c r="G21" s="135">
        <f ca="1">ROUND(G19*10000/L19,0)</f>
        <v>20510</v>
      </c>
      <c r="H21" s="1803" t="s">
        <v>1982</v>
      </c>
      <c r="I21" s="124"/>
    </row>
    <row r="22" spans="1:36" ht="15" thickBot="1">
      <c r="A22" s="1733" t="s">
        <v>1984</v>
      </c>
      <c r="B22" s="1804"/>
      <c r="C22" s="1805"/>
      <c r="D22" s="687">
        <f ca="1">IF(C19&lt;D19,D19/C19-1,C19/D19-1)</f>
        <v>2.213963084815703</v>
      </c>
      <c r="E22" s="124"/>
      <c r="F22" s="124"/>
      <c r="G22" s="124"/>
      <c r="H22" s="124"/>
      <c r="I22" s="124"/>
    </row>
    <row r="23" spans="1:36" ht="13.5" thickBot="1">
      <c r="A23" s="653"/>
      <c r="B23" s="653"/>
      <c r="C23" s="653"/>
      <c r="D23" s="653"/>
      <c r="E23" s="124"/>
      <c r="F23" s="124"/>
      <c r="G23" s="124"/>
      <c r="H23" s="124"/>
      <c r="I23" s="124"/>
    </row>
    <row r="24" spans="1:36" ht="14.25">
      <c r="A24" s="2993" t="s">
        <v>1985</v>
      </c>
      <c r="B24" s="1800" t="s">
        <v>1977</v>
      </c>
      <c r="C24" s="131">
        <f>IF(B30=0,0,D30)</f>
        <v>0</v>
      </c>
      <c r="D24" s="1806"/>
      <c r="E24" s="124"/>
      <c r="F24" s="124"/>
      <c r="G24" s="124"/>
      <c r="H24" s="124"/>
      <c r="I24" s="124"/>
    </row>
    <row r="25" spans="1:36" ht="14.25">
      <c r="A25" s="2994"/>
      <c r="B25" s="45" t="s">
        <v>1981</v>
      </c>
      <c r="C25" s="136">
        <f>IF(B30=0,0,C30)</f>
        <v>0</v>
      </c>
      <c r="D25" s="1807"/>
      <c r="E25" s="124"/>
      <c r="F25" s="124"/>
      <c r="G25" s="124"/>
      <c r="H25" s="124"/>
      <c r="I25" s="124"/>
      <c r="K25" s="691">
        <f>40000</f>
        <v>40000</v>
      </c>
      <c r="L25" s="691">
        <v>0.7</v>
      </c>
      <c r="M25" s="691">
        <f>K25*L25</f>
        <v>28000</v>
      </c>
    </row>
    <row r="26" spans="1:36" ht="13.5" customHeight="1">
      <c r="A26" s="1808" t="s">
        <v>1986</v>
      </c>
      <c r="B26" s="137" t="s">
        <v>1987</v>
      </c>
      <c r="C26" s="137" t="s">
        <v>1988</v>
      </c>
      <c r="D26" s="138" t="s">
        <v>1989</v>
      </c>
      <c r="E26" s="124"/>
      <c r="F26" s="124"/>
      <c r="G26" s="124"/>
      <c r="H26" s="124"/>
      <c r="I26" s="124"/>
      <c r="L26" s="691">
        <v>0.56000000000000005</v>
      </c>
      <c r="M26" s="691">
        <f>K25*L26</f>
        <v>22400.000000000004</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41755</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13" t="s">
        <v>1998</v>
      </c>
      <c r="B36" s="1821" t="s">
        <v>1999</v>
      </c>
      <c r="C36" s="140"/>
      <c r="D36" s="1822"/>
      <c r="E36" s="1736"/>
      <c r="F36" s="1823"/>
      <c r="G36" s="124"/>
      <c r="H36" s="124"/>
      <c r="I36" s="124"/>
    </row>
    <row r="37" spans="1:15" ht="15.75" thickBot="1">
      <c r="A37" s="3014"/>
      <c r="B37" s="1724" t="s">
        <v>2000</v>
      </c>
      <c r="C37" s="142"/>
      <c r="D37" s="1219"/>
      <c r="E37" s="1219"/>
      <c r="F37" s="1823"/>
      <c r="G37" s="124"/>
      <c r="H37" s="124"/>
      <c r="I37" s="124"/>
    </row>
    <row r="38" spans="1:15" ht="15.75" thickBot="1">
      <c r="A38" s="3015"/>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2990" t="s">
        <v>2012</v>
      </c>
      <c r="B45" s="2991"/>
      <c r="C45" s="2992"/>
      <c r="D45" s="150">
        <f ca="1">ROUND(H101*F45,0)</f>
        <v>41755</v>
      </c>
      <c r="E45" s="151" t="s">
        <v>2013</v>
      </c>
      <c r="F45" s="152">
        <v>1</v>
      </c>
      <c r="G45" s="153" t="s">
        <v>2014</v>
      </c>
      <c r="H45" s="124"/>
      <c r="I45" s="124"/>
      <c r="J45" s="3071" t="s">
        <v>2015</v>
      </c>
      <c r="K45" s="3071"/>
      <c r="L45" s="3071"/>
      <c r="M45" s="3071"/>
      <c r="N45" s="3071"/>
      <c r="O45" s="3071"/>
    </row>
    <row r="46" spans="1:15" ht="14.25" customHeight="1">
      <c r="A46" s="2987" t="s">
        <v>2016</v>
      </c>
      <c r="B46" s="2988"/>
      <c r="C46" s="2988"/>
      <c r="D46" s="2988"/>
      <c r="E46" s="2988"/>
      <c r="F46" s="2988"/>
      <c r="G46" s="2989"/>
      <c r="H46" s="1837"/>
      <c r="I46" s="154"/>
      <c r="J46" s="2510">
        <v>1</v>
      </c>
      <c r="K46" s="3072" t="s">
        <v>2017</v>
      </c>
      <c r="L46" s="3072"/>
      <c r="M46" s="3073"/>
      <c r="N46" s="3073"/>
      <c r="O46" s="3073"/>
    </row>
    <row r="47" spans="1:15" ht="12" customHeight="1">
      <c r="A47" s="155" t="s">
        <v>2018</v>
      </c>
      <c r="B47" s="156"/>
      <c r="C47" s="157"/>
      <c r="D47" s="1170" t="s">
        <v>2019</v>
      </c>
      <c r="E47" s="298" t="s">
        <v>2020</v>
      </c>
      <c r="F47" s="158" t="s">
        <v>2021</v>
      </c>
      <c r="G47" s="2514" t="s">
        <v>2022</v>
      </c>
      <c r="H47" s="2515"/>
      <c r="I47" s="154"/>
      <c r="J47" s="165">
        <v>2</v>
      </c>
      <c r="K47" s="3052" t="s">
        <v>3816</v>
      </c>
      <c r="L47" s="3052"/>
      <c r="M47" s="3074">
        <f>'数据-取费表'!B2</f>
        <v>45488</v>
      </c>
      <c r="N47" s="3074"/>
      <c r="O47" s="3074"/>
    </row>
    <row r="48" spans="1:15" ht="25.5">
      <c r="A48" s="3018" t="s">
        <v>2023</v>
      </c>
      <c r="B48" s="3001"/>
      <c r="C48" s="3001"/>
      <c r="D48" s="14">
        <f ca="1">IF(H48="情况1",0,IF(H48="情况2",D52,IF(H48="情况3",D53,IF(H48="情况4",D54))))</f>
        <v>2227</v>
      </c>
      <c r="E48" s="1424" t="str">
        <f>IF(H48="情况4","(销售额-原购置价)×税（费）率","销售额×税（费）率")</f>
        <v>销售额×税（费）率</v>
      </c>
      <c r="F48" s="2516">
        <f>IF(H48="情况1","免征",'数据-取费表'!B41)</f>
        <v>5.6000000000000001E-2</v>
      </c>
      <c r="G48" s="2517" t="s">
        <v>2024</v>
      </c>
      <c r="H48" s="2518" t="s">
        <v>3770</v>
      </c>
      <c r="I48" s="1837"/>
      <c r="J48" s="165">
        <v>3</v>
      </c>
      <c r="K48" s="3052" t="s">
        <v>3817</v>
      </c>
      <c r="L48" s="3052"/>
      <c r="M48" s="3075">
        <f ca="1">H101</f>
        <v>41755</v>
      </c>
      <c r="N48" s="3075"/>
      <c r="O48" s="3075"/>
    </row>
    <row r="49" spans="1:35" ht="25.5" customHeight="1">
      <c r="A49" s="2350" t="s">
        <v>2025</v>
      </c>
      <c r="B49" s="2985" t="s">
        <v>2026</v>
      </c>
      <c r="C49" s="2985"/>
      <c r="D49" s="1647">
        <v>0</v>
      </c>
      <c r="E49" s="320" t="s">
        <v>2027</v>
      </c>
      <c r="F49" s="2432" t="s">
        <v>34</v>
      </c>
      <c r="G49" s="3058"/>
      <c r="H49" s="2327" t="s">
        <v>2857</v>
      </c>
      <c r="I49" s="2328"/>
      <c r="J49" s="165">
        <v>4</v>
      </c>
      <c r="K49" s="3052" t="str">
        <f>IF(项目基本情况!E8="房地产抵押价值","房地产抵押价值","抵押担保权已注销时的房地产抵押价值")</f>
        <v>房地产抵押价值</v>
      </c>
      <c r="L49" s="3052"/>
      <c r="M49" s="3075">
        <f ca="1">IF(项目基本情况!E8="房地产抵押价值",H107,H109)</f>
        <v>41755</v>
      </c>
      <c r="N49" s="3075"/>
      <c r="O49" s="3075"/>
    </row>
    <row r="50" spans="1:35" ht="25.5" customHeight="1">
      <c r="A50" s="2519"/>
      <c r="B50" s="2985" t="s">
        <v>2028</v>
      </c>
      <c r="C50" s="2985"/>
      <c r="D50" s="2388"/>
      <c r="E50" s="327"/>
      <c r="F50" s="2432"/>
      <c r="G50" s="3059"/>
      <c r="H50" s="2329" t="s">
        <v>2858</v>
      </c>
      <c r="I50" s="2328"/>
      <c r="J50" s="3076" t="s">
        <v>3818</v>
      </c>
      <c r="K50" s="3076"/>
      <c r="L50" s="3076"/>
      <c r="M50" s="3076"/>
      <c r="N50" s="3076"/>
      <c r="O50" s="3076"/>
    </row>
    <row r="51" spans="1:35" ht="20.45" customHeight="1">
      <c r="A51" s="2520"/>
      <c r="B51" s="2985" t="s">
        <v>2029</v>
      </c>
      <c r="C51" s="2985"/>
      <c r="D51" s="1170"/>
      <c r="E51" s="323"/>
      <c r="F51" s="2432"/>
      <c r="G51" s="3060"/>
      <c r="H51" s="2329" t="s">
        <v>2859</v>
      </c>
      <c r="I51" s="2328"/>
      <c r="J51" s="169" t="s">
        <v>3819</v>
      </c>
      <c r="K51" s="3052" t="s">
        <v>3820</v>
      </c>
      <c r="L51" s="3052"/>
      <c r="M51" s="169" t="s">
        <v>3821</v>
      </c>
      <c r="N51" s="169" t="s">
        <v>3822</v>
      </c>
      <c r="O51" s="169" t="s">
        <v>3823</v>
      </c>
    </row>
    <row r="52" spans="1:35" ht="24" customHeight="1">
      <c r="A52" s="2351" t="s">
        <v>2030</v>
      </c>
      <c r="B52" s="2985" t="s">
        <v>2031</v>
      </c>
      <c r="C52" s="2985"/>
      <c r="D52" s="1170">
        <f ca="1">ROUND(D45*'数据-取费表'!B41/(1+'数据-取费表'!C42),0)</f>
        <v>2227</v>
      </c>
      <c r="E52" s="1424" t="s">
        <v>2032</v>
      </c>
      <c r="F52" s="2521">
        <f>'数据-取费表'!B41</f>
        <v>5.6000000000000001E-2</v>
      </c>
      <c r="G52" s="2522"/>
      <c r="H52" s="2512"/>
      <c r="I52" s="1838"/>
      <c r="J52" s="165">
        <v>1</v>
      </c>
      <c r="K52" s="3053" t="s">
        <v>3824</v>
      </c>
      <c r="L52" s="3053"/>
      <c r="M52" s="2864">
        <f ca="1">D48</f>
        <v>2227</v>
      </c>
      <c r="N52" s="165" t="str">
        <f>E48</f>
        <v>销售额×税（费）率</v>
      </c>
      <c r="O52" s="2855">
        <f>F48</f>
        <v>5.6000000000000001E-2</v>
      </c>
    </row>
    <row r="53" spans="1:35" ht="12" customHeight="1">
      <c r="A53" s="2351" t="s">
        <v>2033</v>
      </c>
      <c r="B53" s="3011" t="s">
        <v>3018</v>
      </c>
      <c r="C53" s="3012"/>
      <c r="D53" s="1170">
        <f ca="1">ROUND(D45*'数据-取费表'!B41/(1+'数据-取费表'!C42),0)</f>
        <v>2227</v>
      </c>
      <c r="E53" s="1424" t="s">
        <v>2032</v>
      </c>
      <c r="F53" s="2521">
        <f>'数据-取费表'!B41</f>
        <v>5.6000000000000001E-2</v>
      </c>
      <c r="G53" s="2522"/>
      <c r="H53" s="2512"/>
      <c r="I53" s="1838"/>
      <c r="J53" s="165">
        <v>2</v>
      </c>
      <c r="K53" s="3053" t="s">
        <v>3825</v>
      </c>
      <c r="L53" s="3053"/>
      <c r="M53" s="2864">
        <f t="shared" ref="M53:O54" ca="1" si="0">D55</f>
        <v>21</v>
      </c>
      <c r="N53" s="165" t="str">
        <f t="shared" si="0"/>
        <v>销售额×税（费）率</v>
      </c>
      <c r="O53" s="2855">
        <f t="shared" si="0"/>
        <v>5.0000000000000001E-4</v>
      </c>
    </row>
    <row r="54" spans="1:35" ht="12" customHeight="1">
      <c r="A54" s="2351" t="s">
        <v>2034</v>
      </c>
      <c r="B54" s="3011" t="s">
        <v>3019</v>
      </c>
      <c r="C54" s="3012"/>
      <c r="D54" s="1170">
        <f ca="1">C68</f>
        <v>2227</v>
      </c>
      <c r="E54" s="323" t="s">
        <v>2035</v>
      </c>
      <c r="F54" s="2521">
        <f>'数据-取费表'!B41</f>
        <v>5.6000000000000001E-2</v>
      </c>
      <c r="G54" s="2522"/>
      <c r="H54" s="2523"/>
      <c r="I54" s="1838"/>
      <c r="J54" s="165">
        <v>3</v>
      </c>
      <c r="K54" s="3053" t="s">
        <v>3826</v>
      </c>
      <c r="L54" s="3053"/>
      <c r="M54" s="2864">
        <f t="shared" ca="1" si="0"/>
        <v>5932</v>
      </c>
      <c r="N54" s="165" t="str">
        <f t="shared" si="0"/>
        <v>增值额×税（费）率</v>
      </c>
      <c r="O54" s="2856" t="str">
        <f t="shared" si="0"/>
        <v>——</v>
      </c>
    </row>
    <row r="55" spans="1:35" ht="24" customHeight="1">
      <c r="A55" s="3000" t="s">
        <v>2036</v>
      </c>
      <c r="B55" s="3001"/>
      <c r="C55" s="3001"/>
      <c r="D55" s="14">
        <f ca="1">IF(H55="个人住宅",0,ROUND(D45*I55,0))</f>
        <v>21</v>
      </c>
      <c r="E55" s="1424" t="s">
        <v>2037</v>
      </c>
      <c r="F55" s="2521">
        <f>IF(H55="正常",I55,"免征")</f>
        <v>5.0000000000000001E-4</v>
      </c>
      <c r="G55" s="2522"/>
      <c r="H55" s="2518" t="s">
        <v>3769</v>
      </c>
      <c r="I55" s="160">
        <f>'数据-取费表'!B49</f>
        <v>5.0000000000000001E-4</v>
      </c>
      <c r="J55" s="165" t="str">
        <f>IF(H59="非个人房产","",4)</f>
        <v/>
      </c>
      <c r="K55" s="3053" t="str">
        <f>IF(H59="非个人房产","——","个人所得税")</f>
        <v>——</v>
      </c>
      <c r="L55" s="3053"/>
      <c r="M55" s="2041" t="str">
        <f>D59</f>
        <v>——</v>
      </c>
      <c r="N55" s="2041" t="str">
        <f>E59</f>
        <v>——</v>
      </c>
      <c r="O55" s="2857" t="str">
        <f>F59</f>
        <v>——</v>
      </c>
    </row>
    <row r="56" spans="1:35" ht="24.75">
      <c r="A56" s="3000" t="s">
        <v>2038</v>
      </c>
      <c r="B56" s="3001"/>
      <c r="C56" s="3001"/>
      <c r="D56" s="14">
        <f ca="1">IF(H56="个人住宅",D57,D58)</f>
        <v>5932</v>
      </c>
      <c r="E56" s="1424" t="s">
        <v>2039</v>
      </c>
      <c r="F56" s="2521" t="str">
        <f>IF(H56="正常",F58,"免征")</f>
        <v>——</v>
      </c>
      <c r="G56" s="2524" t="s">
        <v>2040</v>
      </c>
      <c r="H56" s="2525" t="s">
        <v>3769</v>
      </c>
      <c r="I56" s="1839"/>
      <c r="J56" s="165" t="str">
        <f>IF(项目基本情况!K6="上海银行",IF(J55="",4,J55+1),"")</f>
        <v/>
      </c>
      <c r="K56" s="3078" t="str">
        <f>IF(项目基本情况!K6="上海银行","其他处置费用","")</f>
        <v/>
      </c>
      <c r="L56" s="3079"/>
      <c r="M56" s="165" t="str">
        <f>IF(项目基本情况!K6="上海银行",M69,"")</f>
        <v/>
      </c>
      <c r="N56" s="3078" t="str">
        <f>IF(项目基本情况!K6="上海银行","包含处置中涉及的律师、诉讼、拍卖、评估等费用","")</f>
        <v/>
      </c>
      <c r="O56" s="3081"/>
    </row>
    <row r="57" spans="1:35" ht="12.75">
      <c r="A57" s="2351" t="s">
        <v>2025</v>
      </c>
      <c r="B57" s="3011" t="s">
        <v>2041</v>
      </c>
      <c r="C57" s="3012"/>
      <c r="D57" s="1647">
        <v>0</v>
      </c>
      <c r="E57" s="320" t="s">
        <v>2027</v>
      </c>
      <c r="F57" s="298"/>
      <c r="G57" s="2522"/>
      <c r="H57" s="2526"/>
      <c r="I57" s="1839"/>
      <c r="J57" s="3053">
        <f>IF(AND(J55="",J56=""),4,IF(项目基本情况!K6="上海银行",结果表!J56+1,结果表!J55+1))</f>
        <v>4</v>
      </c>
      <c r="K57" s="3053" t="s">
        <v>3827</v>
      </c>
      <c r="L57" s="2548" t="s">
        <v>3828</v>
      </c>
      <c r="M57" s="2858"/>
      <c r="N57" s="2865">
        <f ca="1">SUMIF(M52:M56,"&lt;9e307")</f>
        <v>8180</v>
      </c>
      <c r="O57" s="2859"/>
      <c r="P57" s="2648">
        <f ca="1">N57/M49</f>
        <v>0.19590468207400311</v>
      </c>
    </row>
    <row r="58" spans="1:35" ht="24.75">
      <c r="A58" s="2351" t="s">
        <v>2030</v>
      </c>
      <c r="B58" s="3011" t="s">
        <v>2042</v>
      </c>
      <c r="C58" s="2985"/>
      <c r="D58" s="14">
        <f ca="1">IF(H58="转让取得",C81,C97)</f>
        <v>5932</v>
      </c>
      <c r="E58" s="1424" t="s">
        <v>2039</v>
      </c>
      <c r="F58" s="298" t="s">
        <v>34</v>
      </c>
      <c r="G58" s="2522"/>
      <c r="H58" s="2525" t="s">
        <v>3768</v>
      </c>
      <c r="I58" s="1839"/>
      <c r="J58" s="3053"/>
      <c r="K58" s="3053"/>
      <c r="L58" s="2548" t="s">
        <v>3829</v>
      </c>
      <c r="M58" s="2548"/>
      <c r="N58" s="2866" t="str">
        <f ca="1">NUMBERSTRING(INT(N57*10000),2)&amp;"元整"</f>
        <v>捌仟壹佰捌拾万元整</v>
      </c>
      <c r="O58" s="2114"/>
    </row>
    <row r="59" spans="1:35" ht="24.75" thickBot="1">
      <c r="A59" s="3056" t="s">
        <v>2043</v>
      </c>
      <c r="B59" s="3057"/>
      <c r="C59" s="3057"/>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3767</v>
      </c>
      <c r="I59" s="2330" t="s">
        <v>2860</v>
      </c>
      <c r="J59" s="3054">
        <f>J57+1</f>
        <v>5</v>
      </c>
      <c r="K59" s="3053" t="s">
        <v>3830</v>
      </c>
      <c r="L59" s="165" t="s">
        <v>3828</v>
      </c>
      <c r="M59" s="2860"/>
      <c r="N59" s="2867">
        <f ca="1">M49-N57</f>
        <v>33575</v>
      </c>
      <c r="O59" s="2861"/>
    </row>
    <row r="60" spans="1:35" ht="12" customHeight="1">
      <c r="A60" s="1840"/>
      <c r="B60" s="653"/>
      <c r="C60" s="653"/>
      <c r="D60" s="653"/>
      <c r="E60" s="1635"/>
      <c r="F60" s="1839"/>
      <c r="G60" s="1839"/>
      <c r="H60" s="154"/>
      <c r="I60" s="124"/>
      <c r="J60" s="3055"/>
      <c r="K60" s="3053"/>
      <c r="L60" s="2548" t="s">
        <v>3829</v>
      </c>
      <c r="M60" s="2548"/>
      <c r="N60" s="2866" t="str">
        <f ca="1">NUMBERSTRING(INT(N59*10000),2)&amp;"元整"</f>
        <v>叁亿叁仟伍佰柒拾伍万元整</v>
      </c>
      <c r="O60" s="2114"/>
    </row>
    <row r="61" spans="1:35" ht="13.5" thickBot="1">
      <c r="A61" s="2998" t="s">
        <v>2044</v>
      </c>
      <c r="B61" s="2998"/>
      <c r="C61" s="2998"/>
      <c r="D61" s="2998"/>
      <c r="E61" s="2998"/>
      <c r="F61" s="1839"/>
      <c r="G61" s="1839"/>
      <c r="H61" s="154"/>
      <c r="I61" s="124"/>
      <c r="J61" s="165">
        <f>J59+1</f>
        <v>6</v>
      </c>
      <c r="K61" s="3053" t="s">
        <v>3831</v>
      </c>
      <c r="L61" s="3053"/>
      <c r="M61" s="2862"/>
      <c r="N61" s="2868">
        <f ca="1">ROUND(N59*10000/'数据-汇总表'!E3,0)</f>
        <v>22001</v>
      </c>
      <c r="O61" s="2863"/>
    </row>
    <row r="62" spans="1:35" ht="12.75">
      <c r="A62" s="3016" t="s">
        <v>2045</v>
      </c>
      <c r="B62" s="3017"/>
      <c r="C62" s="2033"/>
      <c r="D62" s="2033" t="s">
        <v>2046</v>
      </c>
      <c r="E62" s="161" t="s">
        <v>2047</v>
      </c>
      <c r="F62" s="1839"/>
      <c r="G62" s="1839"/>
      <c r="H62" s="154"/>
      <c r="I62" s="124"/>
    </row>
    <row r="63" spans="1:35" ht="12.75">
      <c r="A63" s="168" t="s">
        <v>775</v>
      </c>
      <c r="B63" s="162" t="s">
        <v>2048</v>
      </c>
      <c r="C63" s="2531">
        <f ca="1">ROUND((C64+C65)/(1+'数据-取费表'!C42),0)</f>
        <v>39767</v>
      </c>
      <c r="D63" s="162"/>
      <c r="E63" s="163"/>
      <c r="F63" s="1839"/>
      <c r="G63" s="1839"/>
      <c r="H63" s="154"/>
      <c r="I63" s="124"/>
      <c r="J63" s="3080" t="s">
        <v>2049</v>
      </c>
      <c r="K63" s="1398" t="s">
        <v>2050</v>
      </c>
      <c r="L63" s="1398">
        <f ca="1">IF(M49&gt;10000,M49*0.5%,IF(AND(M49&gt;1000,M49&lt;=10000),M49*1%,IF(AND(M49&gt;100,M49&lt;=1000),M49*3%,IF(AND(M49&gt;10,M49&lt;=100),M49*5%,M49*8%))))</f>
        <v>208.77500000000001</v>
      </c>
      <c r="M63" s="298">
        <f ca="1">ROUND(L63,1)</f>
        <v>208.8</v>
      </c>
      <c r="N63" s="2511"/>
      <c r="Z63" s="1792"/>
      <c r="AI63" s="1730"/>
    </row>
    <row r="64" spans="1:35" ht="14.25" customHeight="1">
      <c r="A64" s="164" t="s">
        <v>770</v>
      </c>
      <c r="B64" s="165" t="s">
        <v>2051</v>
      </c>
      <c r="C64" s="2532">
        <f ca="1">D45</f>
        <v>41755</v>
      </c>
      <c r="D64" s="165" t="s">
        <v>32</v>
      </c>
      <c r="E64" s="167"/>
      <c r="F64" s="1839"/>
      <c r="G64" s="1839"/>
      <c r="H64" s="154"/>
      <c r="I64" s="124"/>
      <c r="J64" s="3080"/>
      <c r="K64" s="1398" t="s">
        <v>2052</v>
      </c>
      <c r="L64" s="1398">
        <f ca="1">IF(M49&gt;2000,M49*0.5%,IF(AND(M49&gt;1000,M49&lt;=2000),M49*0.6%,IF(AND(M49&gt;500,M49&lt;=1000),M49*0.7%,IF(AND(M49&gt;200,M49&lt;=500),M49*0.8%,IF(AND(M49&gt;100,M49&lt;=200),M49*0.9%,IF(AND(M49&gt;50,M49&lt;=100),M49*1%,IF(AND(M49&gt;20,M49&lt;=50),M49*1.5%,IF(AND(M49&gt;10,M49&lt;=20),M49*2%,IF(AND(M49&gt;1,M49&lt;=10),M49*2.5%)))))))))</f>
        <v>208.77500000000001</v>
      </c>
      <c r="M64" s="298">
        <f t="shared" ref="M64:M65" ca="1" si="1">ROUND(L64,1)</f>
        <v>208.8</v>
      </c>
      <c r="N64" s="2512" t="s">
        <v>2053</v>
      </c>
      <c r="Z64" s="1792"/>
      <c r="AI64" s="1730"/>
    </row>
    <row r="65" spans="1:35" ht="14.25" customHeight="1">
      <c r="A65" s="164" t="s">
        <v>771</v>
      </c>
      <c r="B65" s="165" t="s">
        <v>2054</v>
      </c>
      <c r="C65" s="2533"/>
      <c r="D65" s="165"/>
      <c r="E65" s="167"/>
      <c r="F65" s="1839"/>
      <c r="G65" s="1839"/>
      <c r="H65" s="154"/>
      <c r="I65" s="124"/>
      <c r="J65" s="3080"/>
      <c r="K65" s="1398" t="s">
        <v>2055</v>
      </c>
      <c r="L65" s="1398">
        <f ca="1">IF(M49&gt;1000,M49*0.1%,IF(AND(M49&gt;500,M49&lt;=1000),M49*0.5%,IF(AND(M49&gt;50,M49&lt;=500),M49*1%,IF(AND(M49&gt;1,M49&lt;=50),M49*1.5%))))</f>
        <v>41.755000000000003</v>
      </c>
      <c r="M65" s="298">
        <f t="shared" ca="1" si="1"/>
        <v>41.8</v>
      </c>
      <c r="N65" s="2512" t="s">
        <v>2053</v>
      </c>
      <c r="Z65" s="1792"/>
      <c r="AI65" s="1730"/>
    </row>
    <row r="66" spans="1:35" ht="14.25" customHeight="1">
      <c r="A66" s="168" t="s">
        <v>772</v>
      </c>
      <c r="B66" s="169" t="s">
        <v>2056</v>
      </c>
      <c r="C66" s="2534"/>
      <c r="D66" s="169" t="s">
        <v>32</v>
      </c>
      <c r="E66" s="1406" t="s">
        <v>1337</v>
      </c>
      <c r="F66" s="1839"/>
      <c r="G66" s="1839"/>
      <c r="H66" s="154"/>
      <c r="I66" s="124"/>
      <c r="J66" s="3080"/>
      <c r="K66" s="1398" t="s">
        <v>2057</v>
      </c>
      <c r="L66" s="1398">
        <f ca="1">M49*0.5%</f>
        <v>208.77500000000001</v>
      </c>
      <c r="M66" s="298">
        <f ca="1">IF(L66&gt;0.5,0.5,ROUND(L66,0))</f>
        <v>0.5</v>
      </c>
      <c r="N66" s="2512" t="s">
        <v>2058</v>
      </c>
      <c r="Z66" s="1792"/>
      <c r="AI66" s="1730"/>
    </row>
    <row r="67" spans="1:35" ht="14.25" customHeight="1">
      <c r="A67" s="168" t="s">
        <v>773</v>
      </c>
      <c r="B67" s="169" t="s">
        <v>2059</v>
      </c>
      <c r="C67" s="2535">
        <f ca="1">C63-C66</f>
        <v>39767</v>
      </c>
      <c r="D67" s="165" t="s">
        <v>32</v>
      </c>
      <c r="E67" s="167"/>
      <c r="F67" s="1839"/>
      <c r="G67" s="1839"/>
      <c r="H67" s="154"/>
      <c r="I67" s="124"/>
      <c r="J67" s="3080"/>
      <c r="K67" s="1398" t="s">
        <v>2060</v>
      </c>
      <c r="L67" s="1398">
        <f ca="1">IF(M49&gt;=10000,(8.25+(M49-10000)*0.01%),IF(AND(M49&gt;=8000,M49&lt;10000),(7.85+(M49-8000)*0.02%),IF(AND(M49&gt;=5000,M49&lt;8000),(6.65+(M49-5000)*0.04%),IF(AND(M49&gt;=2000,M49&lt;5000),(4.25+(PM49-2000)*0.08%),IF(AND(M49&gt;=1000,M49&lt;2000),(2.75+(M49-1000)*0.15%),IF(AND(M49&gt;=100,M49&lt;1000),(0.5+(M49-100)*0.25%),IF(AND(M49&gt;0,M49&lt;100),M49*0.5%)))))))</f>
        <v>11.4255</v>
      </c>
      <c r="M67" s="298">
        <f ca="1">ROUND(L67*0.9,1)</f>
        <v>10.3</v>
      </c>
      <c r="N67" s="2511"/>
      <c r="Z67" s="1792"/>
      <c r="AI67" s="1730"/>
    </row>
    <row r="68" spans="1:35" ht="14.25" customHeight="1" thickBot="1">
      <c r="A68" s="171" t="s">
        <v>774</v>
      </c>
      <c r="B68" s="172" t="s">
        <v>2061</v>
      </c>
      <c r="C68" s="2536">
        <f ca="1">IF(C67&lt;=0,0,ROUND(C67*D68,0))</f>
        <v>2227</v>
      </c>
      <c r="D68" s="2537">
        <f>'数据-取费表'!B41</f>
        <v>5.6000000000000001E-2</v>
      </c>
      <c r="E68" s="174"/>
      <c r="F68" s="1839"/>
      <c r="G68" s="1839"/>
      <c r="H68" s="154"/>
      <c r="I68" s="124"/>
      <c r="J68" s="3080"/>
      <c r="K68" s="1398" t="s">
        <v>2062</v>
      </c>
      <c r="L68" s="1398">
        <f ca="1">IF(M49&gt;10000,M49*0.5%,IF(AND(M49&gt;5000,M49&lt;=10000),M49*1%,IF(AND(M49&gt;1000,M49&lt;=5000),M49*2%,IF(AND(M49&gt;200,M49&lt;=1000),M49*3%,M49*5%))))</f>
        <v>208.77500000000001</v>
      </c>
      <c r="M68" s="298">
        <f ca="1">ROUND(L68,1)</f>
        <v>208.8</v>
      </c>
      <c r="N68" s="2511"/>
      <c r="Z68" s="1792"/>
      <c r="AI68" s="1730"/>
    </row>
    <row r="69" spans="1:35" ht="16.5" customHeight="1">
      <c r="A69" s="1841"/>
      <c r="B69" s="1842"/>
      <c r="C69" s="1843"/>
      <c r="D69" s="1844"/>
      <c r="E69" s="1845"/>
      <c r="F69" s="1635"/>
      <c r="G69" s="1635"/>
      <c r="H69" s="1636"/>
      <c r="I69" s="653"/>
      <c r="J69" s="3080"/>
      <c r="K69" s="1398" t="s">
        <v>2063</v>
      </c>
      <c r="L69" s="1398"/>
      <c r="M69" s="298">
        <f ca="1">ROUND(SUM(M63:M68),0)</f>
        <v>679</v>
      </c>
      <c r="N69" s="2513">
        <f ca="1">M69/M49</f>
        <v>1.6261525565800503E-2</v>
      </c>
      <c r="Z69" s="1792"/>
      <c r="AI69" s="1730"/>
    </row>
    <row r="70" spans="1:35" s="649" customFormat="1" ht="15" hidden="1" thickBot="1">
      <c r="A70" s="3037" t="s">
        <v>2064</v>
      </c>
      <c r="B70" s="3038"/>
      <c r="C70" s="3038"/>
      <c r="D70" s="3038"/>
      <c r="E70" s="3038"/>
      <c r="F70" s="3038"/>
      <c r="G70" s="3038"/>
      <c r="H70" s="3038"/>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16" t="s">
        <v>2045</v>
      </c>
      <c r="B71" s="3017"/>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39767</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239</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11" t="s">
        <v>2072</v>
      </c>
      <c r="F76" s="2985"/>
      <c r="G76" s="2985"/>
      <c r="H76" s="3036"/>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239</v>
      </c>
      <c r="D78" s="2544">
        <f>'数据-取费表'!B43</f>
        <v>6.000000000000001E-3</v>
      </c>
      <c r="E78" s="2995" t="s">
        <v>2076</v>
      </c>
      <c r="F78" s="2996"/>
      <c r="G78" s="2996"/>
      <c r="H78" s="3005"/>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39528</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165.38912133891213</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23633</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37" t="s">
        <v>2080</v>
      </c>
      <c r="B83" s="3038"/>
      <c r="C83" s="3038"/>
      <c r="D83" s="3038"/>
      <c r="E83" s="3038"/>
      <c r="F83" s="3038"/>
      <c r="G83" s="3038"/>
      <c r="H83" s="3038"/>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16" t="s">
        <v>2045</v>
      </c>
      <c r="B84" s="3017"/>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39767</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22165.883900000001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3771</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82" t="s">
        <v>2852</v>
      </c>
      <c r="H90" s="3083"/>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2995" t="s">
        <v>2089</v>
      </c>
      <c r="F91" s="2996"/>
      <c r="G91" s="2996"/>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2995" t="s">
        <v>2092</v>
      </c>
      <c r="F92" s="2996"/>
      <c r="G92" s="2996"/>
      <c r="H92" s="3005"/>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239</v>
      </c>
      <c r="D93" s="2544">
        <f>'数据-取费表'!B43</f>
        <v>6.000000000000001E-3</v>
      </c>
      <c r="E93" s="2995" t="s">
        <v>2076</v>
      </c>
      <c r="F93" s="2996"/>
      <c r="G93" s="2996"/>
      <c r="H93" s="3005"/>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06" t="s">
        <v>2096</v>
      </c>
      <c r="F94" s="3007"/>
      <c r="G94" s="3007"/>
      <c r="H94" s="3008"/>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17601</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0.79405811558906525</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5932</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74" t="s">
        <v>2098</v>
      </c>
      <c r="B100" s="2975"/>
      <c r="C100" s="2975"/>
      <c r="D100" s="2997"/>
      <c r="E100" s="2975" t="s">
        <v>2099</v>
      </c>
      <c r="F100" s="2975"/>
      <c r="G100" s="2975"/>
      <c r="H100" s="2997"/>
      <c r="I100" s="124"/>
    </row>
    <row r="101" spans="1:35" ht="18.75" customHeight="1">
      <c r="A101" s="3061" t="s">
        <v>2100</v>
      </c>
      <c r="B101" s="3062"/>
      <c r="C101" s="2552" t="str">
        <f>C4</f>
        <v>比较法-别墅</v>
      </c>
      <c r="D101" s="2553" t="str">
        <f>D4</f>
        <v>收益法-别墅</v>
      </c>
      <c r="E101" s="3077" t="s">
        <v>2101</v>
      </c>
      <c r="F101" s="3029"/>
      <c r="G101" s="1856" t="s">
        <v>2102</v>
      </c>
      <c r="H101" s="2562">
        <f ca="1">H118</f>
        <v>41755</v>
      </c>
      <c r="I101" s="124"/>
    </row>
    <row r="102" spans="1:35" ht="18.75" customHeight="1">
      <c r="A102" s="3031" t="s">
        <v>2103</v>
      </c>
      <c r="B102" s="2551" t="s">
        <v>2102</v>
      </c>
      <c r="C102" s="2552">
        <f ca="1">C19</f>
        <v>57636</v>
      </c>
      <c r="D102" s="2553">
        <f ca="1">D19</f>
        <v>17933</v>
      </c>
      <c r="E102" s="3077"/>
      <c r="F102" s="3029"/>
      <c r="G102" s="1856" t="s">
        <v>2104</v>
      </c>
      <c r="H102" s="2522">
        <f ca="1">I118</f>
        <v>27361</v>
      </c>
      <c r="I102" s="124"/>
    </row>
    <row r="103" spans="1:35" ht="42.75" customHeight="1">
      <c r="A103" s="3031"/>
      <c r="B103" s="2551" t="s">
        <v>2104</v>
      </c>
      <c r="C103" s="2554">
        <f ca="1">C20</f>
        <v>37767</v>
      </c>
      <c r="D103" s="2555">
        <f ca="1">D20</f>
        <v>11751</v>
      </c>
      <c r="E103" s="3069" t="s">
        <v>2105</v>
      </c>
      <c r="F103" s="3070"/>
      <c r="G103" s="1857" t="s">
        <v>2106</v>
      </c>
      <c r="H103" s="2562">
        <f>IF(D36="正常操作",H104+H105+H106,H105+H106)</f>
        <v>0</v>
      </c>
      <c r="I103" s="124"/>
    </row>
    <row r="104" spans="1:35" ht="18.75" customHeight="1">
      <c r="A104" s="3031" t="s">
        <v>2107</v>
      </c>
      <c r="B104" s="2556" t="s">
        <v>2102</v>
      </c>
      <c r="C104" s="2557">
        <f ca="1">H118</f>
        <v>41755</v>
      </c>
      <c r="D104" s="2558"/>
      <c r="E104" s="1724" t="s">
        <v>2108</v>
      </c>
      <c r="F104" s="1717"/>
      <c r="G104" s="1857" t="s">
        <v>2106</v>
      </c>
      <c r="H104" s="2563">
        <f>IF(D36="同一抵押权人同一抵押物续贷",C36&amp;"（续贷，未扣减，详见特别提示）",C36)</f>
        <v>0</v>
      </c>
      <c r="I104" s="124"/>
    </row>
    <row r="105" spans="1:35" ht="18.75" customHeight="1" thickBot="1">
      <c r="A105" s="3032"/>
      <c r="B105" s="2559" t="s">
        <v>2104</v>
      </c>
      <c r="C105" s="2560">
        <f ca="1">I118</f>
        <v>27361</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28" t="str">
        <f>IF(项目基本情况!E8="已注销","——","3.房地产抵押价值")</f>
        <v>3.房地产抵押价值</v>
      </c>
      <c r="F107" s="3029"/>
      <c r="G107" s="1856" t="s">
        <v>2102</v>
      </c>
      <c r="H107" s="2562">
        <f ca="1">IF(E107="——","——",H101-H103)</f>
        <v>41755</v>
      </c>
      <c r="I107" s="124"/>
    </row>
    <row r="108" spans="1:35" ht="18.75" customHeight="1">
      <c r="A108" s="124"/>
      <c r="B108" s="124"/>
      <c r="C108" s="124"/>
      <c r="D108" s="124"/>
      <c r="E108" s="3028"/>
      <c r="F108" s="3029"/>
      <c r="G108" s="1856" t="s">
        <v>2104</v>
      </c>
      <c r="H108" s="2522">
        <f ca="1">ROUND(H107*10000/'数据-汇总表'!E3,0)</f>
        <v>27361</v>
      </c>
      <c r="I108" s="124"/>
    </row>
    <row r="109" spans="1:35" ht="18.75" customHeight="1">
      <c r="A109" s="124"/>
      <c r="B109" s="124"/>
      <c r="C109" s="124"/>
      <c r="D109" s="124"/>
      <c r="E109" s="3028" t="str">
        <f>IF(项目基本情况!E8="已注销及未注销","4.抵押担保权已注销时的房地产抵押价值",IF(项目基本情况!E8="已注销","3.抵押担保权已注销时的房地产抵押价值","——"))</f>
        <v>——</v>
      </c>
      <c r="F109" s="3029"/>
      <c r="G109" s="1856" t="s">
        <v>2102</v>
      </c>
      <c r="H109" s="2565" t="str">
        <f>IF(E109="——","——",H101-H105-H106)</f>
        <v>——</v>
      </c>
      <c r="I109" s="124"/>
    </row>
    <row r="110" spans="1:35" ht="18.75" customHeight="1">
      <c r="A110" s="124"/>
      <c r="B110" s="124"/>
      <c r="C110" s="124"/>
      <c r="D110" s="124"/>
      <c r="E110" s="3028"/>
      <c r="F110" s="3029"/>
      <c r="G110" s="1856" t="s">
        <v>2104</v>
      </c>
      <c r="H110" s="2522" t="str">
        <f>IF(H109="——","——",ROUND(H109*10000/'数据-汇总表'!E3,0))</f>
        <v>——</v>
      </c>
      <c r="I110" s="124"/>
    </row>
    <row r="111" spans="1:35" ht="18.75" customHeight="1">
      <c r="A111" s="124"/>
      <c r="B111" s="124"/>
      <c r="C111" s="124"/>
      <c r="D111" s="124"/>
      <c r="E111" s="3063" t="str">
        <f>IF(项目基本情况!E9="抵押净值",IF(OR(项目基本情况!E8="已注销",项目基本情况!E8="房地产抵押价值"),"4.抵押净值","5.抵押净值"),"——")</f>
        <v>——</v>
      </c>
      <c r="F111" s="3030"/>
      <c r="G111" s="1856" t="s">
        <v>2102</v>
      </c>
      <c r="H111" s="2562" t="str">
        <f>IF(E111="——","——",N59)</f>
        <v>——</v>
      </c>
      <c r="I111" s="124"/>
    </row>
    <row r="112" spans="1:35" ht="18.75" customHeight="1" thickBot="1">
      <c r="A112" s="124"/>
      <c r="B112" s="124"/>
      <c r="C112" s="124"/>
      <c r="D112" s="124"/>
      <c r="E112" s="3064"/>
      <c r="F112" s="3065"/>
      <c r="G112" s="1859" t="s">
        <v>2104</v>
      </c>
      <c r="H112" s="2566" t="str">
        <f>IF(E111="——","——",N61)</f>
        <v>——</v>
      </c>
      <c r="I112" s="124"/>
    </row>
    <row r="113" spans="1:27" ht="18.75" customHeight="1">
      <c r="A113" s="124"/>
      <c r="B113" s="124"/>
      <c r="C113" s="124"/>
      <c r="D113" s="124"/>
      <c r="E113" s="3033" t="s">
        <v>2110</v>
      </c>
      <c r="F113" s="3033"/>
      <c r="G113" s="3033"/>
      <c r="H113" s="3033"/>
      <c r="I113" s="124"/>
    </row>
    <row r="114" spans="1:27" ht="3.75" customHeight="1">
      <c r="A114" s="653"/>
      <c r="B114" s="653"/>
      <c r="C114" s="653"/>
      <c r="D114" s="653"/>
      <c r="E114" s="1840"/>
      <c r="F114" s="1840"/>
      <c r="G114" s="1840"/>
      <c r="H114" s="1840"/>
      <c r="I114" s="653"/>
    </row>
    <row r="115" spans="1:27" ht="18.75" customHeight="1">
      <c r="A115" s="3046" t="s">
        <v>2112</v>
      </c>
      <c r="B115" s="3047"/>
      <c r="C115" s="3047"/>
      <c r="D115" s="3047"/>
      <c r="E115" s="3047"/>
      <c r="F115" s="3047"/>
      <c r="G115" s="3047"/>
      <c r="H115" s="3047"/>
      <c r="I115" s="3048"/>
    </row>
    <row r="116" spans="1:27" ht="27" customHeight="1">
      <c r="A116" s="2999" t="s">
        <v>2113</v>
      </c>
      <c r="B116" s="3034" t="s">
        <v>2114</v>
      </c>
      <c r="C116" s="3034" t="s">
        <v>2115</v>
      </c>
      <c r="D116" s="3050" t="s">
        <v>2116</v>
      </c>
      <c r="E116" s="3051"/>
      <c r="F116" s="3042" t="s">
        <v>2117</v>
      </c>
      <c r="G116" s="3042"/>
      <c r="H116" s="2999" t="s">
        <v>2118</v>
      </c>
      <c r="I116" s="2999"/>
    </row>
    <row r="117" spans="1:27" ht="18.75" customHeight="1">
      <c r="A117" s="2999"/>
      <c r="B117" s="3035"/>
      <c r="C117" s="3035"/>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41755</v>
      </c>
      <c r="I118" s="2348">
        <f ca="1">ROUND(IF(D32="楼面单价",C32,H118*10000/B118),0)</f>
        <v>27361</v>
      </c>
    </row>
    <row r="119" spans="1:27" ht="18.75" customHeight="1">
      <c r="A119" s="2999" t="s">
        <v>2122</v>
      </c>
      <c r="B119" s="2999"/>
      <c r="C119" s="2999"/>
      <c r="D119" s="3039" t="e">
        <f ca="1">NUMBERSTRING(INT(D118*10000),2)&amp;"元整"</f>
        <v>#DIV/0!</v>
      </c>
      <c r="E119" s="3041"/>
      <c r="F119" s="3039" t="e">
        <f ca="1">NUMBERSTRING(INT(F118*10000),2)&amp;"元整"</f>
        <v>#DIV/0!</v>
      </c>
      <c r="G119" s="3041"/>
      <c r="H119" s="3039" t="str">
        <f ca="1">NUMBERSTRING(INT(H118*10000),2)&amp;"元整"</f>
        <v>肆亿壹仟柒佰伍拾伍万元整</v>
      </c>
      <c r="I119" s="3041"/>
    </row>
    <row r="120" spans="1:27" ht="18.75" customHeight="1">
      <c r="A120" s="3066" t="str">
        <f>IF(项目基本情况!B9="房地产市场价值","",MID(E103,3,LEN(E103)-2))</f>
        <v/>
      </c>
      <c r="B120" s="3067"/>
      <c r="C120" s="3068"/>
      <c r="D120" s="3066">
        <f>H103</f>
        <v>0</v>
      </c>
      <c r="E120" s="3067"/>
      <c r="F120" s="3067"/>
      <c r="G120" s="3067"/>
      <c r="H120" s="3067"/>
      <c r="I120" s="3068"/>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43" t="s">
        <v>2122</v>
      </c>
      <c r="B121" s="3044"/>
      <c r="C121" s="3045"/>
      <c r="D121" s="3039" t="str">
        <f>IF(D120=0,"零元整",NUMBERSTRING(INT(D120*10000),2)&amp;"元整")</f>
        <v>零元整</v>
      </c>
      <c r="E121" s="3040"/>
      <c r="F121" s="3040"/>
      <c r="G121" s="3040"/>
      <c r="H121" s="3040"/>
      <c r="I121" s="3041"/>
      <c r="AA121" s="691"/>
    </row>
    <row r="122" spans="1:27" ht="18.75" customHeight="1">
      <c r="A122" s="3030" t="str">
        <f>IF(项目基本情况!B9="房地产市场价值","",MID(E107,3,LEN(E107)-2))</f>
        <v/>
      </c>
      <c r="B122" s="3030"/>
      <c r="C122" s="3030"/>
      <c r="D122" s="3066">
        <f ca="1">H107</f>
        <v>41755</v>
      </c>
      <c r="E122" s="3067"/>
      <c r="F122" s="3067"/>
      <c r="G122" s="3067"/>
      <c r="H122" s="3067"/>
      <c r="I122" s="3068"/>
      <c r="AA122" s="691"/>
    </row>
    <row r="123" spans="1:27" ht="18.75" customHeight="1">
      <c r="A123" s="2999" t="s">
        <v>2122</v>
      </c>
      <c r="B123" s="2999"/>
      <c r="C123" s="2999"/>
      <c r="D123" s="3039" t="str">
        <f ca="1">NUMBERSTRING(INT(D122*10000),2)&amp;"元整"</f>
        <v>肆亿壹仟柒佰伍拾伍万元整</v>
      </c>
      <c r="E123" s="3040"/>
      <c r="F123" s="3040"/>
      <c r="G123" s="3040"/>
      <c r="H123" s="3040"/>
      <c r="I123" s="3041"/>
      <c r="AA123" s="691"/>
    </row>
    <row r="124" spans="1:27" ht="18.75" customHeight="1">
      <c r="A124" s="3030" t="str">
        <f>IF(项目基本情况!B9="房地产市场价值","",MID(E109,3,LEN(E109)-2))</f>
        <v/>
      </c>
      <c r="B124" s="3030"/>
      <c r="C124" s="3030"/>
      <c r="D124" s="3066" t="str">
        <f>H109</f>
        <v>——</v>
      </c>
      <c r="E124" s="3067"/>
      <c r="F124" s="3067"/>
      <c r="G124" s="3067"/>
      <c r="H124" s="3067"/>
      <c r="I124" s="3068"/>
      <c r="AA124" s="691"/>
    </row>
    <row r="125" spans="1:27" ht="18.75" customHeight="1">
      <c r="A125" s="2999" t="s">
        <v>2122</v>
      </c>
      <c r="B125" s="2999"/>
      <c r="C125" s="2999"/>
      <c r="D125" s="3039" t="e">
        <f>NUMBERSTRING(INT(D124*10000),2)&amp;"元整"</f>
        <v>#VALUE!</v>
      </c>
      <c r="E125" s="3040"/>
      <c r="F125" s="3040"/>
      <c r="G125" s="3040"/>
      <c r="H125" s="3040"/>
      <c r="I125" s="3041"/>
      <c r="AA125" s="691"/>
    </row>
    <row r="126" spans="1:27" ht="18.75" customHeight="1">
      <c r="A126" s="3030" t="str">
        <f>IF(项目基本情况!B9="房地产市场价值","",MID(E111,3,LEN(E111)-2))</f>
        <v/>
      </c>
      <c r="B126" s="3030"/>
      <c r="C126" s="3030"/>
      <c r="D126" s="3066" t="str">
        <f>H111</f>
        <v>——</v>
      </c>
      <c r="E126" s="3067"/>
      <c r="F126" s="3067"/>
      <c r="G126" s="3067"/>
      <c r="H126" s="3067"/>
      <c r="I126" s="3068"/>
      <c r="AA126" s="691"/>
    </row>
    <row r="127" spans="1:27" ht="18.75" customHeight="1">
      <c r="A127" s="2999" t="s">
        <v>2122</v>
      </c>
      <c r="B127" s="2999"/>
      <c r="C127" s="2999"/>
      <c r="D127" s="3039" t="e">
        <f>NUMBERSTRING(INT(D126*10000),2)&amp;"元整"</f>
        <v>#VALUE!</v>
      </c>
      <c r="E127" s="3040"/>
      <c r="F127" s="3040"/>
      <c r="G127" s="3040"/>
      <c r="H127" s="3040"/>
      <c r="I127" s="3041"/>
      <c r="AA127" s="691"/>
    </row>
    <row r="128" spans="1:27" ht="21.75" customHeight="1">
      <c r="A128" s="3049" t="s">
        <v>2123</v>
      </c>
      <c r="B128" s="3049"/>
      <c r="C128" s="3049"/>
      <c r="D128" s="3049"/>
      <c r="E128" s="3049"/>
      <c r="F128" s="3049"/>
      <c r="G128" s="3049"/>
      <c r="H128" s="3049"/>
      <c r="I128" s="3049"/>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algorithmName="SHA-512" hashValue="I6t/vfrOVLsiQNzWuYnZ5F7zI8ueqvGdPIrBABQbEYD3gTbkd54rzcGdzTwgCTVg5tI5OhDQNxdt+TpWWTxwbQ==" saltValue="gf3EJcyZp1Ihe+GtaODOl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84" t="s">
        <v>2261</v>
      </c>
    </row>
    <row r="43" spans="1:7" ht="13.5" customHeight="1">
      <c r="A43" s="831" t="s">
        <v>792</v>
      </c>
      <c r="B43" s="211" t="s">
        <v>2215</v>
      </c>
      <c r="C43" s="234">
        <f ca="1">ROUND(IF('数据-取费表'!B22&lt;=1,C39*F22*'数据-取费表'!B20/2,C39*(POWER((1+F22),'数据-取费表'!B20/2)-1)),0)</f>
        <v>46121</v>
      </c>
      <c r="D43" s="234"/>
      <c r="E43" s="234"/>
      <c r="F43" s="235"/>
      <c r="G43" s="3085"/>
    </row>
    <row r="44" spans="1:7" ht="13.5" customHeight="1">
      <c r="A44" s="831" t="s">
        <v>793</v>
      </c>
      <c r="B44" s="211" t="s">
        <v>2216</v>
      </c>
      <c r="C44" s="234">
        <f ca="1">ROUND(IF('数据-取费表'!B22&lt;=1,C40*F22*'数据-取费表'!B20/2,C40*(POWER((1+F22),'数据-取费表'!B20/2)-1)),4)</f>
        <v>8.9999999999999998E-4</v>
      </c>
      <c r="D44" s="234"/>
      <c r="E44" s="234"/>
      <c r="F44" s="235"/>
      <c r="G44" s="3086"/>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07" t="s">
        <v>2453</v>
      </c>
      <c r="Q4" s="3108"/>
      <c r="R4" s="3113" t="s">
        <v>2449</v>
      </c>
      <c r="S4" s="3114"/>
      <c r="T4" s="3113" t="s">
        <v>2450</v>
      </c>
      <c r="U4" s="3114"/>
      <c r="V4" s="3100" t="s">
        <v>2451</v>
      </c>
      <c r="W4" s="3100"/>
      <c r="X4" s="1433"/>
      <c r="Y4" s="3113" t="s">
        <v>2453</v>
      </c>
      <c r="Z4" s="3114"/>
      <c r="AA4" s="3101" t="s">
        <v>2449</v>
      </c>
      <c r="AB4" s="3102" t="s">
        <v>2450</v>
      </c>
      <c r="AC4" s="3101" t="s">
        <v>2451</v>
      </c>
    </row>
    <row r="5" spans="1:29" ht="15">
      <c r="A5" s="352"/>
      <c r="B5" s="353"/>
      <c r="C5" s="3121" t="s">
        <v>2346</v>
      </c>
      <c r="D5" s="3122"/>
      <c r="E5" s="3128" t="str">
        <f>土地案例!A33</f>
        <v>椰海大道与永万路交界处东北角</v>
      </c>
      <c r="F5" s="3129"/>
      <c r="G5" s="3121" t="str">
        <f>土地案例!A64</f>
        <v>滨海大道南侧博义盐灶八灶棚改Y-08地块</v>
      </c>
      <c r="H5" s="3122"/>
      <c r="I5" s="3121" t="str">
        <f>土地案例!A88</f>
        <v>海口市滨海大道西侧、新港经六街以东</v>
      </c>
      <c r="J5" s="3122"/>
      <c r="K5" s="543"/>
      <c r="L5" s="2670"/>
      <c r="M5" s="2671"/>
      <c r="N5" s="2671"/>
      <c r="O5" s="2671"/>
      <c r="P5" s="3109"/>
      <c r="Q5" s="3110"/>
      <c r="R5" s="3115"/>
      <c r="S5" s="3116"/>
      <c r="T5" s="3115"/>
      <c r="U5" s="3116"/>
      <c r="V5" s="3100"/>
      <c r="W5" s="3100"/>
      <c r="X5" s="1433"/>
      <c r="Y5" s="3115"/>
      <c r="Z5" s="3116"/>
      <c r="AA5" s="3102"/>
      <c r="AB5" s="3102"/>
      <c r="AC5" s="3102"/>
    </row>
    <row r="6" spans="1:29" ht="15.75" thickBot="1">
      <c r="A6" s="354"/>
      <c r="B6" s="355"/>
      <c r="C6" s="3119" t="s">
        <v>2350</v>
      </c>
      <c r="D6" s="3120"/>
      <c r="E6" s="3126" t="str">
        <f>土地案例!D33</f>
        <v>C-13-02</v>
      </c>
      <c r="F6" s="3127"/>
      <c r="G6" s="3119" t="str">
        <f>土地案例!D64</f>
        <v>Y-08</v>
      </c>
      <c r="H6" s="3120"/>
      <c r="I6" s="3119" t="str">
        <f>土地案例!D88</f>
        <v>地块六</v>
      </c>
      <c r="J6" s="3120"/>
      <c r="K6" s="543" t="s">
        <v>2351</v>
      </c>
      <c r="L6" s="2670"/>
      <c r="M6" s="2671"/>
      <c r="N6" s="2671"/>
      <c r="O6" s="267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123" t="s">
        <v>2353</v>
      </c>
      <c r="Q7" s="3125"/>
      <c r="R7" s="671" t="s">
        <v>17</v>
      </c>
      <c r="S7" s="672">
        <f t="shared" ref="S7:S15" si="0">F7</f>
        <v>0</v>
      </c>
      <c r="T7" s="671" t="s">
        <v>17</v>
      </c>
      <c r="U7" s="672">
        <f t="shared" ref="U7:U15" si="1">H7</f>
        <v>0</v>
      </c>
      <c r="V7" s="671" t="s">
        <v>17</v>
      </c>
      <c r="W7" s="672">
        <f t="shared" ref="W7:W15" si="2">J7</f>
        <v>0</v>
      </c>
      <c r="X7" s="673"/>
      <c r="Y7" s="3123" t="s">
        <v>2353</v>
      </c>
      <c r="Z7" s="3124"/>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123" t="s">
        <v>2356</v>
      </c>
      <c r="Q8" s="3124"/>
      <c r="R8" s="671" t="s">
        <v>17</v>
      </c>
      <c r="S8" s="672">
        <f t="shared" si="0"/>
        <v>100</v>
      </c>
      <c r="T8" s="671" t="s">
        <v>17</v>
      </c>
      <c r="U8" s="672">
        <f t="shared" si="1"/>
        <v>100</v>
      </c>
      <c r="V8" s="671" t="s">
        <v>17</v>
      </c>
      <c r="W8" s="672">
        <f t="shared" si="2"/>
        <v>100</v>
      </c>
      <c r="X8" s="673"/>
      <c r="Y8" s="3123" t="s">
        <v>2356</v>
      </c>
      <c r="Z8" s="3124"/>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094"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094"/>
      <c r="Q10" s="536" t="str">
        <f t="shared" si="6"/>
        <v>土地使用年限（年）</v>
      </c>
      <c r="R10" s="671" t="s">
        <v>17</v>
      </c>
      <c r="S10" s="672">
        <f t="shared" si="0"/>
        <v>123</v>
      </c>
      <c r="T10" s="671" t="s">
        <v>17</v>
      </c>
      <c r="U10" s="672">
        <f t="shared" si="1"/>
        <v>123</v>
      </c>
      <c r="V10" s="671" t="s">
        <v>17</v>
      </c>
      <c r="W10" s="672">
        <f t="shared" si="2"/>
        <v>123</v>
      </c>
      <c r="X10" s="673"/>
      <c r="Y10" s="2986"/>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094"/>
      <c r="Q11" s="536" t="str">
        <f t="shared" si="6"/>
        <v>容积率</v>
      </c>
      <c r="R11" s="671" t="s">
        <v>17</v>
      </c>
      <c r="S11" s="672">
        <f t="shared" si="0"/>
        <v>90</v>
      </c>
      <c r="T11" s="671" t="s">
        <v>17</v>
      </c>
      <c r="U11" s="672">
        <f t="shared" si="1"/>
        <v>90</v>
      </c>
      <c r="V11" s="671" t="s">
        <v>17</v>
      </c>
      <c r="W11" s="672">
        <f t="shared" si="2"/>
        <v>95</v>
      </c>
      <c r="X11" s="673"/>
      <c r="Y11" s="2986"/>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094"/>
      <c r="Q12" s="536" t="str">
        <f t="shared" si="6"/>
        <v>配建</v>
      </c>
      <c r="R12" s="671" t="s">
        <v>17</v>
      </c>
      <c r="S12" s="672">
        <f t="shared" si="0"/>
        <v>100</v>
      </c>
      <c r="T12" s="671" t="s">
        <v>17</v>
      </c>
      <c r="U12" s="672">
        <f t="shared" si="1"/>
        <v>100</v>
      </c>
      <c r="V12" s="671" t="s">
        <v>17</v>
      </c>
      <c r="W12" s="672">
        <f t="shared" si="2"/>
        <v>100</v>
      </c>
      <c r="X12" s="673"/>
      <c r="Y12" s="2986"/>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094"/>
      <c r="Q13" s="536">
        <f t="shared" si="6"/>
        <v>111</v>
      </c>
      <c r="R13" s="671" t="s">
        <v>17</v>
      </c>
      <c r="S13" s="672">
        <f t="shared" si="0"/>
        <v>100</v>
      </c>
      <c r="T13" s="671" t="s">
        <v>17</v>
      </c>
      <c r="U13" s="672">
        <f t="shared" si="1"/>
        <v>100</v>
      </c>
      <c r="V13" s="671" t="s">
        <v>17</v>
      </c>
      <c r="W13" s="672">
        <f t="shared" si="2"/>
        <v>100</v>
      </c>
      <c r="X13" s="673"/>
      <c r="Y13" s="2986"/>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094"/>
      <c r="Q14" s="536">
        <f t="shared" si="6"/>
        <v>111</v>
      </c>
      <c r="R14" s="671" t="s">
        <v>17</v>
      </c>
      <c r="S14" s="672">
        <f t="shared" si="0"/>
        <v>100</v>
      </c>
      <c r="T14" s="671" t="s">
        <v>17</v>
      </c>
      <c r="U14" s="672">
        <f t="shared" si="1"/>
        <v>100</v>
      </c>
      <c r="V14" s="671" t="s">
        <v>17</v>
      </c>
      <c r="W14" s="672">
        <f t="shared" si="2"/>
        <v>100</v>
      </c>
      <c r="X14" s="673"/>
      <c r="Y14" s="2986"/>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096" t="s">
        <v>2364</v>
      </c>
      <c r="Q15" s="1431" t="str">
        <f t="shared" si="6"/>
        <v>居住社区成熟度</v>
      </c>
      <c r="R15" s="674" t="s">
        <v>17</v>
      </c>
      <c r="S15" s="675">
        <f t="shared" si="0"/>
        <v>100</v>
      </c>
      <c r="T15" s="674" t="s">
        <v>17</v>
      </c>
      <c r="U15" s="675">
        <f t="shared" si="1"/>
        <v>100</v>
      </c>
      <c r="V15" s="674" t="s">
        <v>17</v>
      </c>
      <c r="W15" s="675">
        <f t="shared" si="2"/>
        <v>97</v>
      </c>
      <c r="X15" s="1433"/>
      <c r="Y15" s="3096"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097"/>
      <c r="Q16" s="1431"/>
      <c r="R16" s="674"/>
      <c r="S16" s="675"/>
      <c r="T16" s="674"/>
      <c r="U16" s="675"/>
      <c r="V16" s="674"/>
      <c r="W16" s="675"/>
      <c r="X16" s="1433"/>
      <c r="Y16" s="3097"/>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097"/>
      <c r="Q17" s="1431" t="str">
        <f>B17</f>
        <v>商业繁华度</v>
      </c>
      <c r="R17" s="674" t="s">
        <v>17</v>
      </c>
      <c r="S17" s="675">
        <f>F17</f>
        <v>100</v>
      </c>
      <c r="T17" s="674" t="s">
        <v>17</v>
      </c>
      <c r="U17" s="675">
        <f>H17</f>
        <v>100</v>
      </c>
      <c r="V17" s="674" t="s">
        <v>17</v>
      </c>
      <c r="W17" s="675">
        <f>J17</f>
        <v>97</v>
      </c>
      <c r="X17" s="1433"/>
      <c r="Y17" s="3097"/>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097"/>
      <c r="Q18" s="1431"/>
      <c r="R18" s="674"/>
      <c r="S18" s="675"/>
      <c r="T18" s="674"/>
      <c r="U18" s="675"/>
      <c r="V18" s="674"/>
      <c r="W18" s="675"/>
      <c r="X18" s="1433"/>
      <c r="Y18" s="3097"/>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097"/>
      <c r="Q19" s="1431" t="str">
        <f>B19</f>
        <v>办公集聚程度</v>
      </c>
      <c r="R19" s="674" t="s">
        <v>17</v>
      </c>
      <c r="S19" s="675">
        <f>F19</f>
        <v>100</v>
      </c>
      <c r="T19" s="674" t="s">
        <v>17</v>
      </c>
      <c r="U19" s="675">
        <f>H19</f>
        <v>100</v>
      </c>
      <c r="V19" s="674" t="s">
        <v>17</v>
      </c>
      <c r="W19" s="675">
        <f>J19</f>
        <v>100</v>
      </c>
      <c r="X19" s="1433"/>
      <c r="Y19" s="3097"/>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097"/>
      <c r="Q20" s="1431"/>
      <c r="R20" s="674"/>
      <c r="S20" s="675"/>
      <c r="T20" s="674"/>
      <c r="U20" s="675"/>
      <c r="V20" s="674"/>
      <c r="W20" s="675"/>
      <c r="X20" s="1433"/>
      <c r="Y20" s="3097"/>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097"/>
      <c r="Q21" s="1431" t="str">
        <f>B21</f>
        <v>交通便捷度</v>
      </c>
      <c r="R21" s="674" t="s">
        <v>17</v>
      </c>
      <c r="S21" s="675">
        <f>F21</f>
        <v>100</v>
      </c>
      <c r="T21" s="674" t="s">
        <v>17</v>
      </c>
      <c r="U21" s="675">
        <f>H21</f>
        <v>100</v>
      </c>
      <c r="V21" s="674" t="s">
        <v>17</v>
      </c>
      <c r="W21" s="675">
        <f>J21</f>
        <v>94</v>
      </c>
      <c r="X21" s="1433"/>
      <c r="Y21" s="3097"/>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097"/>
      <c r="Q22" s="1431"/>
      <c r="R22" s="674"/>
      <c r="S22" s="675"/>
      <c r="T22" s="674"/>
      <c r="U22" s="675"/>
      <c r="V22" s="674"/>
      <c r="W22" s="675"/>
      <c r="X22" s="1433"/>
      <c r="Y22" s="3097"/>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097"/>
      <c r="Q23" s="1431" t="str">
        <f t="shared" ref="Q23:Q37" si="8">B23</f>
        <v>区域土地利用方向</v>
      </c>
      <c r="R23" s="674" t="s">
        <v>17</v>
      </c>
      <c r="S23" s="675">
        <f>F23</f>
        <v>100</v>
      </c>
      <c r="T23" s="674" t="s">
        <v>17</v>
      </c>
      <c r="U23" s="675">
        <f>H23</f>
        <v>100</v>
      </c>
      <c r="V23" s="674" t="s">
        <v>17</v>
      </c>
      <c r="W23" s="675">
        <f>J23</f>
        <v>100</v>
      </c>
      <c r="X23" s="1433"/>
      <c r="Y23" s="3097"/>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097"/>
      <c r="Q24" s="1431"/>
      <c r="R24" s="674"/>
      <c r="S24" s="675"/>
      <c r="T24" s="674"/>
      <c r="U24" s="675"/>
      <c r="V24" s="674"/>
      <c r="W24" s="675"/>
      <c r="X24" s="1433"/>
      <c r="Y24" s="3097"/>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097"/>
      <c r="Q25" s="1431" t="str">
        <f t="shared" si="8"/>
        <v>自然及人文环境状况</v>
      </c>
      <c r="R25" s="674" t="s">
        <v>17</v>
      </c>
      <c r="S25" s="675">
        <f>F25</f>
        <v>100</v>
      </c>
      <c r="T25" s="674" t="s">
        <v>17</v>
      </c>
      <c r="U25" s="675">
        <f>H25</f>
        <v>100</v>
      </c>
      <c r="V25" s="674" t="s">
        <v>17</v>
      </c>
      <c r="W25" s="675">
        <f>J25</f>
        <v>100</v>
      </c>
      <c r="X25" s="1433"/>
      <c r="Y25" s="3097"/>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097"/>
      <c r="Q26" s="1431"/>
      <c r="R26" s="674"/>
      <c r="S26" s="675"/>
      <c r="T26" s="674"/>
      <c r="U26" s="675"/>
      <c r="V26" s="674"/>
      <c r="W26" s="675"/>
      <c r="X26" s="1433"/>
      <c r="Y26" s="3097"/>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097"/>
      <c r="Q27" s="536" t="str">
        <f t="shared" si="8"/>
        <v>公共配套设施</v>
      </c>
      <c r="R27" s="671" t="s">
        <v>17</v>
      </c>
      <c r="S27" s="672">
        <f>F27</f>
        <v>100</v>
      </c>
      <c r="T27" s="671" t="s">
        <v>17</v>
      </c>
      <c r="U27" s="672">
        <f>H27</f>
        <v>100</v>
      </c>
      <c r="V27" s="671" t="s">
        <v>17</v>
      </c>
      <c r="W27" s="672">
        <f>J27</f>
        <v>97</v>
      </c>
      <c r="X27" s="673"/>
      <c r="Y27" s="3097"/>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097"/>
      <c r="Q28" s="536"/>
      <c r="R28" s="671"/>
      <c r="S28" s="672"/>
      <c r="T28" s="671"/>
      <c r="U28" s="672"/>
      <c r="V28" s="671"/>
      <c r="W28" s="672"/>
      <c r="X28" s="673"/>
      <c r="Y28" s="3097"/>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097"/>
      <c r="Q29" s="536" t="str">
        <f t="shared" ref="Q29" si="9">B29</f>
        <v>基础设施水平</v>
      </c>
      <c r="R29" s="671" t="s">
        <v>17</v>
      </c>
      <c r="S29" s="672">
        <f>F29</f>
        <v>100</v>
      </c>
      <c r="T29" s="671" t="s">
        <v>17</v>
      </c>
      <c r="U29" s="672">
        <f>H29</f>
        <v>100</v>
      </c>
      <c r="V29" s="671" t="s">
        <v>17</v>
      </c>
      <c r="W29" s="672">
        <f>J29</f>
        <v>100</v>
      </c>
      <c r="X29" s="673"/>
      <c r="Y29" s="3097"/>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097"/>
      <c r="Q30" s="536"/>
      <c r="R30" s="671"/>
      <c r="S30" s="672"/>
      <c r="T30" s="671"/>
      <c r="U30" s="672"/>
      <c r="V30" s="671"/>
      <c r="W30" s="672"/>
      <c r="X30" s="673"/>
      <c r="Y30" s="3097"/>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097"/>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097"/>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097"/>
      <c r="Q32" s="1431" t="str">
        <f t="shared" si="8"/>
        <v>毗邻道路的类型与等级</v>
      </c>
      <c r="R32" s="674" t="s">
        <v>17</v>
      </c>
      <c r="S32" s="675">
        <f t="shared" si="10"/>
        <v>100</v>
      </c>
      <c r="T32" s="674" t="s">
        <v>17</v>
      </c>
      <c r="U32" s="675">
        <f t="shared" si="11"/>
        <v>100</v>
      </c>
      <c r="V32" s="674" t="s">
        <v>17</v>
      </c>
      <c r="W32" s="675">
        <f t="shared" si="12"/>
        <v>100</v>
      </c>
      <c r="X32" s="1433"/>
      <c r="Y32" s="3097"/>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097"/>
      <c r="Q33" s="1431"/>
      <c r="R33" s="674"/>
      <c r="S33" s="675"/>
      <c r="T33" s="674"/>
      <c r="U33" s="675"/>
      <c r="V33" s="674"/>
      <c r="W33" s="675"/>
      <c r="X33" s="1433"/>
      <c r="Y33" s="3097"/>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097"/>
      <c r="Q34" s="1431" t="str">
        <f t="shared" si="8"/>
        <v>土地级别</v>
      </c>
      <c r="R34" s="674" t="s">
        <v>17</v>
      </c>
      <c r="S34" s="675">
        <f t="shared" si="10"/>
        <v>100</v>
      </c>
      <c r="T34" s="674" t="s">
        <v>17</v>
      </c>
      <c r="U34" s="675">
        <f t="shared" si="11"/>
        <v>100</v>
      </c>
      <c r="V34" s="674" t="s">
        <v>17</v>
      </c>
      <c r="W34" s="675">
        <f t="shared" si="12"/>
        <v>100</v>
      </c>
      <c r="X34" s="1433"/>
      <c r="Y34" s="3097"/>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097"/>
      <c r="Q35" s="1431">
        <f t="shared" si="8"/>
        <v>111</v>
      </c>
      <c r="R35" s="674" t="s">
        <v>17</v>
      </c>
      <c r="S35" s="675">
        <f t="shared" si="10"/>
        <v>100</v>
      </c>
      <c r="T35" s="674" t="s">
        <v>17</v>
      </c>
      <c r="U35" s="675">
        <f t="shared" si="11"/>
        <v>100</v>
      </c>
      <c r="V35" s="674" t="s">
        <v>17</v>
      </c>
      <c r="W35" s="675">
        <f t="shared" si="12"/>
        <v>100</v>
      </c>
      <c r="X35" s="1433"/>
      <c r="Y35" s="3097"/>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098" t="s">
        <v>2369</v>
      </c>
      <c r="Q36" s="1431">
        <f t="shared" si="8"/>
        <v>111</v>
      </c>
      <c r="R36" s="674" t="s">
        <v>17</v>
      </c>
      <c r="S36" s="675">
        <f t="shared" si="10"/>
        <v>100</v>
      </c>
      <c r="T36" s="674" t="s">
        <v>17</v>
      </c>
      <c r="U36" s="675">
        <f t="shared" si="11"/>
        <v>100</v>
      </c>
      <c r="V36" s="674" t="s">
        <v>17</v>
      </c>
      <c r="W36" s="675">
        <f t="shared" si="12"/>
        <v>100</v>
      </c>
      <c r="X36" s="1433"/>
      <c r="Y36" s="3099"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099"/>
      <c r="Q37" s="1431">
        <f t="shared" si="8"/>
        <v>111</v>
      </c>
      <c r="R37" s="676" t="s">
        <v>17</v>
      </c>
      <c r="S37" s="677">
        <f t="shared" si="10"/>
        <v>100</v>
      </c>
      <c r="T37" s="676" t="s">
        <v>17</v>
      </c>
      <c r="U37" s="677">
        <f t="shared" si="11"/>
        <v>100</v>
      </c>
      <c r="V37" s="676" t="s">
        <v>17</v>
      </c>
      <c r="W37" s="677">
        <f t="shared" si="12"/>
        <v>100</v>
      </c>
      <c r="X37" s="678"/>
      <c r="Y37" s="3099"/>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099"/>
      <c r="Q38" s="1431" t="str">
        <f>B38</f>
        <v>宗地面积</v>
      </c>
      <c r="R38" s="674" t="s">
        <v>17</v>
      </c>
      <c r="S38" s="675">
        <f t="shared" si="10"/>
        <v>97</v>
      </c>
      <c r="T38" s="674" t="s">
        <v>17</v>
      </c>
      <c r="U38" s="675">
        <f t="shared" si="11"/>
        <v>97</v>
      </c>
      <c r="V38" s="674" t="s">
        <v>17</v>
      </c>
      <c r="W38" s="675">
        <f t="shared" si="12"/>
        <v>101</v>
      </c>
      <c r="X38" s="1433"/>
      <c r="Y38" s="3099"/>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099"/>
      <c r="Q39" s="1431" t="str">
        <f t="shared" ref="Q39:Q45" si="14">B39</f>
        <v>宗地形状</v>
      </c>
      <c r="R39" s="674" t="s">
        <v>17</v>
      </c>
      <c r="S39" s="675">
        <f t="shared" si="10"/>
        <v>100</v>
      </c>
      <c r="T39" s="674" t="s">
        <v>17</v>
      </c>
      <c r="U39" s="675">
        <f t="shared" si="11"/>
        <v>100</v>
      </c>
      <c r="V39" s="674" t="s">
        <v>17</v>
      </c>
      <c r="W39" s="675">
        <f t="shared" si="12"/>
        <v>100</v>
      </c>
      <c r="X39" s="1433"/>
      <c r="Y39" s="3099"/>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099"/>
      <c r="Q40" s="1431" t="str">
        <f t="shared" si="14"/>
        <v>临街宽度及深度</v>
      </c>
      <c r="R40" s="674" t="s">
        <v>17</v>
      </c>
      <c r="S40" s="675">
        <f t="shared" si="10"/>
        <v>100</v>
      </c>
      <c r="T40" s="674" t="s">
        <v>17</v>
      </c>
      <c r="U40" s="675">
        <f t="shared" si="11"/>
        <v>100</v>
      </c>
      <c r="V40" s="674" t="s">
        <v>17</v>
      </c>
      <c r="W40" s="675">
        <f t="shared" si="12"/>
        <v>100</v>
      </c>
      <c r="X40" s="1433"/>
      <c r="Y40" s="3099"/>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099"/>
      <c r="Q41" s="1431" t="str">
        <f t="shared" si="14"/>
        <v>宗地开发程度</v>
      </c>
      <c r="R41" s="671" t="s">
        <v>17</v>
      </c>
      <c r="S41" s="672">
        <f t="shared" si="10"/>
        <v>100</v>
      </c>
      <c r="T41" s="671" t="s">
        <v>17</v>
      </c>
      <c r="U41" s="672">
        <f t="shared" si="11"/>
        <v>100</v>
      </c>
      <c r="V41" s="671" t="s">
        <v>17</v>
      </c>
      <c r="W41" s="672">
        <f t="shared" si="12"/>
        <v>100</v>
      </c>
      <c r="X41" s="673"/>
      <c r="Y41" s="3099"/>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099" t="s">
        <v>2369</v>
      </c>
      <c r="Q42" s="1431" t="str">
        <f t="shared" si="14"/>
        <v>工程地质条件</v>
      </c>
      <c r="R42" s="674" t="s">
        <v>17</v>
      </c>
      <c r="S42" s="675">
        <f t="shared" si="10"/>
        <v>100</v>
      </c>
      <c r="T42" s="674" t="s">
        <v>17</v>
      </c>
      <c r="U42" s="675">
        <f t="shared" si="11"/>
        <v>100</v>
      </c>
      <c r="V42" s="674" t="s">
        <v>17</v>
      </c>
      <c r="W42" s="675">
        <f t="shared" si="12"/>
        <v>100</v>
      </c>
      <c r="X42" s="1433"/>
      <c r="Y42" s="3099"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099"/>
      <c r="Q43" s="1431">
        <f t="shared" si="14"/>
        <v>111</v>
      </c>
      <c r="R43" s="674" t="s">
        <v>17</v>
      </c>
      <c r="S43" s="675">
        <f t="shared" si="10"/>
        <v>100</v>
      </c>
      <c r="T43" s="674" t="s">
        <v>17</v>
      </c>
      <c r="U43" s="675">
        <f t="shared" si="11"/>
        <v>100</v>
      </c>
      <c r="V43" s="674" t="s">
        <v>17</v>
      </c>
      <c r="W43" s="675">
        <f t="shared" si="12"/>
        <v>100</v>
      </c>
      <c r="X43" s="1433"/>
      <c r="Y43" s="3099"/>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099"/>
      <c r="Q44" s="1431">
        <f t="shared" si="14"/>
        <v>111</v>
      </c>
      <c r="R44" s="674" t="s">
        <v>17</v>
      </c>
      <c r="S44" s="675">
        <f t="shared" si="10"/>
        <v>100</v>
      </c>
      <c r="T44" s="674" t="s">
        <v>17</v>
      </c>
      <c r="U44" s="675">
        <f t="shared" si="11"/>
        <v>100</v>
      </c>
      <c r="V44" s="674" t="s">
        <v>17</v>
      </c>
      <c r="W44" s="675">
        <f t="shared" si="12"/>
        <v>100</v>
      </c>
      <c r="X44" s="1433"/>
      <c r="Y44" s="3099"/>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099"/>
      <c r="Q45" s="1431">
        <f t="shared" si="14"/>
        <v>111</v>
      </c>
      <c r="R45" s="676" t="s">
        <v>17</v>
      </c>
      <c r="S45" s="677">
        <f t="shared" si="10"/>
        <v>100</v>
      </c>
      <c r="T45" s="676" t="s">
        <v>17</v>
      </c>
      <c r="U45" s="677">
        <f t="shared" si="11"/>
        <v>100</v>
      </c>
      <c r="V45" s="676" t="s">
        <v>17</v>
      </c>
      <c r="W45" s="677">
        <f t="shared" si="12"/>
        <v>100</v>
      </c>
      <c r="X45" s="678"/>
      <c r="Y45" s="3099"/>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094" t="str">
        <f>A46</f>
        <v>成交单价</v>
      </c>
      <c r="Q46" s="3094"/>
      <c r="R46" s="3100">
        <f>E46</f>
        <v>5000</v>
      </c>
      <c r="S46" s="3100"/>
      <c r="T46" s="3100">
        <f>G46</f>
        <v>3654</v>
      </c>
      <c r="U46" s="3100"/>
      <c r="V46" s="3100">
        <f>I46</f>
        <v>2620</v>
      </c>
      <c r="W46" s="3100"/>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094" t="str">
        <f>A47</f>
        <v>比较价值（元/平方米）</v>
      </c>
      <c r="Q47" s="3094"/>
      <c r="R47" s="3087" t="e">
        <f>ROUND(PRODUCT(R46,AA7:AA45),0)</f>
        <v>#DIV/0!</v>
      </c>
      <c r="S47" s="3087"/>
      <c r="T47" s="3087" t="e">
        <f>ROUND(PRODUCT(T46,AB7:AB45),0)</f>
        <v>#DIV/0!</v>
      </c>
      <c r="U47" s="3087"/>
      <c r="V47" s="3087" t="e">
        <f>ROUND(PRODUCT(V46,AC7:AC45),0)</f>
        <v>#DIV/0!</v>
      </c>
      <c r="W47" s="3087"/>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088" t="str">
        <f>A48</f>
        <v>估价对象XX用房的比较价值（楼面单价，元/平方米）</v>
      </c>
      <c r="Q48" s="3089"/>
      <c r="R48" s="3090" t="e">
        <f>ROUND(IF(D47="简单平均",AVERAGE(R47:W47),R47*F47+T47*H47+V47*J47),0)</f>
        <v>#DIV/0!</v>
      </c>
      <c r="S48" s="3090"/>
      <c r="T48" s="3090"/>
      <c r="U48" s="3090"/>
      <c r="V48" s="3090"/>
      <c r="W48" s="3090"/>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091" t="s">
        <v>2566</v>
      </c>
      <c r="H55" s="3092"/>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093"/>
      <c r="H56" s="3094"/>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095"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095"/>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095"/>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095"/>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8"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4"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7"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7" t="s">
        <v>3567</v>
      </c>
      <c r="D123" s="2777"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7"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2" xr:uid="{00000000-0002-0000-1700-000013000000}">
      <formula1>"商业,办公,住宅,工业"</formula1>
    </dataValidation>
    <dataValidation type="list" allowBlank="1" showInputMessage="1" showErrorMessage="1" sqref="G63" xr:uid="{00000000-0002-0000-1700-000014000000}">
      <formula1>"住宅,工业"</formula1>
    </dataValidation>
    <dataValidation type="list" allowBlank="1" showInputMessage="1" showErrorMessage="1" sqref="D57:D65" xr:uid="{00000000-0002-0000-1700-000015000000}">
      <formula1>"25%,1"</formula1>
    </dataValidation>
    <dataValidation type="list" allowBlank="1" showInputMessage="1" showErrorMessage="1" sqref="C30 E30 G30 I30" xr:uid="{00000000-0002-0000-1700-000016000000}">
      <formula1>基础设施水平</formula1>
    </dataValidation>
    <dataValidation type="list" allowBlank="1" showInputMessage="1" showErrorMessage="1" sqref="A71" xr:uid="{00000000-0002-0000-1700-000017000000}">
      <formula1>"综合,商业,办公,住宅"</formula1>
    </dataValidation>
    <dataValidation type="list" allowBlank="1" showInputMessage="1" showErrorMessage="1" sqref="D47"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0" customWidth="1"/>
    <col min="2" max="2" width="6.25" style="2780" hidden="1" customWidth="1"/>
    <col min="3" max="3" width="7.25" style="2780" customWidth="1"/>
    <col min="4" max="4" width="9.375" style="2780" customWidth="1"/>
    <col min="5" max="5" width="13.875" style="2780" customWidth="1"/>
    <col min="6" max="6" width="9.125" style="2780" customWidth="1"/>
    <col min="7" max="7" width="24.5" style="2780" customWidth="1"/>
    <col min="8" max="8" width="7.875" style="2780" hidden="1" customWidth="1"/>
    <col min="9" max="9" width="15" style="2780" hidden="1" customWidth="1"/>
    <col min="10" max="10" width="7.875" style="2780" hidden="1" customWidth="1"/>
    <col min="11" max="11" width="11.25" style="2780" hidden="1" customWidth="1"/>
    <col min="12" max="12" width="9" style="2780" customWidth="1"/>
    <col min="13" max="13" width="18.375" style="2780" customWidth="1"/>
    <col min="14" max="14" width="10.625" style="2780" customWidth="1"/>
    <col min="15" max="15" width="16" style="2780" customWidth="1"/>
    <col min="16" max="16" width="14.375" style="2780" customWidth="1"/>
    <col min="17" max="17" width="6.25" style="2780" customWidth="1"/>
    <col min="18" max="19" width="7.875" style="2780" customWidth="1"/>
    <col min="20" max="256" width="9" style="2780"/>
    <col min="257" max="257" width="37.625" style="2780" customWidth="1"/>
    <col min="258" max="258" width="6.25" style="2780" customWidth="1"/>
    <col min="259" max="259" width="11.75" style="2780" customWidth="1"/>
    <col min="260" max="260" width="47.875" style="2780" customWidth="1"/>
    <col min="261" max="262" width="13.875" style="2780" customWidth="1"/>
    <col min="263" max="263" width="12.5" style="2780" customWidth="1"/>
    <col min="264" max="264" width="7.875" style="2780" customWidth="1"/>
    <col min="265" max="265" width="15" style="2780" customWidth="1"/>
    <col min="266" max="266" width="7.875" style="2780" customWidth="1"/>
    <col min="267" max="267" width="11.25" style="2780" customWidth="1"/>
    <col min="268" max="268" width="9" style="2780" customWidth="1"/>
    <col min="269" max="269" width="64.125" style="2780" customWidth="1"/>
    <col min="270" max="270" width="10.625" style="2780" customWidth="1"/>
    <col min="271" max="271" width="16" style="2780" customWidth="1"/>
    <col min="272" max="272" width="14.375" style="2780" customWidth="1"/>
    <col min="273" max="273" width="6.25" style="2780" customWidth="1"/>
    <col min="274" max="275" width="7.875" style="2780" customWidth="1"/>
    <col min="276" max="512" width="9" style="2780"/>
    <col min="513" max="513" width="37.625" style="2780" customWidth="1"/>
    <col min="514" max="514" width="6.25" style="2780" customWidth="1"/>
    <col min="515" max="515" width="11.75" style="2780" customWidth="1"/>
    <col min="516" max="516" width="47.875" style="2780" customWidth="1"/>
    <col min="517" max="518" width="13.875" style="2780" customWidth="1"/>
    <col min="519" max="519" width="12.5" style="2780" customWidth="1"/>
    <col min="520" max="520" width="7.875" style="2780" customWidth="1"/>
    <col min="521" max="521" width="15" style="2780" customWidth="1"/>
    <col min="522" max="522" width="7.875" style="2780" customWidth="1"/>
    <col min="523" max="523" width="11.25" style="2780" customWidth="1"/>
    <col min="524" max="524" width="9" style="2780" customWidth="1"/>
    <col min="525" max="525" width="64.125" style="2780" customWidth="1"/>
    <col min="526" max="526" width="10.625" style="2780" customWidth="1"/>
    <col min="527" max="527" width="16" style="2780" customWidth="1"/>
    <col min="528" max="528" width="14.375" style="2780" customWidth="1"/>
    <col min="529" max="529" width="6.25" style="2780" customWidth="1"/>
    <col min="530" max="531" width="7.875" style="2780" customWidth="1"/>
    <col min="532" max="768" width="9" style="2780"/>
    <col min="769" max="769" width="37.625" style="2780" customWidth="1"/>
    <col min="770" max="770" width="6.25" style="2780" customWidth="1"/>
    <col min="771" max="771" width="11.75" style="2780" customWidth="1"/>
    <col min="772" max="772" width="47.875" style="2780" customWidth="1"/>
    <col min="773" max="774" width="13.875" style="2780" customWidth="1"/>
    <col min="775" max="775" width="12.5" style="2780" customWidth="1"/>
    <col min="776" max="776" width="7.875" style="2780" customWidth="1"/>
    <col min="777" max="777" width="15" style="2780" customWidth="1"/>
    <col min="778" max="778" width="7.875" style="2780" customWidth="1"/>
    <col min="779" max="779" width="11.25" style="2780" customWidth="1"/>
    <col min="780" max="780" width="9" style="2780" customWidth="1"/>
    <col min="781" max="781" width="64.125" style="2780" customWidth="1"/>
    <col min="782" max="782" width="10.625" style="2780" customWidth="1"/>
    <col min="783" max="783" width="16" style="2780" customWidth="1"/>
    <col min="784" max="784" width="14.375" style="2780" customWidth="1"/>
    <col min="785" max="785" width="6.25" style="2780" customWidth="1"/>
    <col min="786" max="787" width="7.875" style="2780" customWidth="1"/>
    <col min="788" max="1024" width="9" style="2780"/>
    <col min="1025" max="1025" width="37.625" style="2780" customWidth="1"/>
    <col min="1026" max="1026" width="6.25" style="2780" customWidth="1"/>
    <col min="1027" max="1027" width="11.75" style="2780" customWidth="1"/>
    <col min="1028" max="1028" width="47.875" style="2780" customWidth="1"/>
    <col min="1029" max="1030" width="13.875" style="2780" customWidth="1"/>
    <col min="1031" max="1031" width="12.5" style="2780" customWidth="1"/>
    <col min="1032" max="1032" width="7.875" style="2780" customWidth="1"/>
    <col min="1033" max="1033" width="15" style="2780" customWidth="1"/>
    <col min="1034" max="1034" width="7.875" style="2780" customWidth="1"/>
    <col min="1035" max="1035" width="11.25" style="2780" customWidth="1"/>
    <col min="1036" max="1036" width="9" style="2780" customWidth="1"/>
    <col min="1037" max="1037" width="64.125" style="2780" customWidth="1"/>
    <col min="1038" max="1038" width="10.625" style="2780" customWidth="1"/>
    <col min="1039" max="1039" width="16" style="2780" customWidth="1"/>
    <col min="1040" max="1040" width="14.375" style="2780" customWidth="1"/>
    <col min="1041" max="1041" width="6.25" style="2780" customWidth="1"/>
    <col min="1042" max="1043" width="7.875" style="2780" customWidth="1"/>
    <col min="1044" max="1280" width="9" style="2780"/>
    <col min="1281" max="1281" width="37.625" style="2780" customWidth="1"/>
    <col min="1282" max="1282" width="6.25" style="2780" customWidth="1"/>
    <col min="1283" max="1283" width="11.75" style="2780" customWidth="1"/>
    <col min="1284" max="1284" width="47.875" style="2780" customWidth="1"/>
    <col min="1285" max="1286" width="13.875" style="2780" customWidth="1"/>
    <col min="1287" max="1287" width="12.5" style="2780" customWidth="1"/>
    <col min="1288" max="1288" width="7.875" style="2780" customWidth="1"/>
    <col min="1289" max="1289" width="15" style="2780" customWidth="1"/>
    <col min="1290" max="1290" width="7.875" style="2780" customWidth="1"/>
    <col min="1291" max="1291" width="11.25" style="2780" customWidth="1"/>
    <col min="1292" max="1292" width="9" style="2780" customWidth="1"/>
    <col min="1293" max="1293" width="64.125" style="2780" customWidth="1"/>
    <col min="1294" max="1294" width="10.625" style="2780" customWidth="1"/>
    <col min="1295" max="1295" width="16" style="2780" customWidth="1"/>
    <col min="1296" max="1296" width="14.375" style="2780" customWidth="1"/>
    <col min="1297" max="1297" width="6.25" style="2780" customWidth="1"/>
    <col min="1298" max="1299" width="7.875" style="2780" customWidth="1"/>
    <col min="1300" max="1536" width="9" style="2780"/>
    <col min="1537" max="1537" width="37.625" style="2780" customWidth="1"/>
    <col min="1538" max="1538" width="6.25" style="2780" customWidth="1"/>
    <col min="1539" max="1539" width="11.75" style="2780" customWidth="1"/>
    <col min="1540" max="1540" width="47.875" style="2780" customWidth="1"/>
    <col min="1541" max="1542" width="13.875" style="2780" customWidth="1"/>
    <col min="1543" max="1543" width="12.5" style="2780" customWidth="1"/>
    <col min="1544" max="1544" width="7.875" style="2780" customWidth="1"/>
    <col min="1545" max="1545" width="15" style="2780" customWidth="1"/>
    <col min="1546" max="1546" width="7.875" style="2780" customWidth="1"/>
    <col min="1547" max="1547" width="11.25" style="2780" customWidth="1"/>
    <col min="1548" max="1548" width="9" style="2780" customWidth="1"/>
    <col min="1549" max="1549" width="64.125" style="2780" customWidth="1"/>
    <col min="1550" max="1550" width="10.625" style="2780" customWidth="1"/>
    <col min="1551" max="1551" width="16" style="2780" customWidth="1"/>
    <col min="1552" max="1552" width="14.375" style="2780" customWidth="1"/>
    <col min="1553" max="1553" width="6.25" style="2780" customWidth="1"/>
    <col min="1554" max="1555" width="7.875" style="2780" customWidth="1"/>
    <col min="1556" max="1792" width="9" style="2780"/>
    <col min="1793" max="1793" width="37.625" style="2780" customWidth="1"/>
    <col min="1794" max="1794" width="6.25" style="2780" customWidth="1"/>
    <col min="1795" max="1795" width="11.75" style="2780" customWidth="1"/>
    <col min="1796" max="1796" width="47.875" style="2780" customWidth="1"/>
    <col min="1797" max="1798" width="13.875" style="2780" customWidth="1"/>
    <col min="1799" max="1799" width="12.5" style="2780" customWidth="1"/>
    <col min="1800" max="1800" width="7.875" style="2780" customWidth="1"/>
    <col min="1801" max="1801" width="15" style="2780" customWidth="1"/>
    <col min="1802" max="1802" width="7.875" style="2780" customWidth="1"/>
    <col min="1803" max="1803" width="11.25" style="2780" customWidth="1"/>
    <col min="1804" max="1804" width="9" style="2780" customWidth="1"/>
    <col min="1805" max="1805" width="64.125" style="2780" customWidth="1"/>
    <col min="1806" max="1806" width="10.625" style="2780" customWidth="1"/>
    <col min="1807" max="1807" width="16" style="2780" customWidth="1"/>
    <col min="1808" max="1808" width="14.375" style="2780" customWidth="1"/>
    <col min="1809" max="1809" width="6.25" style="2780" customWidth="1"/>
    <col min="1810" max="1811" width="7.875" style="2780" customWidth="1"/>
    <col min="1812" max="2048" width="9" style="2780"/>
    <col min="2049" max="2049" width="37.625" style="2780" customWidth="1"/>
    <col min="2050" max="2050" width="6.25" style="2780" customWidth="1"/>
    <col min="2051" max="2051" width="11.75" style="2780" customWidth="1"/>
    <col min="2052" max="2052" width="47.875" style="2780" customWidth="1"/>
    <col min="2053" max="2054" width="13.875" style="2780" customWidth="1"/>
    <col min="2055" max="2055" width="12.5" style="2780" customWidth="1"/>
    <col min="2056" max="2056" width="7.875" style="2780" customWidth="1"/>
    <col min="2057" max="2057" width="15" style="2780" customWidth="1"/>
    <col min="2058" max="2058" width="7.875" style="2780" customWidth="1"/>
    <col min="2059" max="2059" width="11.25" style="2780" customWidth="1"/>
    <col min="2060" max="2060" width="9" style="2780" customWidth="1"/>
    <col min="2061" max="2061" width="64.125" style="2780" customWidth="1"/>
    <col min="2062" max="2062" width="10.625" style="2780" customWidth="1"/>
    <col min="2063" max="2063" width="16" style="2780" customWidth="1"/>
    <col min="2064" max="2064" width="14.375" style="2780" customWidth="1"/>
    <col min="2065" max="2065" width="6.25" style="2780" customWidth="1"/>
    <col min="2066" max="2067" width="7.875" style="2780" customWidth="1"/>
    <col min="2068" max="2304" width="9" style="2780"/>
    <col min="2305" max="2305" width="37.625" style="2780" customWidth="1"/>
    <col min="2306" max="2306" width="6.25" style="2780" customWidth="1"/>
    <col min="2307" max="2307" width="11.75" style="2780" customWidth="1"/>
    <col min="2308" max="2308" width="47.875" style="2780" customWidth="1"/>
    <col min="2309" max="2310" width="13.875" style="2780" customWidth="1"/>
    <col min="2311" max="2311" width="12.5" style="2780" customWidth="1"/>
    <col min="2312" max="2312" width="7.875" style="2780" customWidth="1"/>
    <col min="2313" max="2313" width="15" style="2780" customWidth="1"/>
    <col min="2314" max="2314" width="7.875" style="2780" customWidth="1"/>
    <col min="2315" max="2315" width="11.25" style="2780" customWidth="1"/>
    <col min="2316" max="2316" width="9" style="2780" customWidth="1"/>
    <col min="2317" max="2317" width="64.125" style="2780" customWidth="1"/>
    <col min="2318" max="2318" width="10.625" style="2780" customWidth="1"/>
    <col min="2319" max="2319" width="16" style="2780" customWidth="1"/>
    <col min="2320" max="2320" width="14.375" style="2780" customWidth="1"/>
    <col min="2321" max="2321" width="6.25" style="2780" customWidth="1"/>
    <col min="2322" max="2323" width="7.875" style="2780" customWidth="1"/>
    <col min="2324" max="2560" width="9" style="2780"/>
    <col min="2561" max="2561" width="37.625" style="2780" customWidth="1"/>
    <col min="2562" max="2562" width="6.25" style="2780" customWidth="1"/>
    <col min="2563" max="2563" width="11.75" style="2780" customWidth="1"/>
    <col min="2564" max="2564" width="47.875" style="2780" customWidth="1"/>
    <col min="2565" max="2566" width="13.875" style="2780" customWidth="1"/>
    <col min="2567" max="2567" width="12.5" style="2780" customWidth="1"/>
    <col min="2568" max="2568" width="7.875" style="2780" customWidth="1"/>
    <col min="2569" max="2569" width="15" style="2780" customWidth="1"/>
    <col min="2570" max="2570" width="7.875" style="2780" customWidth="1"/>
    <col min="2571" max="2571" width="11.25" style="2780" customWidth="1"/>
    <col min="2572" max="2572" width="9" style="2780" customWidth="1"/>
    <col min="2573" max="2573" width="64.125" style="2780" customWidth="1"/>
    <col min="2574" max="2574" width="10.625" style="2780" customWidth="1"/>
    <col min="2575" max="2575" width="16" style="2780" customWidth="1"/>
    <col min="2576" max="2576" width="14.375" style="2780" customWidth="1"/>
    <col min="2577" max="2577" width="6.25" style="2780" customWidth="1"/>
    <col min="2578" max="2579" width="7.875" style="2780" customWidth="1"/>
    <col min="2580" max="2816" width="9" style="2780"/>
    <col min="2817" max="2817" width="37.625" style="2780" customWidth="1"/>
    <col min="2818" max="2818" width="6.25" style="2780" customWidth="1"/>
    <col min="2819" max="2819" width="11.75" style="2780" customWidth="1"/>
    <col min="2820" max="2820" width="47.875" style="2780" customWidth="1"/>
    <col min="2821" max="2822" width="13.875" style="2780" customWidth="1"/>
    <col min="2823" max="2823" width="12.5" style="2780" customWidth="1"/>
    <col min="2824" max="2824" width="7.875" style="2780" customWidth="1"/>
    <col min="2825" max="2825" width="15" style="2780" customWidth="1"/>
    <col min="2826" max="2826" width="7.875" style="2780" customWidth="1"/>
    <col min="2827" max="2827" width="11.25" style="2780" customWidth="1"/>
    <col min="2828" max="2828" width="9" style="2780" customWidth="1"/>
    <col min="2829" max="2829" width="64.125" style="2780" customWidth="1"/>
    <col min="2830" max="2830" width="10.625" style="2780" customWidth="1"/>
    <col min="2831" max="2831" width="16" style="2780" customWidth="1"/>
    <col min="2832" max="2832" width="14.375" style="2780" customWidth="1"/>
    <col min="2833" max="2833" width="6.25" style="2780" customWidth="1"/>
    <col min="2834" max="2835" width="7.875" style="2780" customWidth="1"/>
    <col min="2836" max="3072" width="9" style="2780"/>
    <col min="3073" max="3073" width="37.625" style="2780" customWidth="1"/>
    <col min="3074" max="3074" width="6.25" style="2780" customWidth="1"/>
    <col min="3075" max="3075" width="11.75" style="2780" customWidth="1"/>
    <col min="3076" max="3076" width="47.875" style="2780" customWidth="1"/>
    <col min="3077" max="3078" width="13.875" style="2780" customWidth="1"/>
    <col min="3079" max="3079" width="12.5" style="2780" customWidth="1"/>
    <col min="3080" max="3080" width="7.875" style="2780" customWidth="1"/>
    <col min="3081" max="3081" width="15" style="2780" customWidth="1"/>
    <col min="3082" max="3082" width="7.875" style="2780" customWidth="1"/>
    <col min="3083" max="3083" width="11.25" style="2780" customWidth="1"/>
    <col min="3084" max="3084" width="9" style="2780" customWidth="1"/>
    <col min="3085" max="3085" width="64.125" style="2780" customWidth="1"/>
    <col min="3086" max="3086" width="10.625" style="2780" customWidth="1"/>
    <col min="3087" max="3087" width="16" style="2780" customWidth="1"/>
    <col min="3088" max="3088" width="14.375" style="2780" customWidth="1"/>
    <col min="3089" max="3089" width="6.25" style="2780" customWidth="1"/>
    <col min="3090" max="3091" width="7.875" style="2780" customWidth="1"/>
    <col min="3092" max="3328" width="9" style="2780"/>
    <col min="3329" max="3329" width="37.625" style="2780" customWidth="1"/>
    <col min="3330" max="3330" width="6.25" style="2780" customWidth="1"/>
    <col min="3331" max="3331" width="11.75" style="2780" customWidth="1"/>
    <col min="3332" max="3332" width="47.875" style="2780" customWidth="1"/>
    <col min="3333" max="3334" width="13.875" style="2780" customWidth="1"/>
    <col min="3335" max="3335" width="12.5" style="2780" customWidth="1"/>
    <col min="3336" max="3336" width="7.875" style="2780" customWidth="1"/>
    <col min="3337" max="3337" width="15" style="2780" customWidth="1"/>
    <col min="3338" max="3338" width="7.875" style="2780" customWidth="1"/>
    <col min="3339" max="3339" width="11.25" style="2780" customWidth="1"/>
    <col min="3340" max="3340" width="9" style="2780" customWidth="1"/>
    <col min="3341" max="3341" width="64.125" style="2780" customWidth="1"/>
    <col min="3342" max="3342" width="10.625" style="2780" customWidth="1"/>
    <col min="3343" max="3343" width="16" style="2780" customWidth="1"/>
    <col min="3344" max="3344" width="14.375" style="2780" customWidth="1"/>
    <col min="3345" max="3345" width="6.25" style="2780" customWidth="1"/>
    <col min="3346" max="3347" width="7.875" style="2780" customWidth="1"/>
    <col min="3348" max="3584" width="9" style="2780"/>
    <col min="3585" max="3585" width="37.625" style="2780" customWidth="1"/>
    <col min="3586" max="3586" width="6.25" style="2780" customWidth="1"/>
    <col min="3587" max="3587" width="11.75" style="2780" customWidth="1"/>
    <col min="3588" max="3588" width="47.875" style="2780" customWidth="1"/>
    <col min="3589" max="3590" width="13.875" style="2780" customWidth="1"/>
    <col min="3591" max="3591" width="12.5" style="2780" customWidth="1"/>
    <col min="3592" max="3592" width="7.875" style="2780" customWidth="1"/>
    <col min="3593" max="3593" width="15" style="2780" customWidth="1"/>
    <col min="3594" max="3594" width="7.875" style="2780" customWidth="1"/>
    <col min="3595" max="3595" width="11.25" style="2780" customWidth="1"/>
    <col min="3596" max="3596" width="9" style="2780" customWidth="1"/>
    <col min="3597" max="3597" width="64.125" style="2780" customWidth="1"/>
    <col min="3598" max="3598" width="10.625" style="2780" customWidth="1"/>
    <col min="3599" max="3599" width="16" style="2780" customWidth="1"/>
    <col min="3600" max="3600" width="14.375" style="2780" customWidth="1"/>
    <col min="3601" max="3601" width="6.25" style="2780" customWidth="1"/>
    <col min="3602" max="3603" width="7.875" style="2780" customWidth="1"/>
    <col min="3604" max="3840" width="9" style="2780"/>
    <col min="3841" max="3841" width="37.625" style="2780" customWidth="1"/>
    <col min="3842" max="3842" width="6.25" style="2780" customWidth="1"/>
    <col min="3843" max="3843" width="11.75" style="2780" customWidth="1"/>
    <col min="3844" max="3844" width="47.875" style="2780" customWidth="1"/>
    <col min="3845" max="3846" width="13.875" style="2780" customWidth="1"/>
    <col min="3847" max="3847" width="12.5" style="2780" customWidth="1"/>
    <col min="3848" max="3848" width="7.875" style="2780" customWidth="1"/>
    <col min="3849" max="3849" width="15" style="2780" customWidth="1"/>
    <col min="3850" max="3850" width="7.875" style="2780" customWidth="1"/>
    <col min="3851" max="3851" width="11.25" style="2780" customWidth="1"/>
    <col min="3852" max="3852" width="9" style="2780" customWidth="1"/>
    <col min="3853" max="3853" width="64.125" style="2780" customWidth="1"/>
    <col min="3854" max="3854" width="10.625" style="2780" customWidth="1"/>
    <col min="3855" max="3855" width="16" style="2780" customWidth="1"/>
    <col min="3856" max="3856" width="14.375" style="2780" customWidth="1"/>
    <col min="3857" max="3857" width="6.25" style="2780" customWidth="1"/>
    <col min="3858" max="3859" width="7.875" style="2780" customWidth="1"/>
    <col min="3860" max="4096" width="9" style="2780"/>
    <col min="4097" max="4097" width="37.625" style="2780" customWidth="1"/>
    <col min="4098" max="4098" width="6.25" style="2780" customWidth="1"/>
    <col min="4099" max="4099" width="11.75" style="2780" customWidth="1"/>
    <col min="4100" max="4100" width="47.875" style="2780" customWidth="1"/>
    <col min="4101" max="4102" width="13.875" style="2780" customWidth="1"/>
    <col min="4103" max="4103" width="12.5" style="2780" customWidth="1"/>
    <col min="4104" max="4104" width="7.875" style="2780" customWidth="1"/>
    <col min="4105" max="4105" width="15" style="2780" customWidth="1"/>
    <col min="4106" max="4106" width="7.875" style="2780" customWidth="1"/>
    <col min="4107" max="4107" width="11.25" style="2780" customWidth="1"/>
    <col min="4108" max="4108" width="9" style="2780" customWidth="1"/>
    <col min="4109" max="4109" width="64.125" style="2780" customWidth="1"/>
    <col min="4110" max="4110" width="10.625" style="2780" customWidth="1"/>
    <col min="4111" max="4111" width="16" style="2780" customWidth="1"/>
    <col min="4112" max="4112" width="14.375" style="2780" customWidth="1"/>
    <col min="4113" max="4113" width="6.25" style="2780" customWidth="1"/>
    <col min="4114" max="4115" width="7.875" style="2780" customWidth="1"/>
    <col min="4116" max="4352" width="9" style="2780"/>
    <col min="4353" max="4353" width="37.625" style="2780" customWidth="1"/>
    <col min="4354" max="4354" width="6.25" style="2780" customWidth="1"/>
    <col min="4355" max="4355" width="11.75" style="2780" customWidth="1"/>
    <col min="4356" max="4356" width="47.875" style="2780" customWidth="1"/>
    <col min="4357" max="4358" width="13.875" style="2780" customWidth="1"/>
    <col min="4359" max="4359" width="12.5" style="2780" customWidth="1"/>
    <col min="4360" max="4360" width="7.875" style="2780" customWidth="1"/>
    <col min="4361" max="4361" width="15" style="2780" customWidth="1"/>
    <col min="4362" max="4362" width="7.875" style="2780" customWidth="1"/>
    <col min="4363" max="4363" width="11.25" style="2780" customWidth="1"/>
    <col min="4364" max="4364" width="9" style="2780" customWidth="1"/>
    <col min="4365" max="4365" width="64.125" style="2780" customWidth="1"/>
    <col min="4366" max="4366" width="10.625" style="2780" customWidth="1"/>
    <col min="4367" max="4367" width="16" style="2780" customWidth="1"/>
    <col min="4368" max="4368" width="14.375" style="2780" customWidth="1"/>
    <col min="4369" max="4369" width="6.25" style="2780" customWidth="1"/>
    <col min="4370" max="4371" width="7.875" style="2780" customWidth="1"/>
    <col min="4372" max="4608" width="9" style="2780"/>
    <col min="4609" max="4609" width="37.625" style="2780" customWidth="1"/>
    <col min="4610" max="4610" width="6.25" style="2780" customWidth="1"/>
    <col min="4611" max="4611" width="11.75" style="2780" customWidth="1"/>
    <col min="4612" max="4612" width="47.875" style="2780" customWidth="1"/>
    <col min="4613" max="4614" width="13.875" style="2780" customWidth="1"/>
    <col min="4615" max="4615" width="12.5" style="2780" customWidth="1"/>
    <col min="4616" max="4616" width="7.875" style="2780" customWidth="1"/>
    <col min="4617" max="4617" width="15" style="2780" customWidth="1"/>
    <col min="4618" max="4618" width="7.875" style="2780" customWidth="1"/>
    <col min="4619" max="4619" width="11.25" style="2780" customWidth="1"/>
    <col min="4620" max="4620" width="9" style="2780" customWidth="1"/>
    <col min="4621" max="4621" width="64.125" style="2780" customWidth="1"/>
    <col min="4622" max="4622" width="10.625" style="2780" customWidth="1"/>
    <col min="4623" max="4623" width="16" style="2780" customWidth="1"/>
    <col min="4624" max="4624" width="14.375" style="2780" customWidth="1"/>
    <col min="4625" max="4625" width="6.25" style="2780" customWidth="1"/>
    <col min="4626" max="4627" width="7.875" style="2780" customWidth="1"/>
    <col min="4628" max="4864" width="9" style="2780"/>
    <col min="4865" max="4865" width="37.625" style="2780" customWidth="1"/>
    <col min="4866" max="4866" width="6.25" style="2780" customWidth="1"/>
    <col min="4867" max="4867" width="11.75" style="2780" customWidth="1"/>
    <col min="4868" max="4868" width="47.875" style="2780" customWidth="1"/>
    <col min="4869" max="4870" width="13.875" style="2780" customWidth="1"/>
    <col min="4871" max="4871" width="12.5" style="2780" customWidth="1"/>
    <col min="4872" max="4872" width="7.875" style="2780" customWidth="1"/>
    <col min="4873" max="4873" width="15" style="2780" customWidth="1"/>
    <col min="4874" max="4874" width="7.875" style="2780" customWidth="1"/>
    <col min="4875" max="4875" width="11.25" style="2780" customWidth="1"/>
    <col min="4876" max="4876" width="9" style="2780" customWidth="1"/>
    <col min="4877" max="4877" width="64.125" style="2780" customWidth="1"/>
    <col min="4878" max="4878" width="10.625" style="2780" customWidth="1"/>
    <col min="4879" max="4879" width="16" style="2780" customWidth="1"/>
    <col min="4880" max="4880" width="14.375" style="2780" customWidth="1"/>
    <col min="4881" max="4881" width="6.25" style="2780" customWidth="1"/>
    <col min="4882" max="4883" width="7.875" style="2780" customWidth="1"/>
    <col min="4884" max="5120" width="9" style="2780"/>
    <col min="5121" max="5121" width="37.625" style="2780" customWidth="1"/>
    <col min="5122" max="5122" width="6.25" style="2780" customWidth="1"/>
    <col min="5123" max="5123" width="11.75" style="2780" customWidth="1"/>
    <col min="5124" max="5124" width="47.875" style="2780" customWidth="1"/>
    <col min="5125" max="5126" width="13.875" style="2780" customWidth="1"/>
    <col min="5127" max="5127" width="12.5" style="2780" customWidth="1"/>
    <col min="5128" max="5128" width="7.875" style="2780" customWidth="1"/>
    <col min="5129" max="5129" width="15" style="2780" customWidth="1"/>
    <col min="5130" max="5130" width="7.875" style="2780" customWidth="1"/>
    <col min="5131" max="5131" width="11.25" style="2780" customWidth="1"/>
    <col min="5132" max="5132" width="9" style="2780" customWidth="1"/>
    <col min="5133" max="5133" width="64.125" style="2780" customWidth="1"/>
    <col min="5134" max="5134" width="10.625" style="2780" customWidth="1"/>
    <col min="5135" max="5135" width="16" style="2780" customWidth="1"/>
    <col min="5136" max="5136" width="14.375" style="2780" customWidth="1"/>
    <col min="5137" max="5137" width="6.25" style="2780" customWidth="1"/>
    <col min="5138" max="5139" width="7.875" style="2780" customWidth="1"/>
    <col min="5140" max="5376" width="9" style="2780"/>
    <col min="5377" max="5377" width="37.625" style="2780" customWidth="1"/>
    <col min="5378" max="5378" width="6.25" style="2780" customWidth="1"/>
    <col min="5379" max="5379" width="11.75" style="2780" customWidth="1"/>
    <col min="5380" max="5380" width="47.875" style="2780" customWidth="1"/>
    <col min="5381" max="5382" width="13.875" style="2780" customWidth="1"/>
    <col min="5383" max="5383" width="12.5" style="2780" customWidth="1"/>
    <col min="5384" max="5384" width="7.875" style="2780" customWidth="1"/>
    <col min="5385" max="5385" width="15" style="2780" customWidth="1"/>
    <col min="5386" max="5386" width="7.875" style="2780" customWidth="1"/>
    <col min="5387" max="5387" width="11.25" style="2780" customWidth="1"/>
    <col min="5388" max="5388" width="9" style="2780" customWidth="1"/>
    <col min="5389" max="5389" width="64.125" style="2780" customWidth="1"/>
    <col min="5390" max="5390" width="10.625" style="2780" customWidth="1"/>
    <col min="5391" max="5391" width="16" style="2780" customWidth="1"/>
    <col min="5392" max="5392" width="14.375" style="2780" customWidth="1"/>
    <col min="5393" max="5393" width="6.25" style="2780" customWidth="1"/>
    <col min="5394" max="5395" width="7.875" style="2780" customWidth="1"/>
    <col min="5396" max="5632" width="9" style="2780"/>
    <col min="5633" max="5633" width="37.625" style="2780" customWidth="1"/>
    <col min="5634" max="5634" width="6.25" style="2780" customWidth="1"/>
    <col min="5635" max="5635" width="11.75" style="2780" customWidth="1"/>
    <col min="5636" max="5636" width="47.875" style="2780" customWidth="1"/>
    <col min="5637" max="5638" width="13.875" style="2780" customWidth="1"/>
    <col min="5639" max="5639" width="12.5" style="2780" customWidth="1"/>
    <col min="5640" max="5640" width="7.875" style="2780" customWidth="1"/>
    <col min="5641" max="5641" width="15" style="2780" customWidth="1"/>
    <col min="5642" max="5642" width="7.875" style="2780" customWidth="1"/>
    <col min="5643" max="5643" width="11.25" style="2780" customWidth="1"/>
    <col min="5644" max="5644" width="9" style="2780" customWidth="1"/>
    <col min="5645" max="5645" width="64.125" style="2780" customWidth="1"/>
    <col min="5646" max="5646" width="10.625" style="2780" customWidth="1"/>
    <col min="5647" max="5647" width="16" style="2780" customWidth="1"/>
    <col min="5648" max="5648" width="14.375" style="2780" customWidth="1"/>
    <col min="5649" max="5649" width="6.25" style="2780" customWidth="1"/>
    <col min="5650" max="5651" width="7.875" style="2780" customWidth="1"/>
    <col min="5652" max="5888" width="9" style="2780"/>
    <col min="5889" max="5889" width="37.625" style="2780" customWidth="1"/>
    <col min="5890" max="5890" width="6.25" style="2780" customWidth="1"/>
    <col min="5891" max="5891" width="11.75" style="2780" customWidth="1"/>
    <col min="5892" max="5892" width="47.875" style="2780" customWidth="1"/>
    <col min="5893" max="5894" width="13.875" style="2780" customWidth="1"/>
    <col min="5895" max="5895" width="12.5" style="2780" customWidth="1"/>
    <col min="5896" max="5896" width="7.875" style="2780" customWidth="1"/>
    <col min="5897" max="5897" width="15" style="2780" customWidth="1"/>
    <col min="5898" max="5898" width="7.875" style="2780" customWidth="1"/>
    <col min="5899" max="5899" width="11.25" style="2780" customWidth="1"/>
    <col min="5900" max="5900" width="9" style="2780" customWidth="1"/>
    <col min="5901" max="5901" width="64.125" style="2780" customWidth="1"/>
    <col min="5902" max="5902" width="10.625" style="2780" customWidth="1"/>
    <col min="5903" max="5903" width="16" style="2780" customWidth="1"/>
    <col min="5904" max="5904" width="14.375" style="2780" customWidth="1"/>
    <col min="5905" max="5905" width="6.25" style="2780" customWidth="1"/>
    <col min="5906" max="5907" width="7.875" style="2780" customWidth="1"/>
    <col min="5908" max="6144" width="9" style="2780"/>
    <col min="6145" max="6145" width="37.625" style="2780" customWidth="1"/>
    <col min="6146" max="6146" width="6.25" style="2780" customWidth="1"/>
    <col min="6147" max="6147" width="11.75" style="2780" customWidth="1"/>
    <col min="6148" max="6148" width="47.875" style="2780" customWidth="1"/>
    <col min="6149" max="6150" width="13.875" style="2780" customWidth="1"/>
    <col min="6151" max="6151" width="12.5" style="2780" customWidth="1"/>
    <col min="6152" max="6152" width="7.875" style="2780" customWidth="1"/>
    <col min="6153" max="6153" width="15" style="2780" customWidth="1"/>
    <col min="6154" max="6154" width="7.875" style="2780" customWidth="1"/>
    <col min="6155" max="6155" width="11.25" style="2780" customWidth="1"/>
    <col min="6156" max="6156" width="9" style="2780" customWidth="1"/>
    <col min="6157" max="6157" width="64.125" style="2780" customWidth="1"/>
    <col min="6158" max="6158" width="10.625" style="2780" customWidth="1"/>
    <col min="6159" max="6159" width="16" style="2780" customWidth="1"/>
    <col min="6160" max="6160" width="14.375" style="2780" customWidth="1"/>
    <col min="6161" max="6161" width="6.25" style="2780" customWidth="1"/>
    <col min="6162" max="6163" width="7.875" style="2780" customWidth="1"/>
    <col min="6164" max="6400" width="9" style="2780"/>
    <col min="6401" max="6401" width="37.625" style="2780" customWidth="1"/>
    <col min="6402" max="6402" width="6.25" style="2780" customWidth="1"/>
    <col min="6403" max="6403" width="11.75" style="2780" customWidth="1"/>
    <col min="6404" max="6404" width="47.875" style="2780" customWidth="1"/>
    <col min="6405" max="6406" width="13.875" style="2780" customWidth="1"/>
    <col min="6407" max="6407" width="12.5" style="2780" customWidth="1"/>
    <col min="6408" max="6408" width="7.875" style="2780" customWidth="1"/>
    <col min="6409" max="6409" width="15" style="2780" customWidth="1"/>
    <col min="6410" max="6410" width="7.875" style="2780" customWidth="1"/>
    <col min="6411" max="6411" width="11.25" style="2780" customWidth="1"/>
    <col min="6412" max="6412" width="9" style="2780" customWidth="1"/>
    <col min="6413" max="6413" width="64.125" style="2780" customWidth="1"/>
    <col min="6414" max="6414" width="10.625" style="2780" customWidth="1"/>
    <col min="6415" max="6415" width="16" style="2780" customWidth="1"/>
    <col min="6416" max="6416" width="14.375" style="2780" customWidth="1"/>
    <col min="6417" max="6417" width="6.25" style="2780" customWidth="1"/>
    <col min="6418" max="6419" width="7.875" style="2780" customWidth="1"/>
    <col min="6420" max="6656" width="9" style="2780"/>
    <col min="6657" max="6657" width="37.625" style="2780" customWidth="1"/>
    <col min="6658" max="6658" width="6.25" style="2780" customWidth="1"/>
    <col min="6659" max="6659" width="11.75" style="2780" customWidth="1"/>
    <col min="6660" max="6660" width="47.875" style="2780" customWidth="1"/>
    <col min="6661" max="6662" width="13.875" style="2780" customWidth="1"/>
    <col min="6663" max="6663" width="12.5" style="2780" customWidth="1"/>
    <col min="6664" max="6664" width="7.875" style="2780" customWidth="1"/>
    <col min="6665" max="6665" width="15" style="2780" customWidth="1"/>
    <col min="6666" max="6666" width="7.875" style="2780" customWidth="1"/>
    <col min="6667" max="6667" width="11.25" style="2780" customWidth="1"/>
    <col min="6668" max="6668" width="9" style="2780" customWidth="1"/>
    <col min="6669" max="6669" width="64.125" style="2780" customWidth="1"/>
    <col min="6670" max="6670" width="10.625" style="2780" customWidth="1"/>
    <col min="6671" max="6671" width="16" style="2780" customWidth="1"/>
    <col min="6672" max="6672" width="14.375" style="2780" customWidth="1"/>
    <col min="6673" max="6673" width="6.25" style="2780" customWidth="1"/>
    <col min="6674" max="6675" width="7.875" style="2780" customWidth="1"/>
    <col min="6676" max="6912" width="9" style="2780"/>
    <col min="6913" max="6913" width="37.625" style="2780" customWidth="1"/>
    <col min="6914" max="6914" width="6.25" style="2780" customWidth="1"/>
    <col min="6915" max="6915" width="11.75" style="2780" customWidth="1"/>
    <col min="6916" max="6916" width="47.875" style="2780" customWidth="1"/>
    <col min="6917" max="6918" width="13.875" style="2780" customWidth="1"/>
    <col min="6919" max="6919" width="12.5" style="2780" customWidth="1"/>
    <col min="6920" max="6920" width="7.875" style="2780" customWidth="1"/>
    <col min="6921" max="6921" width="15" style="2780" customWidth="1"/>
    <col min="6922" max="6922" width="7.875" style="2780" customWidth="1"/>
    <col min="6923" max="6923" width="11.25" style="2780" customWidth="1"/>
    <col min="6924" max="6924" width="9" style="2780" customWidth="1"/>
    <col min="6925" max="6925" width="64.125" style="2780" customWidth="1"/>
    <col min="6926" max="6926" width="10.625" style="2780" customWidth="1"/>
    <col min="6927" max="6927" width="16" style="2780" customWidth="1"/>
    <col min="6928" max="6928" width="14.375" style="2780" customWidth="1"/>
    <col min="6929" max="6929" width="6.25" style="2780" customWidth="1"/>
    <col min="6930" max="6931" width="7.875" style="2780" customWidth="1"/>
    <col min="6932" max="7168" width="9" style="2780"/>
    <col min="7169" max="7169" width="37.625" style="2780" customWidth="1"/>
    <col min="7170" max="7170" width="6.25" style="2780" customWidth="1"/>
    <col min="7171" max="7171" width="11.75" style="2780" customWidth="1"/>
    <col min="7172" max="7172" width="47.875" style="2780" customWidth="1"/>
    <col min="7173" max="7174" width="13.875" style="2780" customWidth="1"/>
    <col min="7175" max="7175" width="12.5" style="2780" customWidth="1"/>
    <col min="7176" max="7176" width="7.875" style="2780" customWidth="1"/>
    <col min="7177" max="7177" width="15" style="2780" customWidth="1"/>
    <col min="7178" max="7178" width="7.875" style="2780" customWidth="1"/>
    <col min="7179" max="7179" width="11.25" style="2780" customWidth="1"/>
    <col min="7180" max="7180" width="9" style="2780" customWidth="1"/>
    <col min="7181" max="7181" width="64.125" style="2780" customWidth="1"/>
    <col min="7182" max="7182" width="10.625" style="2780" customWidth="1"/>
    <col min="7183" max="7183" width="16" style="2780" customWidth="1"/>
    <col min="7184" max="7184" width="14.375" style="2780" customWidth="1"/>
    <col min="7185" max="7185" width="6.25" style="2780" customWidth="1"/>
    <col min="7186" max="7187" width="7.875" style="2780" customWidth="1"/>
    <col min="7188" max="7424" width="9" style="2780"/>
    <col min="7425" max="7425" width="37.625" style="2780" customWidth="1"/>
    <col min="7426" max="7426" width="6.25" style="2780" customWidth="1"/>
    <col min="7427" max="7427" width="11.75" style="2780" customWidth="1"/>
    <col min="7428" max="7428" width="47.875" style="2780" customWidth="1"/>
    <col min="7429" max="7430" width="13.875" style="2780" customWidth="1"/>
    <col min="7431" max="7431" width="12.5" style="2780" customWidth="1"/>
    <col min="7432" max="7432" width="7.875" style="2780" customWidth="1"/>
    <col min="7433" max="7433" width="15" style="2780" customWidth="1"/>
    <col min="7434" max="7434" width="7.875" style="2780" customWidth="1"/>
    <col min="7435" max="7435" width="11.25" style="2780" customWidth="1"/>
    <col min="7436" max="7436" width="9" style="2780" customWidth="1"/>
    <col min="7437" max="7437" width="64.125" style="2780" customWidth="1"/>
    <col min="7438" max="7438" width="10.625" style="2780" customWidth="1"/>
    <col min="7439" max="7439" width="16" style="2780" customWidth="1"/>
    <col min="7440" max="7440" width="14.375" style="2780" customWidth="1"/>
    <col min="7441" max="7441" width="6.25" style="2780" customWidth="1"/>
    <col min="7442" max="7443" width="7.875" style="2780" customWidth="1"/>
    <col min="7444" max="7680" width="9" style="2780"/>
    <col min="7681" max="7681" width="37.625" style="2780" customWidth="1"/>
    <col min="7682" max="7682" width="6.25" style="2780" customWidth="1"/>
    <col min="7683" max="7683" width="11.75" style="2780" customWidth="1"/>
    <col min="7684" max="7684" width="47.875" style="2780" customWidth="1"/>
    <col min="7685" max="7686" width="13.875" style="2780" customWidth="1"/>
    <col min="7687" max="7687" width="12.5" style="2780" customWidth="1"/>
    <col min="7688" max="7688" width="7.875" style="2780" customWidth="1"/>
    <col min="7689" max="7689" width="15" style="2780" customWidth="1"/>
    <col min="7690" max="7690" width="7.875" style="2780" customWidth="1"/>
    <col min="7691" max="7691" width="11.25" style="2780" customWidth="1"/>
    <col min="7692" max="7692" width="9" style="2780" customWidth="1"/>
    <col min="7693" max="7693" width="64.125" style="2780" customWidth="1"/>
    <col min="7694" max="7694" width="10.625" style="2780" customWidth="1"/>
    <col min="7695" max="7695" width="16" style="2780" customWidth="1"/>
    <col min="7696" max="7696" width="14.375" style="2780" customWidth="1"/>
    <col min="7697" max="7697" width="6.25" style="2780" customWidth="1"/>
    <col min="7698" max="7699" width="7.875" style="2780" customWidth="1"/>
    <col min="7700" max="7936" width="9" style="2780"/>
    <col min="7937" max="7937" width="37.625" style="2780" customWidth="1"/>
    <col min="7938" max="7938" width="6.25" style="2780" customWidth="1"/>
    <col min="7939" max="7939" width="11.75" style="2780" customWidth="1"/>
    <col min="7940" max="7940" width="47.875" style="2780" customWidth="1"/>
    <col min="7941" max="7942" width="13.875" style="2780" customWidth="1"/>
    <col min="7943" max="7943" width="12.5" style="2780" customWidth="1"/>
    <col min="7944" max="7944" width="7.875" style="2780" customWidth="1"/>
    <col min="7945" max="7945" width="15" style="2780" customWidth="1"/>
    <col min="7946" max="7946" width="7.875" style="2780" customWidth="1"/>
    <col min="7947" max="7947" width="11.25" style="2780" customWidth="1"/>
    <col min="7948" max="7948" width="9" style="2780" customWidth="1"/>
    <col min="7949" max="7949" width="64.125" style="2780" customWidth="1"/>
    <col min="7950" max="7950" width="10.625" style="2780" customWidth="1"/>
    <col min="7951" max="7951" width="16" style="2780" customWidth="1"/>
    <col min="7952" max="7952" width="14.375" style="2780" customWidth="1"/>
    <col min="7953" max="7953" width="6.25" style="2780" customWidth="1"/>
    <col min="7954" max="7955" width="7.875" style="2780" customWidth="1"/>
    <col min="7956" max="8192" width="9" style="2780"/>
    <col min="8193" max="8193" width="37.625" style="2780" customWidth="1"/>
    <col min="8194" max="8194" width="6.25" style="2780" customWidth="1"/>
    <col min="8195" max="8195" width="11.75" style="2780" customWidth="1"/>
    <col min="8196" max="8196" width="47.875" style="2780" customWidth="1"/>
    <col min="8197" max="8198" width="13.875" style="2780" customWidth="1"/>
    <col min="8199" max="8199" width="12.5" style="2780" customWidth="1"/>
    <col min="8200" max="8200" width="7.875" style="2780" customWidth="1"/>
    <col min="8201" max="8201" width="15" style="2780" customWidth="1"/>
    <col min="8202" max="8202" width="7.875" style="2780" customWidth="1"/>
    <col min="8203" max="8203" width="11.25" style="2780" customWidth="1"/>
    <col min="8204" max="8204" width="9" style="2780" customWidth="1"/>
    <col min="8205" max="8205" width="64.125" style="2780" customWidth="1"/>
    <col min="8206" max="8206" width="10.625" style="2780" customWidth="1"/>
    <col min="8207" max="8207" width="16" style="2780" customWidth="1"/>
    <col min="8208" max="8208" width="14.375" style="2780" customWidth="1"/>
    <col min="8209" max="8209" width="6.25" style="2780" customWidth="1"/>
    <col min="8210" max="8211" width="7.875" style="2780" customWidth="1"/>
    <col min="8212" max="8448" width="9" style="2780"/>
    <col min="8449" max="8449" width="37.625" style="2780" customWidth="1"/>
    <col min="8450" max="8450" width="6.25" style="2780" customWidth="1"/>
    <col min="8451" max="8451" width="11.75" style="2780" customWidth="1"/>
    <col min="8452" max="8452" width="47.875" style="2780" customWidth="1"/>
    <col min="8453" max="8454" width="13.875" style="2780" customWidth="1"/>
    <col min="8455" max="8455" width="12.5" style="2780" customWidth="1"/>
    <col min="8456" max="8456" width="7.875" style="2780" customWidth="1"/>
    <col min="8457" max="8457" width="15" style="2780" customWidth="1"/>
    <col min="8458" max="8458" width="7.875" style="2780" customWidth="1"/>
    <col min="8459" max="8459" width="11.25" style="2780" customWidth="1"/>
    <col min="8460" max="8460" width="9" style="2780" customWidth="1"/>
    <col min="8461" max="8461" width="64.125" style="2780" customWidth="1"/>
    <col min="8462" max="8462" width="10.625" style="2780" customWidth="1"/>
    <col min="8463" max="8463" width="16" style="2780" customWidth="1"/>
    <col min="8464" max="8464" width="14.375" style="2780" customWidth="1"/>
    <col min="8465" max="8465" width="6.25" style="2780" customWidth="1"/>
    <col min="8466" max="8467" width="7.875" style="2780" customWidth="1"/>
    <col min="8468" max="8704" width="9" style="2780"/>
    <col min="8705" max="8705" width="37.625" style="2780" customWidth="1"/>
    <col min="8706" max="8706" width="6.25" style="2780" customWidth="1"/>
    <col min="8707" max="8707" width="11.75" style="2780" customWidth="1"/>
    <col min="8708" max="8708" width="47.875" style="2780" customWidth="1"/>
    <col min="8709" max="8710" width="13.875" style="2780" customWidth="1"/>
    <col min="8711" max="8711" width="12.5" style="2780" customWidth="1"/>
    <col min="8712" max="8712" width="7.875" style="2780" customWidth="1"/>
    <col min="8713" max="8713" width="15" style="2780" customWidth="1"/>
    <col min="8714" max="8714" width="7.875" style="2780" customWidth="1"/>
    <col min="8715" max="8715" width="11.25" style="2780" customWidth="1"/>
    <col min="8716" max="8716" width="9" style="2780" customWidth="1"/>
    <col min="8717" max="8717" width="64.125" style="2780" customWidth="1"/>
    <col min="8718" max="8718" width="10.625" style="2780" customWidth="1"/>
    <col min="8719" max="8719" width="16" style="2780" customWidth="1"/>
    <col min="8720" max="8720" width="14.375" style="2780" customWidth="1"/>
    <col min="8721" max="8721" width="6.25" style="2780" customWidth="1"/>
    <col min="8722" max="8723" width="7.875" style="2780" customWidth="1"/>
    <col min="8724" max="8960" width="9" style="2780"/>
    <col min="8961" max="8961" width="37.625" style="2780" customWidth="1"/>
    <col min="8962" max="8962" width="6.25" style="2780" customWidth="1"/>
    <col min="8963" max="8963" width="11.75" style="2780" customWidth="1"/>
    <col min="8964" max="8964" width="47.875" style="2780" customWidth="1"/>
    <col min="8965" max="8966" width="13.875" style="2780" customWidth="1"/>
    <col min="8967" max="8967" width="12.5" style="2780" customWidth="1"/>
    <col min="8968" max="8968" width="7.875" style="2780" customWidth="1"/>
    <col min="8969" max="8969" width="15" style="2780" customWidth="1"/>
    <col min="8970" max="8970" width="7.875" style="2780" customWidth="1"/>
    <col min="8971" max="8971" width="11.25" style="2780" customWidth="1"/>
    <col min="8972" max="8972" width="9" style="2780" customWidth="1"/>
    <col min="8973" max="8973" width="64.125" style="2780" customWidth="1"/>
    <col min="8974" max="8974" width="10.625" style="2780" customWidth="1"/>
    <col min="8975" max="8975" width="16" style="2780" customWidth="1"/>
    <col min="8976" max="8976" width="14.375" style="2780" customWidth="1"/>
    <col min="8977" max="8977" width="6.25" style="2780" customWidth="1"/>
    <col min="8978" max="8979" width="7.875" style="2780" customWidth="1"/>
    <col min="8980" max="9216" width="9" style="2780"/>
    <col min="9217" max="9217" width="37.625" style="2780" customWidth="1"/>
    <col min="9218" max="9218" width="6.25" style="2780" customWidth="1"/>
    <col min="9219" max="9219" width="11.75" style="2780" customWidth="1"/>
    <col min="9220" max="9220" width="47.875" style="2780" customWidth="1"/>
    <col min="9221" max="9222" width="13.875" style="2780" customWidth="1"/>
    <col min="9223" max="9223" width="12.5" style="2780" customWidth="1"/>
    <col min="9224" max="9224" width="7.875" style="2780" customWidth="1"/>
    <col min="9225" max="9225" width="15" style="2780" customWidth="1"/>
    <col min="9226" max="9226" width="7.875" style="2780" customWidth="1"/>
    <col min="9227" max="9227" width="11.25" style="2780" customWidth="1"/>
    <col min="9228" max="9228" width="9" style="2780" customWidth="1"/>
    <col min="9229" max="9229" width="64.125" style="2780" customWidth="1"/>
    <col min="9230" max="9230" width="10.625" style="2780" customWidth="1"/>
    <col min="9231" max="9231" width="16" style="2780" customWidth="1"/>
    <col min="9232" max="9232" width="14.375" style="2780" customWidth="1"/>
    <col min="9233" max="9233" width="6.25" style="2780" customWidth="1"/>
    <col min="9234" max="9235" width="7.875" style="2780" customWidth="1"/>
    <col min="9236" max="9472" width="9" style="2780"/>
    <col min="9473" max="9473" width="37.625" style="2780" customWidth="1"/>
    <col min="9474" max="9474" width="6.25" style="2780" customWidth="1"/>
    <col min="9475" max="9475" width="11.75" style="2780" customWidth="1"/>
    <col min="9476" max="9476" width="47.875" style="2780" customWidth="1"/>
    <col min="9477" max="9478" width="13.875" style="2780" customWidth="1"/>
    <col min="9479" max="9479" width="12.5" style="2780" customWidth="1"/>
    <col min="9480" max="9480" width="7.875" style="2780" customWidth="1"/>
    <col min="9481" max="9481" width="15" style="2780" customWidth="1"/>
    <col min="9482" max="9482" width="7.875" style="2780" customWidth="1"/>
    <col min="9483" max="9483" width="11.25" style="2780" customWidth="1"/>
    <col min="9484" max="9484" width="9" style="2780" customWidth="1"/>
    <col min="9485" max="9485" width="64.125" style="2780" customWidth="1"/>
    <col min="9486" max="9486" width="10.625" style="2780" customWidth="1"/>
    <col min="9487" max="9487" width="16" style="2780" customWidth="1"/>
    <col min="9488" max="9488" width="14.375" style="2780" customWidth="1"/>
    <col min="9489" max="9489" width="6.25" style="2780" customWidth="1"/>
    <col min="9490" max="9491" width="7.875" style="2780" customWidth="1"/>
    <col min="9492" max="9728" width="9" style="2780"/>
    <col min="9729" max="9729" width="37.625" style="2780" customWidth="1"/>
    <col min="9730" max="9730" width="6.25" style="2780" customWidth="1"/>
    <col min="9731" max="9731" width="11.75" style="2780" customWidth="1"/>
    <col min="9732" max="9732" width="47.875" style="2780" customWidth="1"/>
    <col min="9733" max="9734" width="13.875" style="2780" customWidth="1"/>
    <col min="9735" max="9735" width="12.5" style="2780" customWidth="1"/>
    <col min="9736" max="9736" width="7.875" style="2780" customWidth="1"/>
    <col min="9737" max="9737" width="15" style="2780" customWidth="1"/>
    <col min="9738" max="9738" width="7.875" style="2780" customWidth="1"/>
    <col min="9739" max="9739" width="11.25" style="2780" customWidth="1"/>
    <col min="9740" max="9740" width="9" style="2780" customWidth="1"/>
    <col min="9741" max="9741" width="64.125" style="2780" customWidth="1"/>
    <col min="9742" max="9742" width="10.625" style="2780" customWidth="1"/>
    <col min="9743" max="9743" width="16" style="2780" customWidth="1"/>
    <col min="9744" max="9744" width="14.375" style="2780" customWidth="1"/>
    <col min="9745" max="9745" width="6.25" style="2780" customWidth="1"/>
    <col min="9746" max="9747" width="7.875" style="2780" customWidth="1"/>
    <col min="9748" max="9984" width="9" style="2780"/>
    <col min="9985" max="9985" width="37.625" style="2780" customWidth="1"/>
    <col min="9986" max="9986" width="6.25" style="2780" customWidth="1"/>
    <col min="9987" max="9987" width="11.75" style="2780" customWidth="1"/>
    <col min="9988" max="9988" width="47.875" style="2780" customWidth="1"/>
    <col min="9989" max="9990" width="13.875" style="2780" customWidth="1"/>
    <col min="9991" max="9991" width="12.5" style="2780" customWidth="1"/>
    <col min="9992" max="9992" width="7.875" style="2780" customWidth="1"/>
    <col min="9993" max="9993" width="15" style="2780" customWidth="1"/>
    <col min="9994" max="9994" width="7.875" style="2780" customWidth="1"/>
    <col min="9995" max="9995" width="11.25" style="2780" customWidth="1"/>
    <col min="9996" max="9996" width="9" style="2780" customWidth="1"/>
    <col min="9997" max="9997" width="64.125" style="2780" customWidth="1"/>
    <col min="9998" max="9998" width="10.625" style="2780" customWidth="1"/>
    <col min="9999" max="9999" width="16" style="2780" customWidth="1"/>
    <col min="10000" max="10000" width="14.375" style="2780" customWidth="1"/>
    <col min="10001" max="10001" width="6.25" style="2780" customWidth="1"/>
    <col min="10002" max="10003" width="7.875" style="2780" customWidth="1"/>
    <col min="10004" max="10240" width="9" style="2780"/>
    <col min="10241" max="10241" width="37.625" style="2780" customWidth="1"/>
    <col min="10242" max="10242" width="6.25" style="2780" customWidth="1"/>
    <col min="10243" max="10243" width="11.75" style="2780" customWidth="1"/>
    <col min="10244" max="10244" width="47.875" style="2780" customWidth="1"/>
    <col min="10245" max="10246" width="13.875" style="2780" customWidth="1"/>
    <col min="10247" max="10247" width="12.5" style="2780" customWidth="1"/>
    <col min="10248" max="10248" width="7.875" style="2780" customWidth="1"/>
    <col min="10249" max="10249" width="15" style="2780" customWidth="1"/>
    <col min="10250" max="10250" width="7.875" style="2780" customWidth="1"/>
    <col min="10251" max="10251" width="11.25" style="2780" customWidth="1"/>
    <col min="10252" max="10252" width="9" style="2780" customWidth="1"/>
    <col min="10253" max="10253" width="64.125" style="2780" customWidth="1"/>
    <col min="10254" max="10254" width="10.625" style="2780" customWidth="1"/>
    <col min="10255" max="10255" width="16" style="2780" customWidth="1"/>
    <col min="10256" max="10256" width="14.375" style="2780" customWidth="1"/>
    <col min="10257" max="10257" width="6.25" style="2780" customWidth="1"/>
    <col min="10258" max="10259" width="7.875" style="2780" customWidth="1"/>
    <col min="10260" max="10496" width="9" style="2780"/>
    <col min="10497" max="10497" width="37.625" style="2780" customWidth="1"/>
    <col min="10498" max="10498" width="6.25" style="2780" customWidth="1"/>
    <col min="10499" max="10499" width="11.75" style="2780" customWidth="1"/>
    <col min="10500" max="10500" width="47.875" style="2780" customWidth="1"/>
    <col min="10501" max="10502" width="13.875" style="2780" customWidth="1"/>
    <col min="10503" max="10503" width="12.5" style="2780" customWidth="1"/>
    <col min="10504" max="10504" width="7.875" style="2780" customWidth="1"/>
    <col min="10505" max="10505" width="15" style="2780" customWidth="1"/>
    <col min="10506" max="10506" width="7.875" style="2780" customWidth="1"/>
    <col min="10507" max="10507" width="11.25" style="2780" customWidth="1"/>
    <col min="10508" max="10508" width="9" style="2780" customWidth="1"/>
    <col min="10509" max="10509" width="64.125" style="2780" customWidth="1"/>
    <col min="10510" max="10510" width="10.625" style="2780" customWidth="1"/>
    <col min="10511" max="10511" width="16" style="2780" customWidth="1"/>
    <col min="10512" max="10512" width="14.375" style="2780" customWidth="1"/>
    <col min="10513" max="10513" width="6.25" style="2780" customWidth="1"/>
    <col min="10514" max="10515" width="7.875" style="2780" customWidth="1"/>
    <col min="10516" max="10752" width="9" style="2780"/>
    <col min="10753" max="10753" width="37.625" style="2780" customWidth="1"/>
    <col min="10754" max="10754" width="6.25" style="2780" customWidth="1"/>
    <col min="10755" max="10755" width="11.75" style="2780" customWidth="1"/>
    <col min="10756" max="10756" width="47.875" style="2780" customWidth="1"/>
    <col min="10757" max="10758" width="13.875" style="2780" customWidth="1"/>
    <col min="10759" max="10759" width="12.5" style="2780" customWidth="1"/>
    <col min="10760" max="10760" width="7.875" style="2780" customWidth="1"/>
    <col min="10761" max="10761" width="15" style="2780" customWidth="1"/>
    <col min="10762" max="10762" width="7.875" style="2780" customWidth="1"/>
    <col min="10763" max="10763" width="11.25" style="2780" customWidth="1"/>
    <col min="10764" max="10764" width="9" style="2780" customWidth="1"/>
    <col min="10765" max="10765" width="64.125" style="2780" customWidth="1"/>
    <col min="10766" max="10766" width="10.625" style="2780" customWidth="1"/>
    <col min="10767" max="10767" width="16" style="2780" customWidth="1"/>
    <col min="10768" max="10768" width="14.375" style="2780" customWidth="1"/>
    <col min="10769" max="10769" width="6.25" style="2780" customWidth="1"/>
    <col min="10770" max="10771" width="7.875" style="2780" customWidth="1"/>
    <col min="10772" max="11008" width="9" style="2780"/>
    <col min="11009" max="11009" width="37.625" style="2780" customWidth="1"/>
    <col min="11010" max="11010" width="6.25" style="2780" customWidth="1"/>
    <col min="11011" max="11011" width="11.75" style="2780" customWidth="1"/>
    <col min="11012" max="11012" width="47.875" style="2780" customWidth="1"/>
    <col min="11013" max="11014" width="13.875" style="2780" customWidth="1"/>
    <col min="11015" max="11015" width="12.5" style="2780" customWidth="1"/>
    <col min="11016" max="11016" width="7.875" style="2780" customWidth="1"/>
    <col min="11017" max="11017" width="15" style="2780" customWidth="1"/>
    <col min="11018" max="11018" width="7.875" style="2780" customWidth="1"/>
    <col min="11019" max="11019" width="11.25" style="2780" customWidth="1"/>
    <col min="11020" max="11020" width="9" style="2780" customWidth="1"/>
    <col min="11021" max="11021" width="64.125" style="2780" customWidth="1"/>
    <col min="11022" max="11022" width="10.625" style="2780" customWidth="1"/>
    <col min="11023" max="11023" width="16" style="2780" customWidth="1"/>
    <col min="11024" max="11024" width="14.375" style="2780" customWidth="1"/>
    <col min="11025" max="11025" width="6.25" style="2780" customWidth="1"/>
    <col min="11026" max="11027" width="7.875" style="2780" customWidth="1"/>
    <col min="11028" max="11264" width="9" style="2780"/>
    <col min="11265" max="11265" width="37.625" style="2780" customWidth="1"/>
    <col min="11266" max="11266" width="6.25" style="2780" customWidth="1"/>
    <col min="11267" max="11267" width="11.75" style="2780" customWidth="1"/>
    <col min="11268" max="11268" width="47.875" style="2780" customWidth="1"/>
    <col min="11269" max="11270" width="13.875" style="2780" customWidth="1"/>
    <col min="11271" max="11271" width="12.5" style="2780" customWidth="1"/>
    <col min="11272" max="11272" width="7.875" style="2780" customWidth="1"/>
    <col min="11273" max="11273" width="15" style="2780" customWidth="1"/>
    <col min="11274" max="11274" width="7.875" style="2780" customWidth="1"/>
    <col min="11275" max="11275" width="11.25" style="2780" customWidth="1"/>
    <col min="11276" max="11276" width="9" style="2780" customWidth="1"/>
    <col min="11277" max="11277" width="64.125" style="2780" customWidth="1"/>
    <col min="11278" max="11278" width="10.625" style="2780" customWidth="1"/>
    <col min="11279" max="11279" width="16" style="2780" customWidth="1"/>
    <col min="11280" max="11280" width="14.375" style="2780" customWidth="1"/>
    <col min="11281" max="11281" width="6.25" style="2780" customWidth="1"/>
    <col min="11282" max="11283" width="7.875" style="2780" customWidth="1"/>
    <col min="11284" max="11520" width="9" style="2780"/>
    <col min="11521" max="11521" width="37.625" style="2780" customWidth="1"/>
    <col min="11522" max="11522" width="6.25" style="2780" customWidth="1"/>
    <col min="11523" max="11523" width="11.75" style="2780" customWidth="1"/>
    <col min="11524" max="11524" width="47.875" style="2780" customWidth="1"/>
    <col min="11525" max="11526" width="13.875" style="2780" customWidth="1"/>
    <col min="11527" max="11527" width="12.5" style="2780" customWidth="1"/>
    <col min="11528" max="11528" width="7.875" style="2780" customWidth="1"/>
    <col min="11529" max="11529" width="15" style="2780" customWidth="1"/>
    <col min="11530" max="11530" width="7.875" style="2780" customWidth="1"/>
    <col min="11531" max="11531" width="11.25" style="2780" customWidth="1"/>
    <col min="11532" max="11532" width="9" style="2780" customWidth="1"/>
    <col min="11533" max="11533" width="64.125" style="2780" customWidth="1"/>
    <col min="11534" max="11534" width="10.625" style="2780" customWidth="1"/>
    <col min="11535" max="11535" width="16" style="2780" customWidth="1"/>
    <col min="11536" max="11536" width="14.375" style="2780" customWidth="1"/>
    <col min="11537" max="11537" width="6.25" style="2780" customWidth="1"/>
    <col min="11538" max="11539" width="7.875" style="2780" customWidth="1"/>
    <col min="11540" max="11776" width="9" style="2780"/>
    <col min="11777" max="11777" width="37.625" style="2780" customWidth="1"/>
    <col min="11778" max="11778" width="6.25" style="2780" customWidth="1"/>
    <col min="11779" max="11779" width="11.75" style="2780" customWidth="1"/>
    <col min="11780" max="11780" width="47.875" style="2780" customWidth="1"/>
    <col min="11781" max="11782" width="13.875" style="2780" customWidth="1"/>
    <col min="11783" max="11783" width="12.5" style="2780" customWidth="1"/>
    <col min="11784" max="11784" width="7.875" style="2780" customWidth="1"/>
    <col min="11785" max="11785" width="15" style="2780" customWidth="1"/>
    <col min="11786" max="11786" width="7.875" style="2780" customWidth="1"/>
    <col min="11787" max="11787" width="11.25" style="2780" customWidth="1"/>
    <col min="11788" max="11788" width="9" style="2780" customWidth="1"/>
    <col min="11789" max="11789" width="64.125" style="2780" customWidth="1"/>
    <col min="11790" max="11790" width="10.625" style="2780" customWidth="1"/>
    <col min="11791" max="11791" width="16" style="2780" customWidth="1"/>
    <col min="11792" max="11792" width="14.375" style="2780" customWidth="1"/>
    <col min="11793" max="11793" width="6.25" style="2780" customWidth="1"/>
    <col min="11794" max="11795" width="7.875" style="2780" customWidth="1"/>
    <col min="11796" max="12032" width="9" style="2780"/>
    <col min="12033" max="12033" width="37.625" style="2780" customWidth="1"/>
    <col min="12034" max="12034" width="6.25" style="2780" customWidth="1"/>
    <col min="12035" max="12035" width="11.75" style="2780" customWidth="1"/>
    <col min="12036" max="12036" width="47.875" style="2780" customWidth="1"/>
    <col min="12037" max="12038" width="13.875" style="2780" customWidth="1"/>
    <col min="12039" max="12039" width="12.5" style="2780" customWidth="1"/>
    <col min="12040" max="12040" width="7.875" style="2780" customWidth="1"/>
    <col min="12041" max="12041" width="15" style="2780" customWidth="1"/>
    <col min="12042" max="12042" width="7.875" style="2780" customWidth="1"/>
    <col min="12043" max="12043" width="11.25" style="2780" customWidth="1"/>
    <col min="12044" max="12044" width="9" style="2780" customWidth="1"/>
    <col min="12045" max="12045" width="64.125" style="2780" customWidth="1"/>
    <col min="12046" max="12046" width="10.625" style="2780" customWidth="1"/>
    <col min="12047" max="12047" width="16" style="2780" customWidth="1"/>
    <col min="12048" max="12048" width="14.375" style="2780" customWidth="1"/>
    <col min="12049" max="12049" width="6.25" style="2780" customWidth="1"/>
    <col min="12050" max="12051" width="7.875" style="2780" customWidth="1"/>
    <col min="12052" max="12288" width="9" style="2780"/>
    <col min="12289" max="12289" width="37.625" style="2780" customWidth="1"/>
    <col min="12290" max="12290" width="6.25" style="2780" customWidth="1"/>
    <col min="12291" max="12291" width="11.75" style="2780" customWidth="1"/>
    <col min="12292" max="12292" width="47.875" style="2780" customWidth="1"/>
    <col min="12293" max="12294" width="13.875" style="2780" customWidth="1"/>
    <col min="12295" max="12295" width="12.5" style="2780" customWidth="1"/>
    <col min="12296" max="12296" width="7.875" style="2780" customWidth="1"/>
    <col min="12297" max="12297" width="15" style="2780" customWidth="1"/>
    <col min="12298" max="12298" width="7.875" style="2780" customWidth="1"/>
    <col min="12299" max="12299" width="11.25" style="2780" customWidth="1"/>
    <col min="12300" max="12300" width="9" style="2780" customWidth="1"/>
    <col min="12301" max="12301" width="64.125" style="2780" customWidth="1"/>
    <col min="12302" max="12302" width="10.625" style="2780" customWidth="1"/>
    <col min="12303" max="12303" width="16" style="2780" customWidth="1"/>
    <col min="12304" max="12304" width="14.375" style="2780" customWidth="1"/>
    <col min="12305" max="12305" width="6.25" style="2780" customWidth="1"/>
    <col min="12306" max="12307" width="7.875" style="2780" customWidth="1"/>
    <col min="12308" max="12544" width="9" style="2780"/>
    <col min="12545" max="12545" width="37.625" style="2780" customWidth="1"/>
    <col min="12546" max="12546" width="6.25" style="2780" customWidth="1"/>
    <col min="12547" max="12547" width="11.75" style="2780" customWidth="1"/>
    <col min="12548" max="12548" width="47.875" style="2780" customWidth="1"/>
    <col min="12549" max="12550" width="13.875" style="2780" customWidth="1"/>
    <col min="12551" max="12551" width="12.5" style="2780" customWidth="1"/>
    <col min="12552" max="12552" width="7.875" style="2780" customWidth="1"/>
    <col min="12553" max="12553" width="15" style="2780" customWidth="1"/>
    <col min="12554" max="12554" width="7.875" style="2780" customWidth="1"/>
    <col min="12555" max="12555" width="11.25" style="2780" customWidth="1"/>
    <col min="12556" max="12556" width="9" style="2780" customWidth="1"/>
    <col min="12557" max="12557" width="64.125" style="2780" customWidth="1"/>
    <col min="12558" max="12558" width="10.625" style="2780" customWidth="1"/>
    <col min="12559" max="12559" width="16" style="2780" customWidth="1"/>
    <col min="12560" max="12560" width="14.375" style="2780" customWidth="1"/>
    <col min="12561" max="12561" width="6.25" style="2780" customWidth="1"/>
    <col min="12562" max="12563" width="7.875" style="2780" customWidth="1"/>
    <col min="12564" max="12800" width="9" style="2780"/>
    <col min="12801" max="12801" width="37.625" style="2780" customWidth="1"/>
    <col min="12802" max="12802" width="6.25" style="2780" customWidth="1"/>
    <col min="12803" max="12803" width="11.75" style="2780" customWidth="1"/>
    <col min="12804" max="12804" width="47.875" style="2780" customWidth="1"/>
    <col min="12805" max="12806" width="13.875" style="2780" customWidth="1"/>
    <col min="12807" max="12807" width="12.5" style="2780" customWidth="1"/>
    <col min="12808" max="12808" width="7.875" style="2780" customWidth="1"/>
    <col min="12809" max="12809" width="15" style="2780" customWidth="1"/>
    <col min="12810" max="12810" width="7.875" style="2780" customWidth="1"/>
    <col min="12811" max="12811" width="11.25" style="2780" customWidth="1"/>
    <col min="12812" max="12812" width="9" style="2780" customWidth="1"/>
    <col min="12813" max="12813" width="64.125" style="2780" customWidth="1"/>
    <col min="12814" max="12814" width="10.625" style="2780" customWidth="1"/>
    <col min="12815" max="12815" width="16" style="2780" customWidth="1"/>
    <col min="12816" max="12816" width="14.375" style="2780" customWidth="1"/>
    <col min="12817" max="12817" width="6.25" style="2780" customWidth="1"/>
    <col min="12818" max="12819" width="7.875" style="2780" customWidth="1"/>
    <col min="12820" max="13056" width="9" style="2780"/>
    <col min="13057" max="13057" width="37.625" style="2780" customWidth="1"/>
    <col min="13058" max="13058" width="6.25" style="2780" customWidth="1"/>
    <col min="13059" max="13059" width="11.75" style="2780" customWidth="1"/>
    <col min="13060" max="13060" width="47.875" style="2780" customWidth="1"/>
    <col min="13061" max="13062" width="13.875" style="2780" customWidth="1"/>
    <col min="13063" max="13063" width="12.5" style="2780" customWidth="1"/>
    <col min="13064" max="13064" width="7.875" style="2780" customWidth="1"/>
    <col min="13065" max="13065" width="15" style="2780" customWidth="1"/>
    <col min="13066" max="13066" width="7.875" style="2780" customWidth="1"/>
    <col min="13067" max="13067" width="11.25" style="2780" customWidth="1"/>
    <col min="13068" max="13068" width="9" style="2780" customWidth="1"/>
    <col min="13069" max="13069" width="64.125" style="2780" customWidth="1"/>
    <col min="13070" max="13070" width="10.625" style="2780" customWidth="1"/>
    <col min="13071" max="13071" width="16" style="2780" customWidth="1"/>
    <col min="13072" max="13072" width="14.375" style="2780" customWidth="1"/>
    <col min="13073" max="13073" width="6.25" style="2780" customWidth="1"/>
    <col min="13074" max="13075" width="7.875" style="2780" customWidth="1"/>
    <col min="13076" max="13312" width="9" style="2780"/>
    <col min="13313" max="13313" width="37.625" style="2780" customWidth="1"/>
    <col min="13314" max="13314" width="6.25" style="2780" customWidth="1"/>
    <col min="13315" max="13315" width="11.75" style="2780" customWidth="1"/>
    <col min="13316" max="13316" width="47.875" style="2780" customWidth="1"/>
    <col min="13317" max="13318" width="13.875" style="2780" customWidth="1"/>
    <col min="13319" max="13319" width="12.5" style="2780" customWidth="1"/>
    <col min="13320" max="13320" width="7.875" style="2780" customWidth="1"/>
    <col min="13321" max="13321" width="15" style="2780" customWidth="1"/>
    <col min="13322" max="13322" width="7.875" style="2780" customWidth="1"/>
    <col min="13323" max="13323" width="11.25" style="2780" customWidth="1"/>
    <col min="13324" max="13324" width="9" style="2780" customWidth="1"/>
    <col min="13325" max="13325" width="64.125" style="2780" customWidth="1"/>
    <col min="13326" max="13326" width="10.625" style="2780" customWidth="1"/>
    <col min="13327" max="13327" width="16" style="2780" customWidth="1"/>
    <col min="13328" max="13328" width="14.375" style="2780" customWidth="1"/>
    <col min="13329" max="13329" width="6.25" style="2780" customWidth="1"/>
    <col min="13330" max="13331" width="7.875" style="2780" customWidth="1"/>
    <col min="13332" max="13568" width="9" style="2780"/>
    <col min="13569" max="13569" width="37.625" style="2780" customWidth="1"/>
    <col min="13570" max="13570" width="6.25" style="2780" customWidth="1"/>
    <col min="13571" max="13571" width="11.75" style="2780" customWidth="1"/>
    <col min="13572" max="13572" width="47.875" style="2780" customWidth="1"/>
    <col min="13573" max="13574" width="13.875" style="2780" customWidth="1"/>
    <col min="13575" max="13575" width="12.5" style="2780" customWidth="1"/>
    <col min="13576" max="13576" width="7.875" style="2780" customWidth="1"/>
    <col min="13577" max="13577" width="15" style="2780" customWidth="1"/>
    <col min="13578" max="13578" width="7.875" style="2780" customWidth="1"/>
    <col min="13579" max="13579" width="11.25" style="2780" customWidth="1"/>
    <col min="13580" max="13580" width="9" style="2780" customWidth="1"/>
    <col min="13581" max="13581" width="64.125" style="2780" customWidth="1"/>
    <col min="13582" max="13582" width="10.625" style="2780" customWidth="1"/>
    <col min="13583" max="13583" width="16" style="2780" customWidth="1"/>
    <col min="13584" max="13584" width="14.375" style="2780" customWidth="1"/>
    <col min="13585" max="13585" width="6.25" style="2780" customWidth="1"/>
    <col min="13586" max="13587" width="7.875" style="2780" customWidth="1"/>
    <col min="13588" max="13824" width="9" style="2780"/>
    <col min="13825" max="13825" width="37.625" style="2780" customWidth="1"/>
    <col min="13826" max="13826" width="6.25" style="2780" customWidth="1"/>
    <col min="13827" max="13827" width="11.75" style="2780" customWidth="1"/>
    <col min="13828" max="13828" width="47.875" style="2780" customWidth="1"/>
    <col min="13829" max="13830" width="13.875" style="2780" customWidth="1"/>
    <col min="13831" max="13831" width="12.5" style="2780" customWidth="1"/>
    <col min="13832" max="13832" width="7.875" style="2780" customWidth="1"/>
    <col min="13833" max="13833" width="15" style="2780" customWidth="1"/>
    <col min="13834" max="13834" width="7.875" style="2780" customWidth="1"/>
    <col min="13835" max="13835" width="11.25" style="2780" customWidth="1"/>
    <col min="13836" max="13836" width="9" style="2780" customWidth="1"/>
    <col min="13837" max="13837" width="64.125" style="2780" customWidth="1"/>
    <col min="13838" max="13838" width="10.625" style="2780" customWidth="1"/>
    <col min="13839" max="13839" width="16" style="2780" customWidth="1"/>
    <col min="13840" max="13840" width="14.375" style="2780" customWidth="1"/>
    <col min="13841" max="13841" width="6.25" style="2780" customWidth="1"/>
    <col min="13842" max="13843" width="7.875" style="2780" customWidth="1"/>
    <col min="13844" max="14080" width="9" style="2780"/>
    <col min="14081" max="14081" width="37.625" style="2780" customWidth="1"/>
    <col min="14082" max="14082" width="6.25" style="2780" customWidth="1"/>
    <col min="14083" max="14083" width="11.75" style="2780" customWidth="1"/>
    <col min="14084" max="14084" width="47.875" style="2780" customWidth="1"/>
    <col min="14085" max="14086" width="13.875" style="2780" customWidth="1"/>
    <col min="14087" max="14087" width="12.5" style="2780" customWidth="1"/>
    <col min="14088" max="14088" width="7.875" style="2780" customWidth="1"/>
    <col min="14089" max="14089" width="15" style="2780" customWidth="1"/>
    <col min="14090" max="14090" width="7.875" style="2780" customWidth="1"/>
    <col min="14091" max="14091" width="11.25" style="2780" customWidth="1"/>
    <col min="14092" max="14092" width="9" style="2780" customWidth="1"/>
    <col min="14093" max="14093" width="64.125" style="2780" customWidth="1"/>
    <col min="14094" max="14094" width="10.625" style="2780" customWidth="1"/>
    <col min="14095" max="14095" width="16" style="2780" customWidth="1"/>
    <col min="14096" max="14096" width="14.375" style="2780" customWidth="1"/>
    <col min="14097" max="14097" width="6.25" style="2780" customWidth="1"/>
    <col min="14098" max="14099" width="7.875" style="2780" customWidth="1"/>
    <col min="14100" max="14336" width="9" style="2780"/>
    <col min="14337" max="14337" width="37.625" style="2780" customWidth="1"/>
    <col min="14338" max="14338" width="6.25" style="2780" customWidth="1"/>
    <col min="14339" max="14339" width="11.75" style="2780" customWidth="1"/>
    <col min="14340" max="14340" width="47.875" style="2780" customWidth="1"/>
    <col min="14341" max="14342" width="13.875" style="2780" customWidth="1"/>
    <col min="14343" max="14343" width="12.5" style="2780" customWidth="1"/>
    <col min="14344" max="14344" width="7.875" style="2780" customWidth="1"/>
    <col min="14345" max="14345" width="15" style="2780" customWidth="1"/>
    <col min="14346" max="14346" width="7.875" style="2780" customWidth="1"/>
    <col min="14347" max="14347" width="11.25" style="2780" customWidth="1"/>
    <col min="14348" max="14348" width="9" style="2780" customWidth="1"/>
    <col min="14349" max="14349" width="64.125" style="2780" customWidth="1"/>
    <col min="14350" max="14350" width="10.625" style="2780" customWidth="1"/>
    <col min="14351" max="14351" width="16" style="2780" customWidth="1"/>
    <col min="14352" max="14352" width="14.375" style="2780" customWidth="1"/>
    <col min="14353" max="14353" width="6.25" style="2780" customWidth="1"/>
    <col min="14354" max="14355" width="7.875" style="2780" customWidth="1"/>
    <col min="14356" max="14592" width="9" style="2780"/>
    <col min="14593" max="14593" width="37.625" style="2780" customWidth="1"/>
    <col min="14594" max="14594" width="6.25" style="2780" customWidth="1"/>
    <col min="14595" max="14595" width="11.75" style="2780" customWidth="1"/>
    <col min="14596" max="14596" width="47.875" style="2780" customWidth="1"/>
    <col min="14597" max="14598" width="13.875" style="2780" customWidth="1"/>
    <col min="14599" max="14599" width="12.5" style="2780" customWidth="1"/>
    <col min="14600" max="14600" width="7.875" style="2780" customWidth="1"/>
    <col min="14601" max="14601" width="15" style="2780" customWidth="1"/>
    <col min="14602" max="14602" width="7.875" style="2780" customWidth="1"/>
    <col min="14603" max="14603" width="11.25" style="2780" customWidth="1"/>
    <col min="14604" max="14604" width="9" style="2780" customWidth="1"/>
    <col min="14605" max="14605" width="64.125" style="2780" customWidth="1"/>
    <col min="14606" max="14606" width="10.625" style="2780" customWidth="1"/>
    <col min="14607" max="14607" width="16" style="2780" customWidth="1"/>
    <col min="14608" max="14608" width="14.375" style="2780" customWidth="1"/>
    <col min="14609" max="14609" width="6.25" style="2780" customWidth="1"/>
    <col min="14610" max="14611" width="7.875" style="2780" customWidth="1"/>
    <col min="14612" max="14848" width="9" style="2780"/>
    <col min="14849" max="14849" width="37.625" style="2780" customWidth="1"/>
    <col min="14850" max="14850" width="6.25" style="2780" customWidth="1"/>
    <col min="14851" max="14851" width="11.75" style="2780" customWidth="1"/>
    <col min="14852" max="14852" width="47.875" style="2780" customWidth="1"/>
    <col min="14853" max="14854" width="13.875" style="2780" customWidth="1"/>
    <col min="14855" max="14855" width="12.5" style="2780" customWidth="1"/>
    <col min="14856" max="14856" width="7.875" style="2780" customWidth="1"/>
    <col min="14857" max="14857" width="15" style="2780" customWidth="1"/>
    <col min="14858" max="14858" width="7.875" style="2780" customWidth="1"/>
    <col min="14859" max="14859" width="11.25" style="2780" customWidth="1"/>
    <col min="14860" max="14860" width="9" style="2780" customWidth="1"/>
    <col min="14861" max="14861" width="64.125" style="2780" customWidth="1"/>
    <col min="14862" max="14862" width="10.625" style="2780" customWidth="1"/>
    <col min="14863" max="14863" width="16" style="2780" customWidth="1"/>
    <col min="14864" max="14864" width="14.375" style="2780" customWidth="1"/>
    <col min="14865" max="14865" width="6.25" style="2780" customWidth="1"/>
    <col min="14866" max="14867" width="7.875" style="2780" customWidth="1"/>
    <col min="14868" max="15104" width="9" style="2780"/>
    <col min="15105" max="15105" width="37.625" style="2780" customWidth="1"/>
    <col min="15106" max="15106" width="6.25" style="2780" customWidth="1"/>
    <col min="15107" max="15107" width="11.75" style="2780" customWidth="1"/>
    <col min="15108" max="15108" width="47.875" style="2780" customWidth="1"/>
    <col min="15109" max="15110" width="13.875" style="2780" customWidth="1"/>
    <col min="15111" max="15111" width="12.5" style="2780" customWidth="1"/>
    <col min="15112" max="15112" width="7.875" style="2780" customWidth="1"/>
    <col min="15113" max="15113" width="15" style="2780" customWidth="1"/>
    <col min="15114" max="15114" width="7.875" style="2780" customWidth="1"/>
    <col min="15115" max="15115" width="11.25" style="2780" customWidth="1"/>
    <col min="15116" max="15116" width="9" style="2780" customWidth="1"/>
    <col min="15117" max="15117" width="64.125" style="2780" customWidth="1"/>
    <col min="15118" max="15118" width="10.625" style="2780" customWidth="1"/>
    <col min="15119" max="15119" width="16" style="2780" customWidth="1"/>
    <col min="15120" max="15120" width="14.375" style="2780" customWidth="1"/>
    <col min="15121" max="15121" width="6.25" style="2780" customWidth="1"/>
    <col min="15122" max="15123" width="7.875" style="2780" customWidth="1"/>
    <col min="15124" max="15360" width="9" style="2780"/>
    <col min="15361" max="15361" width="37.625" style="2780" customWidth="1"/>
    <col min="15362" max="15362" width="6.25" style="2780" customWidth="1"/>
    <col min="15363" max="15363" width="11.75" style="2780" customWidth="1"/>
    <col min="15364" max="15364" width="47.875" style="2780" customWidth="1"/>
    <col min="15365" max="15366" width="13.875" style="2780" customWidth="1"/>
    <col min="15367" max="15367" width="12.5" style="2780" customWidth="1"/>
    <col min="15368" max="15368" width="7.875" style="2780" customWidth="1"/>
    <col min="15369" max="15369" width="15" style="2780" customWidth="1"/>
    <col min="15370" max="15370" width="7.875" style="2780" customWidth="1"/>
    <col min="15371" max="15371" width="11.25" style="2780" customWidth="1"/>
    <col min="15372" max="15372" width="9" style="2780" customWidth="1"/>
    <col min="15373" max="15373" width="64.125" style="2780" customWidth="1"/>
    <col min="15374" max="15374" width="10.625" style="2780" customWidth="1"/>
    <col min="15375" max="15375" width="16" style="2780" customWidth="1"/>
    <col min="15376" max="15376" width="14.375" style="2780" customWidth="1"/>
    <col min="15377" max="15377" width="6.25" style="2780" customWidth="1"/>
    <col min="15378" max="15379" width="7.875" style="2780" customWidth="1"/>
    <col min="15380" max="15616" width="9" style="2780"/>
    <col min="15617" max="15617" width="37.625" style="2780" customWidth="1"/>
    <col min="15618" max="15618" width="6.25" style="2780" customWidth="1"/>
    <col min="15619" max="15619" width="11.75" style="2780" customWidth="1"/>
    <col min="15620" max="15620" width="47.875" style="2780" customWidth="1"/>
    <col min="15621" max="15622" width="13.875" style="2780" customWidth="1"/>
    <col min="15623" max="15623" width="12.5" style="2780" customWidth="1"/>
    <col min="15624" max="15624" width="7.875" style="2780" customWidth="1"/>
    <col min="15625" max="15625" width="15" style="2780" customWidth="1"/>
    <col min="15626" max="15626" width="7.875" style="2780" customWidth="1"/>
    <col min="15627" max="15627" width="11.25" style="2780" customWidth="1"/>
    <col min="15628" max="15628" width="9" style="2780" customWidth="1"/>
    <col min="15629" max="15629" width="64.125" style="2780" customWidth="1"/>
    <col min="15630" max="15630" width="10.625" style="2780" customWidth="1"/>
    <col min="15631" max="15631" width="16" style="2780" customWidth="1"/>
    <col min="15632" max="15632" width="14.375" style="2780" customWidth="1"/>
    <col min="15633" max="15633" width="6.25" style="2780" customWidth="1"/>
    <col min="15634" max="15635" width="7.875" style="2780" customWidth="1"/>
    <col min="15636" max="15872" width="9" style="2780"/>
    <col min="15873" max="15873" width="37.625" style="2780" customWidth="1"/>
    <col min="15874" max="15874" width="6.25" style="2780" customWidth="1"/>
    <col min="15875" max="15875" width="11.75" style="2780" customWidth="1"/>
    <col min="15876" max="15876" width="47.875" style="2780" customWidth="1"/>
    <col min="15877" max="15878" width="13.875" style="2780" customWidth="1"/>
    <col min="15879" max="15879" width="12.5" style="2780" customWidth="1"/>
    <col min="15880" max="15880" width="7.875" style="2780" customWidth="1"/>
    <col min="15881" max="15881" width="15" style="2780" customWidth="1"/>
    <col min="15882" max="15882" width="7.875" style="2780" customWidth="1"/>
    <col min="15883" max="15883" width="11.25" style="2780" customWidth="1"/>
    <col min="15884" max="15884" width="9" style="2780" customWidth="1"/>
    <col min="15885" max="15885" width="64.125" style="2780" customWidth="1"/>
    <col min="15886" max="15886" width="10.625" style="2780" customWidth="1"/>
    <col min="15887" max="15887" width="16" style="2780" customWidth="1"/>
    <col min="15888" max="15888" width="14.375" style="2780" customWidth="1"/>
    <col min="15889" max="15889" width="6.25" style="2780" customWidth="1"/>
    <col min="15890" max="15891" width="7.875" style="2780" customWidth="1"/>
    <col min="15892" max="16128" width="9" style="2780"/>
    <col min="16129" max="16129" width="37.625" style="2780" customWidth="1"/>
    <col min="16130" max="16130" width="6.25" style="2780" customWidth="1"/>
    <col min="16131" max="16131" width="11.75" style="2780" customWidth="1"/>
    <col min="16132" max="16132" width="47.875" style="2780" customWidth="1"/>
    <col min="16133" max="16134" width="13.875" style="2780" customWidth="1"/>
    <col min="16135" max="16135" width="12.5" style="2780" customWidth="1"/>
    <col min="16136" max="16136" width="7.875" style="2780" customWidth="1"/>
    <col min="16137" max="16137" width="15" style="2780" customWidth="1"/>
    <col min="16138" max="16138" width="7.875" style="2780" customWidth="1"/>
    <col min="16139" max="16139" width="11.25" style="2780" customWidth="1"/>
    <col min="16140" max="16140" width="9" style="2780" customWidth="1"/>
    <col min="16141" max="16141" width="64.125" style="2780" customWidth="1"/>
    <col min="16142" max="16142" width="10.625" style="2780" customWidth="1"/>
    <col min="16143" max="16143" width="16" style="2780" customWidth="1"/>
    <col min="16144" max="16144" width="14.375" style="2780" customWidth="1"/>
    <col min="16145" max="16145" width="6.25" style="2780" customWidth="1"/>
    <col min="16146" max="16147" width="7.875" style="2780" customWidth="1"/>
    <col min="16148" max="16384" width="9" style="2780"/>
  </cols>
  <sheetData>
    <row r="1" spans="1:19">
      <c r="A1" s="2780" t="s">
        <v>3082</v>
      </c>
      <c r="B1" s="2780" t="s">
        <v>3083</v>
      </c>
      <c r="C1" s="2780" t="s">
        <v>3084</v>
      </c>
      <c r="D1" s="2780" t="s">
        <v>3085</v>
      </c>
      <c r="E1" s="2780" t="s">
        <v>3086</v>
      </c>
      <c r="F1" s="2780" t="s">
        <v>3087</v>
      </c>
      <c r="G1" s="2780" t="s">
        <v>3088</v>
      </c>
      <c r="H1" s="2780" t="s">
        <v>3089</v>
      </c>
      <c r="I1" s="2780" t="s">
        <v>3090</v>
      </c>
      <c r="J1" s="2780" t="s">
        <v>3091</v>
      </c>
      <c r="K1" s="2780" t="s">
        <v>3347</v>
      </c>
      <c r="L1" s="2780" t="s">
        <v>3092</v>
      </c>
      <c r="M1" s="2780" t="s">
        <v>3093</v>
      </c>
      <c r="N1" s="2780" t="s">
        <v>3094</v>
      </c>
      <c r="O1" s="2780" t="s">
        <v>3095</v>
      </c>
      <c r="P1" s="2780" t="s">
        <v>3096</v>
      </c>
      <c r="Q1" s="2780" t="s">
        <v>3097</v>
      </c>
      <c r="R1" s="2780" t="s">
        <v>3098</v>
      </c>
      <c r="S1" s="2780" t="s">
        <v>3099</v>
      </c>
    </row>
    <row r="2" spans="1:19">
      <c r="A2" s="2780" t="s">
        <v>3348</v>
      </c>
      <c r="B2" s="2780" t="s">
        <v>3349</v>
      </c>
      <c r="C2" s="2780" t="s">
        <v>3100</v>
      </c>
      <c r="D2" s="2780" t="s">
        <v>3350</v>
      </c>
      <c r="E2" s="2780">
        <v>3971.02</v>
      </c>
      <c r="F2" s="2780">
        <v>4765.22</v>
      </c>
      <c r="G2" s="2780" t="s">
        <v>3351</v>
      </c>
      <c r="H2" s="2780" t="s">
        <v>3101</v>
      </c>
      <c r="I2" s="2780" t="s">
        <v>3352</v>
      </c>
      <c r="J2" s="2780">
        <v>0</v>
      </c>
      <c r="K2" s="2780" t="s">
        <v>1298</v>
      </c>
      <c r="L2" s="2780" t="s">
        <v>3353</v>
      </c>
      <c r="M2" s="2780" t="s">
        <v>3354</v>
      </c>
      <c r="N2" s="2780">
        <v>975.87</v>
      </c>
      <c r="O2" s="2780">
        <v>163.83000000000001</v>
      </c>
      <c r="P2" s="2780">
        <v>2047.9</v>
      </c>
      <c r="Q2" s="2780">
        <v>0</v>
      </c>
      <c r="R2" s="2780" t="s">
        <v>3103</v>
      </c>
      <c r="S2" s="2780" t="s">
        <v>3355</v>
      </c>
    </row>
    <row r="3" spans="1:19">
      <c r="A3" s="2780" t="s">
        <v>3356</v>
      </c>
      <c r="B3" s="2780" t="s">
        <v>3349</v>
      </c>
      <c r="C3" s="2780" t="s">
        <v>3100</v>
      </c>
      <c r="D3" s="2780" t="s">
        <v>3357</v>
      </c>
      <c r="E3" s="2780">
        <v>4699.78</v>
      </c>
      <c r="F3" s="2780">
        <v>9399.56</v>
      </c>
      <c r="G3" s="2780" t="s">
        <v>3358</v>
      </c>
      <c r="H3" s="2780" t="s">
        <v>3101</v>
      </c>
      <c r="I3" s="2780" t="s">
        <v>3102</v>
      </c>
      <c r="J3" s="2780">
        <v>0</v>
      </c>
      <c r="K3" s="2780" t="s">
        <v>1298</v>
      </c>
      <c r="L3" s="2780" t="s">
        <v>3359</v>
      </c>
      <c r="M3" s="2780" t="s">
        <v>3360</v>
      </c>
      <c r="N3" s="2780">
        <v>9400</v>
      </c>
      <c r="O3" s="2780">
        <v>1333.4</v>
      </c>
      <c r="P3" s="2780">
        <v>10000.459999999999</v>
      </c>
      <c r="Q3" s="2780">
        <v>53.62</v>
      </c>
      <c r="R3" s="2780" t="s">
        <v>3103</v>
      </c>
      <c r="S3" s="2780" t="s">
        <v>3110</v>
      </c>
    </row>
    <row r="4" spans="1:19">
      <c r="A4" s="2780" t="s">
        <v>3361</v>
      </c>
      <c r="B4" s="2780" t="s">
        <v>3349</v>
      </c>
      <c r="C4" s="2780" t="s">
        <v>3100</v>
      </c>
      <c r="D4" s="2780" t="s">
        <v>3362</v>
      </c>
      <c r="E4" s="2780">
        <v>101809.01</v>
      </c>
      <c r="F4" s="2780">
        <v>152713.51999999999</v>
      </c>
      <c r="G4" s="2780" t="s">
        <v>3105</v>
      </c>
      <c r="H4" s="2780" t="s">
        <v>3101</v>
      </c>
      <c r="I4" s="2780" t="s">
        <v>3102</v>
      </c>
      <c r="J4" s="2780">
        <v>0</v>
      </c>
      <c r="K4" s="2780" t="s">
        <v>1298</v>
      </c>
      <c r="L4" s="2780" t="s">
        <v>3363</v>
      </c>
      <c r="M4" s="2780" t="s">
        <v>3364</v>
      </c>
      <c r="N4" s="2780">
        <v>61085.41</v>
      </c>
      <c r="O4" s="2780">
        <v>400</v>
      </c>
      <c r="P4" s="2780">
        <v>4000</v>
      </c>
      <c r="Q4" s="2780">
        <v>0</v>
      </c>
      <c r="R4" s="2780" t="s">
        <v>3103</v>
      </c>
      <c r="S4" s="2780" t="s">
        <v>3106</v>
      </c>
    </row>
    <row r="5" spans="1:19">
      <c r="A5" s="2780" t="s">
        <v>3365</v>
      </c>
      <c r="B5" s="2780" t="s">
        <v>3349</v>
      </c>
      <c r="C5" s="2780" t="s">
        <v>3100</v>
      </c>
      <c r="D5" s="2780" t="s">
        <v>3366</v>
      </c>
      <c r="E5" s="2780">
        <v>8042.82</v>
      </c>
      <c r="F5" s="2780">
        <v>20107.05</v>
      </c>
      <c r="G5" s="2780" t="s">
        <v>3120</v>
      </c>
      <c r="H5" s="2780" t="s">
        <v>3101</v>
      </c>
      <c r="I5" s="2780" t="s">
        <v>3367</v>
      </c>
      <c r="J5" s="2780">
        <v>0</v>
      </c>
      <c r="K5" s="2780" t="s">
        <v>1298</v>
      </c>
      <c r="L5" s="2780" t="s">
        <v>3368</v>
      </c>
      <c r="M5" s="2780" t="s">
        <v>3369</v>
      </c>
      <c r="N5" s="2780">
        <v>15771.96</v>
      </c>
      <c r="O5" s="2780">
        <v>1307.33</v>
      </c>
      <c r="P5" s="2780">
        <v>7844</v>
      </c>
      <c r="Q5" s="2780">
        <v>0</v>
      </c>
      <c r="R5" s="2780" t="s">
        <v>3103</v>
      </c>
      <c r="S5" s="2780" t="s">
        <v>3355</v>
      </c>
    </row>
    <row r="6" spans="1:19">
      <c r="A6" s="2780" t="s">
        <v>3365</v>
      </c>
      <c r="B6" s="2780" t="s">
        <v>3349</v>
      </c>
      <c r="C6" s="2780" t="s">
        <v>3100</v>
      </c>
      <c r="D6" s="2780" t="s">
        <v>3370</v>
      </c>
      <c r="E6" s="2780">
        <v>11093.46</v>
      </c>
      <c r="F6" s="2780">
        <v>22186.92</v>
      </c>
      <c r="G6" s="2780" t="s">
        <v>3115</v>
      </c>
      <c r="H6" s="2780" t="s">
        <v>3101</v>
      </c>
      <c r="I6" s="2780" t="s">
        <v>3367</v>
      </c>
      <c r="J6" s="2780">
        <v>0</v>
      </c>
      <c r="K6" s="2780" t="s">
        <v>1298</v>
      </c>
      <c r="L6" s="2780" t="s">
        <v>3368</v>
      </c>
      <c r="M6" s="2780" t="s">
        <v>3369</v>
      </c>
      <c r="N6" s="2780">
        <v>20921.150000000001</v>
      </c>
      <c r="O6" s="2780">
        <v>1257.27</v>
      </c>
      <c r="P6" s="2780">
        <v>9429.5</v>
      </c>
      <c r="Q6" s="2780">
        <v>0</v>
      </c>
      <c r="R6" s="2780" t="s">
        <v>3103</v>
      </c>
      <c r="S6" s="2780" t="s">
        <v>3355</v>
      </c>
    </row>
    <row r="7" spans="1:19">
      <c r="A7" s="2780" t="s">
        <v>3371</v>
      </c>
      <c r="B7" s="2780" t="s">
        <v>3349</v>
      </c>
      <c r="C7" s="2780" t="s">
        <v>3100</v>
      </c>
      <c r="D7" s="2780" t="s">
        <v>3372</v>
      </c>
      <c r="E7" s="2780">
        <v>10303.049999999999</v>
      </c>
      <c r="F7" s="2780">
        <v>25757.63</v>
      </c>
      <c r="G7" s="2780" t="s">
        <v>3120</v>
      </c>
      <c r="H7" s="2780" t="s">
        <v>3101</v>
      </c>
      <c r="I7" s="2780" t="s">
        <v>3109</v>
      </c>
      <c r="J7" s="2780">
        <v>0</v>
      </c>
      <c r="K7" s="2780" t="s">
        <v>1298</v>
      </c>
      <c r="L7" s="2780" t="s">
        <v>3368</v>
      </c>
      <c r="M7" s="2780" t="s">
        <v>3373</v>
      </c>
      <c r="N7" s="2780">
        <v>14419.12</v>
      </c>
      <c r="O7" s="2780">
        <v>933</v>
      </c>
      <c r="P7" s="2780">
        <v>5598</v>
      </c>
      <c r="Q7" s="2780">
        <v>0</v>
      </c>
      <c r="R7" s="2780" t="s">
        <v>3103</v>
      </c>
      <c r="S7" s="2780" t="s">
        <v>3355</v>
      </c>
    </row>
    <row r="8" spans="1:19">
      <c r="A8" s="2780" t="s">
        <v>3374</v>
      </c>
      <c r="B8" s="2780" t="s">
        <v>3349</v>
      </c>
      <c r="C8" s="2780" t="s">
        <v>3100</v>
      </c>
      <c r="D8" s="2780" t="s">
        <v>3375</v>
      </c>
      <c r="E8" s="2780">
        <v>12011.91</v>
      </c>
      <c r="F8" s="2780">
        <v>24023.82</v>
      </c>
      <c r="G8" s="2780" t="s">
        <v>3358</v>
      </c>
      <c r="H8" s="2780" t="s">
        <v>3101</v>
      </c>
      <c r="I8" s="2780" t="s">
        <v>3352</v>
      </c>
      <c r="J8" s="2780">
        <v>0</v>
      </c>
      <c r="K8" s="2780" t="s">
        <v>1298</v>
      </c>
      <c r="L8" s="2780" t="s">
        <v>3376</v>
      </c>
      <c r="M8" s="2780" t="s">
        <v>3377</v>
      </c>
      <c r="N8" s="2780">
        <v>4685.1899999999996</v>
      </c>
      <c r="O8" s="2780">
        <v>260.02999999999997</v>
      </c>
      <c r="P8" s="2780">
        <v>1950.23</v>
      </c>
      <c r="Q8" s="2780">
        <v>0</v>
      </c>
      <c r="R8" s="2780" t="s">
        <v>3103</v>
      </c>
      <c r="S8" s="2780" t="s">
        <v>3355</v>
      </c>
    </row>
    <row r="9" spans="1:19">
      <c r="A9" s="2780" t="s">
        <v>3374</v>
      </c>
      <c r="B9" s="2780" t="s">
        <v>3349</v>
      </c>
      <c r="C9" s="2780" t="s">
        <v>3100</v>
      </c>
      <c r="D9" s="2780" t="s">
        <v>3378</v>
      </c>
      <c r="E9" s="2780">
        <v>11424.35</v>
      </c>
      <c r="F9" s="2780">
        <v>20792.32</v>
      </c>
      <c r="G9" s="2780" t="s">
        <v>3379</v>
      </c>
      <c r="H9" s="2780" t="s">
        <v>3101</v>
      </c>
      <c r="I9" s="2780" t="s">
        <v>3109</v>
      </c>
      <c r="J9" s="2780">
        <v>0</v>
      </c>
      <c r="K9" s="2780" t="s">
        <v>1298</v>
      </c>
      <c r="L9" s="2780" t="s">
        <v>3376</v>
      </c>
      <c r="M9" s="2780" t="s">
        <v>3380</v>
      </c>
      <c r="N9" s="2780">
        <v>20038.310000000001</v>
      </c>
      <c r="O9" s="2780">
        <v>1169.33</v>
      </c>
      <c r="P9" s="2780">
        <v>9637.36</v>
      </c>
      <c r="Q9" s="2780">
        <v>0</v>
      </c>
      <c r="R9" s="2780" t="s">
        <v>3103</v>
      </c>
      <c r="S9" s="2780" t="s">
        <v>3355</v>
      </c>
    </row>
    <row r="10" spans="1:19">
      <c r="A10" s="2780" t="s">
        <v>3374</v>
      </c>
      <c r="B10" s="2780" t="s">
        <v>3349</v>
      </c>
      <c r="C10" s="2780" t="s">
        <v>3100</v>
      </c>
      <c r="D10" s="2780" t="s">
        <v>3381</v>
      </c>
      <c r="E10" s="2780">
        <v>11424.35</v>
      </c>
      <c r="F10" s="2780">
        <v>22848.7</v>
      </c>
      <c r="G10" s="2780" t="s">
        <v>3358</v>
      </c>
      <c r="H10" s="2780" t="s">
        <v>3101</v>
      </c>
      <c r="I10" s="2780" t="s">
        <v>3352</v>
      </c>
      <c r="J10" s="2780">
        <v>0</v>
      </c>
      <c r="K10" s="2780" t="s">
        <v>1298</v>
      </c>
      <c r="L10" s="2780" t="s">
        <v>3376</v>
      </c>
      <c r="M10" s="2780" t="s">
        <v>3377</v>
      </c>
      <c r="N10" s="2780">
        <v>4456.3900000000003</v>
      </c>
      <c r="O10" s="2780">
        <v>260.05</v>
      </c>
      <c r="P10" s="2780">
        <v>1950.4</v>
      </c>
      <c r="Q10" s="2780">
        <v>0</v>
      </c>
      <c r="R10" s="2780" t="s">
        <v>3103</v>
      </c>
      <c r="S10" s="2780" t="s">
        <v>3355</v>
      </c>
    </row>
    <row r="11" spans="1:19">
      <c r="A11" s="2780" t="s">
        <v>3382</v>
      </c>
      <c r="B11" s="2780" t="s">
        <v>3349</v>
      </c>
      <c r="C11" s="2780" t="s">
        <v>3100</v>
      </c>
      <c r="D11" s="2780" t="s">
        <v>3383</v>
      </c>
      <c r="E11" s="2780">
        <v>11120.96</v>
      </c>
      <c r="F11" s="2780">
        <v>22241.919999999998</v>
      </c>
      <c r="G11" s="2780" t="s">
        <v>3115</v>
      </c>
      <c r="H11" s="2780" t="s">
        <v>3101</v>
      </c>
      <c r="I11" s="2780" t="s">
        <v>3109</v>
      </c>
      <c r="J11" s="2780">
        <v>0</v>
      </c>
      <c r="K11" s="2780" t="s">
        <v>1298</v>
      </c>
      <c r="L11" s="2780" t="s">
        <v>3384</v>
      </c>
      <c r="M11" s="2780" t="s">
        <v>3385</v>
      </c>
      <c r="N11" s="2780">
        <v>25020</v>
      </c>
      <c r="O11" s="2780">
        <v>1499.87</v>
      </c>
      <c r="P11" s="2780">
        <v>11249.03</v>
      </c>
      <c r="Q11" s="2780">
        <v>0</v>
      </c>
      <c r="R11" s="2780" t="s">
        <v>3103</v>
      </c>
      <c r="S11" s="2780" t="s">
        <v>3355</v>
      </c>
    </row>
    <row r="12" spans="1:19">
      <c r="A12" s="2780" t="s">
        <v>3386</v>
      </c>
      <c r="B12" s="2780" t="s">
        <v>3349</v>
      </c>
      <c r="C12" s="2780" t="s">
        <v>3100</v>
      </c>
      <c r="D12" s="2780" t="s">
        <v>3387</v>
      </c>
      <c r="E12" s="2780">
        <v>4385.43</v>
      </c>
      <c r="F12" s="2780">
        <v>8770.86</v>
      </c>
      <c r="G12" s="2780" t="s">
        <v>3116</v>
      </c>
      <c r="H12" s="2780" t="s">
        <v>3101</v>
      </c>
      <c r="I12" s="2780" t="s">
        <v>3109</v>
      </c>
      <c r="J12" s="2780">
        <v>0</v>
      </c>
      <c r="K12" s="2780" t="s">
        <v>1298</v>
      </c>
      <c r="L12" s="2780" t="s">
        <v>3388</v>
      </c>
      <c r="M12" s="2780" t="s">
        <v>3389</v>
      </c>
      <c r="N12" s="2780">
        <v>6580</v>
      </c>
      <c r="O12" s="2780">
        <v>1000.28</v>
      </c>
      <c r="P12" s="2780">
        <v>7502.1</v>
      </c>
      <c r="Q12" s="2780">
        <v>0</v>
      </c>
      <c r="R12" s="2780" t="s">
        <v>3103</v>
      </c>
      <c r="S12" s="2780" t="s">
        <v>3110</v>
      </c>
    </row>
    <row r="13" spans="1:19">
      <c r="A13" s="2780" t="s">
        <v>3390</v>
      </c>
      <c r="B13" s="2780" t="s">
        <v>3349</v>
      </c>
      <c r="C13" s="2780" t="s">
        <v>3100</v>
      </c>
      <c r="D13" s="2780">
        <v>51</v>
      </c>
      <c r="E13" s="2780">
        <v>5614.45</v>
      </c>
      <c r="F13" s="2780">
        <v>8590.11</v>
      </c>
      <c r="G13" s="2780" t="s">
        <v>3391</v>
      </c>
      <c r="H13" s="2780" t="s">
        <v>3101</v>
      </c>
      <c r="I13" s="2780" t="s">
        <v>3392</v>
      </c>
      <c r="J13" s="2780">
        <v>0</v>
      </c>
      <c r="K13" s="2780" t="s">
        <v>1298</v>
      </c>
      <c r="L13" s="2780" t="s">
        <v>3393</v>
      </c>
      <c r="M13" s="2780" t="s">
        <v>3394</v>
      </c>
      <c r="N13" s="2780">
        <v>6746</v>
      </c>
      <c r="O13" s="2780">
        <v>801.03</v>
      </c>
      <c r="P13" s="2780">
        <v>7853.22</v>
      </c>
      <c r="Q13" s="2780">
        <v>0.15</v>
      </c>
      <c r="R13" s="2780" t="s">
        <v>3103</v>
      </c>
      <c r="S13" s="2780" t="s">
        <v>3110</v>
      </c>
    </row>
    <row r="14" spans="1:19">
      <c r="A14" s="2780" t="s">
        <v>3395</v>
      </c>
      <c r="B14" s="2780" t="s">
        <v>3349</v>
      </c>
      <c r="C14" s="2780" t="s">
        <v>3100</v>
      </c>
      <c r="D14" s="2780" t="s">
        <v>3396</v>
      </c>
      <c r="E14" s="2780">
        <v>11761.71</v>
      </c>
      <c r="F14" s="2780">
        <v>17642.57</v>
      </c>
      <c r="G14" s="2780" t="s">
        <v>3119</v>
      </c>
      <c r="H14" s="2780" t="s">
        <v>3101</v>
      </c>
      <c r="I14" s="2780" t="s">
        <v>3102</v>
      </c>
      <c r="J14" s="2780">
        <v>0</v>
      </c>
      <c r="K14" s="2780" t="s">
        <v>1298</v>
      </c>
      <c r="L14" s="2780" t="s">
        <v>3397</v>
      </c>
      <c r="M14" s="2780" t="s">
        <v>3398</v>
      </c>
      <c r="N14" s="2780">
        <v>14114.04</v>
      </c>
      <c r="O14" s="2780">
        <v>800</v>
      </c>
      <c r="P14" s="2780">
        <v>8000</v>
      </c>
      <c r="Q14" s="2780">
        <v>0</v>
      </c>
      <c r="R14" s="2780" t="s">
        <v>3103</v>
      </c>
      <c r="S14" s="2780" t="s">
        <v>3104</v>
      </c>
    </row>
    <row r="15" spans="1:19">
      <c r="A15" s="2780" t="s">
        <v>3399</v>
      </c>
      <c r="B15" s="2780" t="s">
        <v>3349</v>
      </c>
      <c r="C15" s="2780" t="s">
        <v>3100</v>
      </c>
      <c r="D15" s="2780" t="s">
        <v>3400</v>
      </c>
      <c r="E15" s="2780">
        <v>19277.91</v>
      </c>
      <c r="F15" s="2780">
        <v>48194.78</v>
      </c>
      <c r="G15" s="2780" t="s">
        <v>3401</v>
      </c>
      <c r="H15" s="2780" t="s">
        <v>3101</v>
      </c>
      <c r="I15" s="2780" t="s">
        <v>3402</v>
      </c>
      <c r="J15" s="2780">
        <v>0</v>
      </c>
      <c r="K15" s="2780" t="s">
        <v>1298</v>
      </c>
      <c r="L15" s="2780" t="s">
        <v>3403</v>
      </c>
      <c r="M15" s="2780" t="s">
        <v>3404</v>
      </c>
      <c r="N15" s="2780">
        <v>33735.69</v>
      </c>
      <c r="O15" s="2780">
        <v>1166.6400000000001</v>
      </c>
      <c r="P15" s="2780">
        <v>6999.86</v>
      </c>
      <c r="Q15" s="2780">
        <v>0</v>
      </c>
      <c r="R15" s="2780" t="s">
        <v>3103</v>
      </c>
      <c r="S15" s="2780" t="s">
        <v>3113</v>
      </c>
    </row>
    <row r="16" spans="1:19">
      <c r="A16" s="2780" t="s">
        <v>3405</v>
      </c>
      <c r="B16" s="2780" t="s">
        <v>3349</v>
      </c>
      <c r="C16" s="2780" t="s">
        <v>3100</v>
      </c>
      <c r="D16" s="2780" t="s">
        <v>3406</v>
      </c>
      <c r="E16" s="2780">
        <v>9520.33</v>
      </c>
      <c r="F16" s="2780">
        <v>22848.79</v>
      </c>
      <c r="G16" s="2780" t="s">
        <v>3407</v>
      </c>
      <c r="H16" s="2780" t="s">
        <v>3101</v>
      </c>
      <c r="I16" s="2780" t="s">
        <v>3109</v>
      </c>
      <c r="J16" s="2780">
        <v>0</v>
      </c>
      <c r="K16" s="2780" t="s">
        <v>1298</v>
      </c>
      <c r="L16" s="2780" t="s">
        <v>3408</v>
      </c>
      <c r="M16" s="2780" t="s">
        <v>3409</v>
      </c>
      <c r="N16" s="2780">
        <v>15771.37</v>
      </c>
      <c r="O16" s="2780">
        <v>1104.4000000000001</v>
      </c>
      <c r="P16" s="2780">
        <v>6902.5</v>
      </c>
      <c r="Q16" s="2780">
        <v>0</v>
      </c>
      <c r="R16" s="2780" t="s">
        <v>3103</v>
      </c>
      <c r="S16" s="2780" t="s">
        <v>3355</v>
      </c>
    </row>
    <row r="17" spans="1:19">
      <c r="A17" s="2780" t="s">
        <v>3410</v>
      </c>
      <c r="B17" s="2780" t="s">
        <v>3349</v>
      </c>
      <c r="C17" s="2780" t="s">
        <v>3100</v>
      </c>
      <c r="D17" s="2780" t="s">
        <v>3411</v>
      </c>
      <c r="E17" s="2780">
        <v>114035.2</v>
      </c>
      <c r="F17" s="2780">
        <v>285088</v>
      </c>
      <c r="G17" s="2780" t="s">
        <v>3401</v>
      </c>
      <c r="H17" s="2780" t="s">
        <v>3101</v>
      </c>
      <c r="I17" s="2780" t="s">
        <v>3109</v>
      </c>
      <c r="J17" s="2780">
        <v>0</v>
      </c>
      <c r="K17" s="2780" t="s">
        <v>1298</v>
      </c>
      <c r="L17" s="2780" t="s">
        <v>3412</v>
      </c>
      <c r="M17" s="2780" t="s">
        <v>3413</v>
      </c>
      <c r="N17" s="2780">
        <v>52855.31</v>
      </c>
      <c r="O17" s="2780">
        <v>309</v>
      </c>
      <c r="P17" s="2780">
        <v>1854</v>
      </c>
      <c r="Q17" s="2780">
        <v>0</v>
      </c>
      <c r="R17" s="2780" t="s">
        <v>3103</v>
      </c>
      <c r="S17" s="2780" t="s">
        <v>3113</v>
      </c>
    </row>
    <row r="18" spans="1:19">
      <c r="A18" s="2780" t="s">
        <v>3414</v>
      </c>
      <c r="B18" s="2780" t="s">
        <v>3349</v>
      </c>
      <c r="C18" s="2780" t="s">
        <v>3100</v>
      </c>
      <c r="D18" s="2780" t="s">
        <v>3415</v>
      </c>
      <c r="E18" s="2780">
        <v>11511.21</v>
      </c>
      <c r="F18" s="2780">
        <v>13813.45</v>
      </c>
      <c r="G18" s="2780" t="s">
        <v>3351</v>
      </c>
      <c r="H18" s="2780" t="s">
        <v>3101</v>
      </c>
      <c r="I18" s="2780" t="s">
        <v>3109</v>
      </c>
      <c r="J18" s="2780">
        <v>0</v>
      </c>
      <c r="K18" s="2780" t="s">
        <v>1298</v>
      </c>
      <c r="L18" s="2780" t="s">
        <v>3416</v>
      </c>
      <c r="M18" s="2780" t="s">
        <v>3417</v>
      </c>
      <c r="N18" s="2780">
        <v>6906.72</v>
      </c>
      <c r="O18" s="2780">
        <v>400</v>
      </c>
      <c r="P18" s="2780">
        <v>5000</v>
      </c>
      <c r="Q18" s="2780">
        <v>0</v>
      </c>
      <c r="R18" s="2780" t="s">
        <v>3103</v>
      </c>
      <c r="S18" s="2780" t="s">
        <v>3110</v>
      </c>
    </row>
    <row r="19" spans="1:19">
      <c r="A19" s="2780" t="s">
        <v>3414</v>
      </c>
      <c r="B19" s="2780" t="s">
        <v>3349</v>
      </c>
      <c r="C19" s="2780" t="s">
        <v>3100</v>
      </c>
      <c r="D19" s="2780" t="s">
        <v>3418</v>
      </c>
      <c r="E19" s="2780">
        <v>733.47</v>
      </c>
      <c r="F19" s="2780">
        <v>880.16</v>
      </c>
      <c r="G19" s="2780" t="s">
        <v>3351</v>
      </c>
      <c r="H19" s="2780" t="s">
        <v>3101</v>
      </c>
      <c r="I19" s="2780" t="s">
        <v>3109</v>
      </c>
      <c r="J19" s="2780">
        <v>0</v>
      </c>
      <c r="K19" s="2780" t="s">
        <v>1298</v>
      </c>
      <c r="L19" s="2780" t="s">
        <v>3416</v>
      </c>
      <c r="M19" s="2780" t="s">
        <v>3417</v>
      </c>
      <c r="N19" s="2780">
        <v>440.07</v>
      </c>
      <c r="O19" s="2780">
        <v>399.99</v>
      </c>
      <c r="P19" s="2780">
        <v>5000</v>
      </c>
      <c r="Q19" s="2780">
        <v>0</v>
      </c>
      <c r="R19" s="2780" t="s">
        <v>3103</v>
      </c>
      <c r="S19" s="2780" t="s">
        <v>3110</v>
      </c>
    </row>
    <row r="20" spans="1:19">
      <c r="A20" s="2780" t="s">
        <v>3414</v>
      </c>
      <c r="B20" s="2780" t="s">
        <v>3349</v>
      </c>
      <c r="C20" s="2780" t="s">
        <v>3100</v>
      </c>
      <c r="D20" s="2780" t="s">
        <v>3419</v>
      </c>
      <c r="E20" s="2780">
        <v>642.16</v>
      </c>
      <c r="F20" s="2780">
        <v>770.59</v>
      </c>
      <c r="G20" s="2780" t="s">
        <v>3351</v>
      </c>
      <c r="H20" s="2780" t="s">
        <v>3101</v>
      </c>
      <c r="I20" s="2780" t="s">
        <v>3109</v>
      </c>
      <c r="J20" s="2780">
        <v>0</v>
      </c>
      <c r="K20" s="2780" t="s">
        <v>1298</v>
      </c>
      <c r="L20" s="2780" t="s">
        <v>3416</v>
      </c>
      <c r="M20" s="2780" t="s">
        <v>3417</v>
      </c>
      <c r="N20" s="2780">
        <v>577.94000000000005</v>
      </c>
      <c r="O20" s="2780">
        <v>600</v>
      </c>
      <c r="P20" s="2780">
        <v>7499.97</v>
      </c>
      <c r="Q20" s="2780">
        <v>50</v>
      </c>
      <c r="R20" s="2780" t="s">
        <v>3103</v>
      </c>
      <c r="S20" s="2780" t="s">
        <v>3110</v>
      </c>
    </row>
    <row r="21" spans="1:19">
      <c r="A21" s="2780" t="s">
        <v>3414</v>
      </c>
      <c r="B21" s="2780" t="s">
        <v>3349</v>
      </c>
      <c r="C21" s="2780" t="s">
        <v>3100</v>
      </c>
      <c r="D21" s="2780" t="s">
        <v>3420</v>
      </c>
      <c r="E21" s="2780">
        <v>697.56</v>
      </c>
      <c r="F21" s="2780">
        <v>837.07</v>
      </c>
      <c r="G21" s="2780" t="s">
        <v>3351</v>
      </c>
      <c r="H21" s="2780" t="s">
        <v>3101</v>
      </c>
      <c r="I21" s="2780" t="s">
        <v>3109</v>
      </c>
      <c r="J21" s="2780">
        <v>0</v>
      </c>
      <c r="K21" s="2780" t="s">
        <v>1298</v>
      </c>
      <c r="L21" s="2780" t="s">
        <v>3416</v>
      </c>
      <c r="M21" s="2780" t="s">
        <v>3417</v>
      </c>
      <c r="N21" s="2780">
        <v>418.54</v>
      </c>
      <c r="O21" s="2780">
        <v>400</v>
      </c>
      <c r="P21" s="2780">
        <v>5000.0600000000004</v>
      </c>
      <c r="Q21" s="2780">
        <v>0</v>
      </c>
      <c r="R21" s="2780" t="s">
        <v>3103</v>
      </c>
      <c r="S21" s="2780" t="s">
        <v>3110</v>
      </c>
    </row>
    <row r="22" spans="1:19">
      <c r="A22" s="2780" t="s">
        <v>3414</v>
      </c>
      <c r="B22" s="2780" t="s">
        <v>3349</v>
      </c>
      <c r="C22" s="2780" t="s">
        <v>3100</v>
      </c>
      <c r="D22" s="2780" t="s">
        <v>3421</v>
      </c>
      <c r="E22" s="2780">
        <v>5842.85</v>
      </c>
      <c r="F22" s="2780">
        <v>7011.42</v>
      </c>
      <c r="G22" s="2780" t="s">
        <v>3351</v>
      </c>
      <c r="H22" s="2780" t="s">
        <v>3101</v>
      </c>
      <c r="I22" s="2780" t="s">
        <v>3109</v>
      </c>
      <c r="J22" s="2780">
        <v>0</v>
      </c>
      <c r="K22" s="2780" t="s">
        <v>1298</v>
      </c>
      <c r="L22" s="2780" t="s">
        <v>3416</v>
      </c>
      <c r="M22" s="2780" t="s">
        <v>3417</v>
      </c>
      <c r="N22" s="2780">
        <v>3505.71</v>
      </c>
      <c r="O22" s="2780">
        <v>400</v>
      </c>
      <c r="P22" s="2780">
        <v>5000</v>
      </c>
      <c r="Q22" s="2780">
        <v>0</v>
      </c>
      <c r="R22" s="2780" t="s">
        <v>3103</v>
      </c>
      <c r="S22" s="2780" t="s">
        <v>3110</v>
      </c>
    </row>
    <row r="23" spans="1:19">
      <c r="A23" s="2780" t="s">
        <v>3422</v>
      </c>
      <c r="B23" s="2780" t="s">
        <v>3349</v>
      </c>
      <c r="C23" s="2780" t="s">
        <v>3100</v>
      </c>
      <c r="D23" s="2780" t="s">
        <v>3423</v>
      </c>
      <c r="E23" s="2780">
        <v>11295.66</v>
      </c>
      <c r="F23" s="2780">
        <v>84717.45</v>
      </c>
      <c r="G23" s="2780" t="s">
        <v>3424</v>
      </c>
      <c r="H23" s="2780" t="s">
        <v>3101</v>
      </c>
      <c r="I23" s="2780" t="s">
        <v>3109</v>
      </c>
      <c r="J23" s="2780">
        <v>0</v>
      </c>
      <c r="K23" s="2780" t="s">
        <v>1298</v>
      </c>
      <c r="L23" s="2780" t="s">
        <v>3416</v>
      </c>
      <c r="M23" s="2780" t="s">
        <v>3425</v>
      </c>
      <c r="N23" s="2780">
        <v>22049.77</v>
      </c>
      <c r="O23" s="2780">
        <v>1301.3699999999999</v>
      </c>
      <c r="P23" s="2780">
        <v>2602.73</v>
      </c>
      <c r="Q23" s="2780">
        <v>0</v>
      </c>
      <c r="R23" s="2780" t="s">
        <v>3103</v>
      </c>
      <c r="S23" s="2780" t="s">
        <v>3113</v>
      </c>
    </row>
    <row r="24" spans="1:19">
      <c r="A24" s="2780" t="s">
        <v>3414</v>
      </c>
      <c r="B24" s="2780" t="s">
        <v>3349</v>
      </c>
      <c r="C24" s="2780" t="s">
        <v>3100</v>
      </c>
      <c r="D24" s="2780" t="s">
        <v>3426</v>
      </c>
      <c r="E24" s="2780">
        <v>2993.4</v>
      </c>
      <c r="F24" s="2780">
        <v>3592.08</v>
      </c>
      <c r="G24" s="2780" t="s">
        <v>3351</v>
      </c>
      <c r="H24" s="2780" t="s">
        <v>3101</v>
      </c>
      <c r="I24" s="2780" t="s">
        <v>3109</v>
      </c>
      <c r="J24" s="2780">
        <v>0</v>
      </c>
      <c r="K24" s="2780" t="s">
        <v>1298</v>
      </c>
      <c r="L24" s="2780" t="s">
        <v>3416</v>
      </c>
      <c r="M24" s="2780" t="s">
        <v>3417</v>
      </c>
      <c r="N24" s="2780">
        <v>1796.03</v>
      </c>
      <c r="O24" s="2780">
        <v>400</v>
      </c>
      <c r="P24" s="2780">
        <v>5000</v>
      </c>
      <c r="Q24" s="2780">
        <v>0</v>
      </c>
      <c r="R24" s="2780" t="s">
        <v>3103</v>
      </c>
      <c r="S24" s="2780" t="s">
        <v>3110</v>
      </c>
    </row>
    <row r="25" spans="1:19">
      <c r="A25" s="2780" t="s">
        <v>3414</v>
      </c>
      <c r="B25" s="2780" t="s">
        <v>3349</v>
      </c>
      <c r="C25" s="2780" t="s">
        <v>3100</v>
      </c>
      <c r="D25" s="2780" t="s">
        <v>3427</v>
      </c>
      <c r="E25" s="2780">
        <v>12175.59</v>
      </c>
      <c r="F25" s="2780">
        <v>14610.71</v>
      </c>
      <c r="G25" s="2780" t="s">
        <v>3351</v>
      </c>
      <c r="H25" s="2780" t="s">
        <v>3101</v>
      </c>
      <c r="I25" s="2780" t="s">
        <v>3109</v>
      </c>
      <c r="J25" s="2780">
        <v>0</v>
      </c>
      <c r="K25" s="2780" t="s">
        <v>1298</v>
      </c>
      <c r="L25" s="2780" t="s">
        <v>3416</v>
      </c>
      <c r="M25" s="2780" t="s">
        <v>3417</v>
      </c>
      <c r="N25" s="2780">
        <v>7305.35</v>
      </c>
      <c r="O25" s="2780">
        <v>400</v>
      </c>
      <c r="P25" s="2780">
        <v>5000</v>
      </c>
      <c r="Q25" s="2780">
        <v>0</v>
      </c>
      <c r="R25" s="2780" t="s">
        <v>3103</v>
      </c>
      <c r="S25" s="2780" t="s">
        <v>3110</v>
      </c>
    </row>
    <row r="26" spans="1:19">
      <c r="A26" s="2780" t="s">
        <v>3428</v>
      </c>
      <c r="B26" s="2780" t="s">
        <v>3349</v>
      </c>
      <c r="C26" s="2780" t="s">
        <v>3100</v>
      </c>
      <c r="D26" s="2780" t="s">
        <v>3418</v>
      </c>
      <c r="E26" s="2780">
        <v>15593.5</v>
      </c>
      <c r="F26" s="2780">
        <v>62374</v>
      </c>
      <c r="G26" s="2780" t="s">
        <v>3107</v>
      </c>
      <c r="H26" s="2780" t="s">
        <v>3101</v>
      </c>
      <c r="I26" s="2780" t="s">
        <v>3102</v>
      </c>
      <c r="J26" s="2780">
        <v>0</v>
      </c>
      <c r="K26" s="2780" t="s">
        <v>1298</v>
      </c>
      <c r="L26" s="2780" t="s">
        <v>3429</v>
      </c>
      <c r="M26" s="2780" t="s">
        <v>3430</v>
      </c>
      <c r="N26" s="2780">
        <v>15116</v>
      </c>
      <c r="O26" s="2780">
        <v>646.25</v>
      </c>
      <c r="P26" s="2780">
        <v>2423.44</v>
      </c>
      <c r="Q26" s="2780" t="s">
        <v>1298</v>
      </c>
      <c r="R26" s="2780" t="s">
        <v>3103</v>
      </c>
      <c r="S26" s="2780" t="s">
        <v>3110</v>
      </c>
    </row>
    <row r="27" spans="1:19">
      <c r="A27" s="2780" t="s">
        <v>3428</v>
      </c>
      <c r="B27" s="2780" t="s">
        <v>3349</v>
      </c>
      <c r="C27" s="2780" t="s">
        <v>3100</v>
      </c>
      <c r="D27" s="2780" t="s">
        <v>3421</v>
      </c>
      <c r="E27" s="2780">
        <v>79087.399999999994</v>
      </c>
      <c r="F27" s="2780">
        <v>379619.52</v>
      </c>
      <c r="G27" s="2780" t="s">
        <v>3431</v>
      </c>
      <c r="H27" s="2780" t="s">
        <v>3101</v>
      </c>
      <c r="I27" s="2780" t="s">
        <v>3109</v>
      </c>
      <c r="J27" s="2780">
        <v>0</v>
      </c>
      <c r="K27" s="2780" t="s">
        <v>1298</v>
      </c>
      <c r="L27" s="2780" t="s">
        <v>3429</v>
      </c>
      <c r="M27" s="2780" t="s">
        <v>3430</v>
      </c>
      <c r="N27" s="2780">
        <v>85415</v>
      </c>
      <c r="O27" s="2780">
        <v>720.01</v>
      </c>
      <c r="P27" s="2780">
        <v>2250.0100000000002</v>
      </c>
      <c r="Q27" s="2780" t="s">
        <v>1298</v>
      </c>
      <c r="R27" s="2780" t="s">
        <v>3103</v>
      </c>
      <c r="S27" s="2780" t="s">
        <v>3110</v>
      </c>
    </row>
    <row r="28" spans="1:19" s="2782" customFormat="1">
      <c r="A28" s="2782" t="s">
        <v>3432</v>
      </c>
      <c r="B28" s="2782" t="s">
        <v>3349</v>
      </c>
      <c r="C28" s="2782" t="s">
        <v>3100</v>
      </c>
      <c r="D28" s="2782" t="s">
        <v>3426</v>
      </c>
      <c r="E28" s="2782">
        <v>13703.32</v>
      </c>
      <c r="F28" s="2782">
        <v>54813.279999999999</v>
      </c>
      <c r="G28" s="2782" t="s">
        <v>3107</v>
      </c>
      <c r="H28" s="2782" t="s">
        <v>3101</v>
      </c>
      <c r="I28" s="2782" t="s">
        <v>3102</v>
      </c>
      <c r="J28" s="2782">
        <v>0</v>
      </c>
      <c r="K28" s="2782" t="s">
        <v>1298</v>
      </c>
      <c r="L28" s="2782" t="s">
        <v>3429</v>
      </c>
      <c r="M28" s="2782" t="s">
        <v>3430</v>
      </c>
      <c r="N28" s="2782">
        <v>13275</v>
      </c>
      <c r="O28" s="2782">
        <v>645.83000000000004</v>
      </c>
      <c r="P28" s="2782">
        <v>2421.86</v>
      </c>
      <c r="Q28" s="2782">
        <v>0</v>
      </c>
      <c r="R28" s="2782" t="s">
        <v>3103</v>
      </c>
      <c r="S28" s="2782" t="s">
        <v>3104</v>
      </c>
    </row>
    <row r="29" spans="1:19">
      <c r="A29" s="2780" t="s">
        <v>3432</v>
      </c>
      <c r="B29" s="2780" t="s">
        <v>3349</v>
      </c>
      <c r="C29" s="2780" t="s">
        <v>3100</v>
      </c>
      <c r="D29" s="2780" t="s">
        <v>3421</v>
      </c>
      <c r="E29" s="2780">
        <v>79087.399999999994</v>
      </c>
      <c r="F29" s="2780">
        <v>379619.52</v>
      </c>
      <c r="G29" s="2780" t="s">
        <v>3433</v>
      </c>
      <c r="H29" s="2780" t="s">
        <v>3101</v>
      </c>
      <c r="I29" s="2780" t="s">
        <v>3109</v>
      </c>
      <c r="J29" s="2780">
        <v>0</v>
      </c>
      <c r="K29" s="2780" t="s">
        <v>1298</v>
      </c>
      <c r="L29" s="2780" t="s">
        <v>3429</v>
      </c>
      <c r="M29" s="2780" t="s">
        <v>3430</v>
      </c>
      <c r="N29" s="2780">
        <v>85415</v>
      </c>
      <c r="O29" s="2780">
        <v>720.01</v>
      </c>
      <c r="P29" s="2780">
        <v>2250.0100000000002</v>
      </c>
      <c r="Q29" s="2780">
        <v>0</v>
      </c>
      <c r="R29" s="2780" t="s">
        <v>3103</v>
      </c>
      <c r="S29" s="2780" t="s">
        <v>3110</v>
      </c>
    </row>
    <row r="30" spans="1:19">
      <c r="A30" s="2780" t="s">
        <v>3428</v>
      </c>
      <c r="B30" s="2780" t="s">
        <v>3349</v>
      </c>
      <c r="C30" s="2780" t="s">
        <v>3100</v>
      </c>
      <c r="D30" s="2780" t="s">
        <v>3426</v>
      </c>
      <c r="E30" s="2780">
        <v>13703.32</v>
      </c>
      <c r="F30" s="2780">
        <v>54813.279999999999</v>
      </c>
      <c r="G30" s="2780" t="s">
        <v>3107</v>
      </c>
      <c r="H30" s="2780" t="s">
        <v>3101</v>
      </c>
      <c r="I30" s="2780" t="s">
        <v>3102</v>
      </c>
      <c r="J30" s="2780">
        <v>0</v>
      </c>
      <c r="K30" s="2780" t="s">
        <v>1298</v>
      </c>
      <c r="L30" s="2780" t="s">
        <v>3429</v>
      </c>
      <c r="M30" s="2780" t="s">
        <v>3430</v>
      </c>
      <c r="N30" s="2780">
        <v>13275</v>
      </c>
      <c r="O30" s="2780">
        <v>645.83000000000004</v>
      </c>
      <c r="P30" s="2780">
        <v>2421.86</v>
      </c>
      <c r="Q30" s="2780" t="s">
        <v>1298</v>
      </c>
      <c r="R30" s="2780" t="s">
        <v>3103</v>
      </c>
      <c r="S30" s="2780" t="s">
        <v>3106</v>
      </c>
    </row>
    <row r="31" spans="1:19">
      <c r="A31" s="2780" t="s">
        <v>3432</v>
      </c>
      <c r="B31" s="2780" t="s">
        <v>3349</v>
      </c>
      <c r="C31" s="2780" t="s">
        <v>3100</v>
      </c>
      <c r="D31" s="2780" t="s">
        <v>3418</v>
      </c>
      <c r="E31" s="2780">
        <v>15593.5</v>
      </c>
      <c r="F31" s="2780">
        <v>62374</v>
      </c>
      <c r="G31" s="2780" t="s">
        <v>3107</v>
      </c>
      <c r="H31" s="2780" t="s">
        <v>3101</v>
      </c>
      <c r="I31" s="2780" t="s">
        <v>3102</v>
      </c>
      <c r="J31" s="2780">
        <v>0</v>
      </c>
      <c r="K31" s="2780" t="s">
        <v>1298</v>
      </c>
      <c r="L31" s="2780" t="s">
        <v>3429</v>
      </c>
      <c r="M31" s="2780" t="s">
        <v>3430</v>
      </c>
      <c r="N31" s="2780">
        <v>15116</v>
      </c>
      <c r="O31" s="2780">
        <v>646.25</v>
      </c>
      <c r="P31" s="2780">
        <v>2423.44</v>
      </c>
      <c r="Q31" s="2780">
        <v>0</v>
      </c>
      <c r="R31" s="2780" t="s">
        <v>3103</v>
      </c>
      <c r="S31" s="2780" t="s">
        <v>3110</v>
      </c>
    </row>
    <row r="32" spans="1:19">
      <c r="A32" s="2780" t="s">
        <v>3434</v>
      </c>
      <c r="B32" s="2780" t="s">
        <v>3349</v>
      </c>
      <c r="C32" s="2780" t="s">
        <v>3100</v>
      </c>
      <c r="D32" s="2780" t="s">
        <v>3435</v>
      </c>
      <c r="E32" s="2780">
        <v>7313.3</v>
      </c>
      <c r="F32" s="2780">
        <v>3656.65</v>
      </c>
      <c r="G32" s="2780" t="s">
        <v>3111</v>
      </c>
      <c r="H32" s="2780" t="s">
        <v>3101</v>
      </c>
      <c r="I32" s="2780" t="s">
        <v>3102</v>
      </c>
      <c r="J32" s="2780">
        <v>0</v>
      </c>
      <c r="K32" s="2780" t="s">
        <v>1298</v>
      </c>
      <c r="L32" s="2780" t="s">
        <v>3436</v>
      </c>
      <c r="M32" s="2780" t="s">
        <v>3437</v>
      </c>
      <c r="N32" s="2780">
        <v>7825.22</v>
      </c>
      <c r="O32" s="2780">
        <v>713.33</v>
      </c>
      <c r="P32" s="2780">
        <v>21400</v>
      </c>
      <c r="Q32" s="2780">
        <v>42.67</v>
      </c>
      <c r="R32" s="2780" t="s">
        <v>3103</v>
      </c>
      <c r="S32" s="2780" t="s">
        <v>3106</v>
      </c>
    </row>
    <row r="33" spans="1:19" s="2781" customFormat="1">
      <c r="A33" s="2781" t="s">
        <v>3438</v>
      </c>
      <c r="B33" s="2781" t="s">
        <v>3349</v>
      </c>
      <c r="C33" s="2781" t="s">
        <v>3100</v>
      </c>
      <c r="D33" s="2781" t="s">
        <v>3439</v>
      </c>
      <c r="E33" s="2781">
        <v>2053.44</v>
      </c>
      <c r="F33" s="2781">
        <v>5749.63</v>
      </c>
      <c r="G33" s="2781" t="s">
        <v>3440</v>
      </c>
      <c r="H33" s="2781" t="s">
        <v>3101</v>
      </c>
      <c r="I33" s="2781" t="s">
        <v>3102</v>
      </c>
      <c r="J33" s="2781">
        <v>0</v>
      </c>
      <c r="K33" s="2781" t="s">
        <v>1298</v>
      </c>
      <c r="L33" s="2781" t="s">
        <v>3441</v>
      </c>
      <c r="M33" s="2781" t="s">
        <v>3442</v>
      </c>
      <c r="N33" s="2781">
        <v>2874.82</v>
      </c>
      <c r="O33" s="2781">
        <v>933.33</v>
      </c>
      <c r="P33" s="2781">
        <v>5000.01</v>
      </c>
      <c r="Q33" s="2781">
        <v>0</v>
      </c>
      <c r="R33" s="2781" t="s">
        <v>3103</v>
      </c>
      <c r="S33" s="2781" t="s">
        <v>3110</v>
      </c>
    </row>
    <row r="34" spans="1:19">
      <c r="A34" s="2780" t="s">
        <v>3443</v>
      </c>
      <c r="B34" s="2780" t="s">
        <v>3349</v>
      </c>
      <c r="C34" s="2780" t="s">
        <v>3100</v>
      </c>
      <c r="D34" s="2780" t="s">
        <v>3444</v>
      </c>
      <c r="E34" s="2780">
        <v>12132.78</v>
      </c>
      <c r="F34" s="2780">
        <v>18199.169999999998</v>
      </c>
      <c r="G34" s="2780" t="s">
        <v>3105</v>
      </c>
      <c r="H34" s="2780" t="s">
        <v>3101</v>
      </c>
      <c r="I34" s="2780" t="s">
        <v>3102</v>
      </c>
      <c r="J34" s="2780">
        <v>0</v>
      </c>
      <c r="K34" s="2780" t="s">
        <v>1298</v>
      </c>
      <c r="L34" s="2780" t="s">
        <v>3441</v>
      </c>
      <c r="M34" s="2780" t="s">
        <v>3413</v>
      </c>
      <c r="N34" s="2780">
        <v>6007.55</v>
      </c>
      <c r="O34" s="2780">
        <v>330.1</v>
      </c>
      <c r="P34" s="2780">
        <v>3301</v>
      </c>
      <c r="Q34" s="2780">
        <v>0</v>
      </c>
      <c r="R34" s="2780" t="s">
        <v>3103</v>
      </c>
      <c r="S34" s="2780" t="s">
        <v>3113</v>
      </c>
    </row>
    <row r="35" spans="1:19">
      <c r="A35" s="2780" t="s">
        <v>3445</v>
      </c>
      <c r="B35" s="2780" t="s">
        <v>3349</v>
      </c>
      <c r="C35" s="2780" t="s">
        <v>3100</v>
      </c>
      <c r="D35" s="2780" t="s">
        <v>3446</v>
      </c>
      <c r="E35" s="2780">
        <v>11155.45</v>
      </c>
      <c r="F35" s="2780">
        <v>55777.25</v>
      </c>
      <c r="G35" s="2780" t="s">
        <v>3447</v>
      </c>
      <c r="H35" s="2780" t="s">
        <v>3101</v>
      </c>
      <c r="I35" s="2780" t="s">
        <v>3448</v>
      </c>
      <c r="J35" s="2780">
        <v>0</v>
      </c>
      <c r="K35" s="2780" t="s">
        <v>1298</v>
      </c>
      <c r="L35" s="2780" t="s">
        <v>3449</v>
      </c>
      <c r="M35" s="2780" t="s">
        <v>3450</v>
      </c>
      <c r="N35" s="2780">
        <v>20530.490000000002</v>
      </c>
      <c r="O35" s="2780">
        <v>1226.93</v>
      </c>
      <c r="P35" s="2780">
        <v>3680.8</v>
      </c>
      <c r="Q35" s="2780">
        <v>0</v>
      </c>
      <c r="R35" s="2780" t="s">
        <v>3103</v>
      </c>
      <c r="S35" s="2780" t="s">
        <v>3113</v>
      </c>
    </row>
    <row r="36" spans="1:19">
      <c r="A36" s="2780" t="s">
        <v>3451</v>
      </c>
      <c r="B36" s="2780" t="s">
        <v>3349</v>
      </c>
      <c r="C36" s="2780" t="s">
        <v>3100</v>
      </c>
      <c r="D36" s="2780" t="s">
        <v>3452</v>
      </c>
      <c r="E36" s="2780">
        <v>489.15</v>
      </c>
      <c r="F36" s="2780">
        <v>244.58</v>
      </c>
      <c r="G36" s="2780" t="s">
        <v>3111</v>
      </c>
      <c r="H36" s="2780" t="s">
        <v>3101</v>
      </c>
      <c r="I36" s="2780" t="s">
        <v>3102</v>
      </c>
      <c r="J36" s="2780">
        <v>0</v>
      </c>
      <c r="K36" s="2780" t="s">
        <v>1298</v>
      </c>
      <c r="L36" s="2780" t="s">
        <v>3453</v>
      </c>
      <c r="M36" s="2780" t="s">
        <v>3454</v>
      </c>
      <c r="N36" s="2780">
        <v>137.34</v>
      </c>
      <c r="O36" s="2780">
        <v>187.18</v>
      </c>
      <c r="P36" s="2780">
        <v>5615.75</v>
      </c>
      <c r="Q36" s="2780">
        <v>0</v>
      </c>
      <c r="R36" s="2780" t="s">
        <v>3103</v>
      </c>
      <c r="S36" s="2780" t="s">
        <v>3113</v>
      </c>
    </row>
    <row r="37" spans="1:19">
      <c r="A37" s="2780" t="s">
        <v>3451</v>
      </c>
      <c r="B37" s="2780" t="s">
        <v>3349</v>
      </c>
      <c r="C37" s="2780" t="s">
        <v>3100</v>
      </c>
      <c r="D37" s="2780" t="s">
        <v>3455</v>
      </c>
      <c r="E37" s="2780">
        <v>1578.76</v>
      </c>
      <c r="F37" s="2780">
        <v>789.38</v>
      </c>
      <c r="G37" s="2780" t="s">
        <v>3111</v>
      </c>
      <c r="H37" s="2780" t="s">
        <v>3101</v>
      </c>
      <c r="I37" s="2780" t="s">
        <v>3102</v>
      </c>
      <c r="J37" s="2780">
        <v>0</v>
      </c>
      <c r="K37" s="2780" t="s">
        <v>1298</v>
      </c>
      <c r="L37" s="2780" t="s">
        <v>3453</v>
      </c>
      <c r="M37" s="2780" t="s">
        <v>3454</v>
      </c>
      <c r="N37" s="2780">
        <v>443.31</v>
      </c>
      <c r="O37" s="2780">
        <v>187.2</v>
      </c>
      <c r="P37" s="2780">
        <v>5615.93</v>
      </c>
      <c r="Q37" s="2780">
        <v>0</v>
      </c>
      <c r="R37" s="2780" t="s">
        <v>3103</v>
      </c>
      <c r="S37" s="2780" t="s">
        <v>3113</v>
      </c>
    </row>
    <row r="38" spans="1:19">
      <c r="A38" s="2780" t="s">
        <v>3451</v>
      </c>
      <c r="B38" s="2780" t="s">
        <v>3349</v>
      </c>
      <c r="C38" s="2780" t="s">
        <v>3100</v>
      </c>
      <c r="D38" s="2780" t="s">
        <v>3456</v>
      </c>
      <c r="E38" s="2780">
        <v>1978.2</v>
      </c>
      <c r="F38" s="2780">
        <v>989.1</v>
      </c>
      <c r="G38" s="2780" t="s">
        <v>3111</v>
      </c>
      <c r="H38" s="2780" t="s">
        <v>3101</v>
      </c>
      <c r="I38" s="2780" t="s">
        <v>3102</v>
      </c>
      <c r="J38" s="2780">
        <v>0</v>
      </c>
      <c r="K38" s="2780" t="s">
        <v>1298</v>
      </c>
      <c r="L38" s="2780" t="s">
        <v>3453</v>
      </c>
      <c r="M38" s="2780" t="s">
        <v>3454</v>
      </c>
      <c r="N38" s="2780">
        <v>555.48</v>
      </c>
      <c r="O38" s="2780">
        <v>187.2</v>
      </c>
      <c r="P38" s="2780">
        <v>5616.01</v>
      </c>
      <c r="Q38" s="2780">
        <v>0</v>
      </c>
      <c r="R38" s="2780" t="s">
        <v>3103</v>
      </c>
      <c r="S38" s="2780" t="s">
        <v>3113</v>
      </c>
    </row>
    <row r="39" spans="1:19">
      <c r="A39" s="2780" t="s">
        <v>3451</v>
      </c>
      <c r="B39" s="2780" t="s">
        <v>3349</v>
      </c>
      <c r="C39" s="2780" t="s">
        <v>3100</v>
      </c>
      <c r="D39" s="2780" t="s">
        <v>3457</v>
      </c>
      <c r="E39" s="2780">
        <v>9862.92</v>
      </c>
      <c r="F39" s="2780">
        <v>4931.46</v>
      </c>
      <c r="G39" s="2780" t="s">
        <v>3111</v>
      </c>
      <c r="H39" s="2780" t="s">
        <v>3101</v>
      </c>
      <c r="I39" s="2780" t="s">
        <v>3102</v>
      </c>
      <c r="J39" s="2780">
        <v>0</v>
      </c>
      <c r="K39" s="2780" t="s">
        <v>1298</v>
      </c>
      <c r="L39" s="2780" t="s">
        <v>3453</v>
      </c>
      <c r="M39" s="2780" t="s">
        <v>3454</v>
      </c>
      <c r="N39" s="2780">
        <v>2916.01</v>
      </c>
      <c r="O39" s="2780">
        <v>197.1</v>
      </c>
      <c r="P39" s="2780">
        <v>5913.1</v>
      </c>
      <c r="Q39" s="2780">
        <v>0</v>
      </c>
      <c r="R39" s="2780" t="s">
        <v>3103</v>
      </c>
      <c r="S39" s="2780" t="s">
        <v>3113</v>
      </c>
    </row>
    <row r="40" spans="1:19">
      <c r="A40" s="2780" t="s">
        <v>3451</v>
      </c>
      <c r="B40" s="2780" t="s">
        <v>3349</v>
      </c>
      <c r="C40" s="2780" t="s">
        <v>3100</v>
      </c>
      <c r="D40" s="2780" t="s">
        <v>3458</v>
      </c>
      <c r="E40" s="2780">
        <v>1978.64</v>
      </c>
      <c r="F40" s="2780">
        <v>989.32</v>
      </c>
      <c r="G40" s="2780" t="s">
        <v>3111</v>
      </c>
      <c r="H40" s="2780" t="s">
        <v>3101</v>
      </c>
      <c r="I40" s="2780" t="s">
        <v>3102</v>
      </c>
      <c r="J40" s="2780">
        <v>0</v>
      </c>
      <c r="K40" s="2780" t="s">
        <v>1298</v>
      </c>
      <c r="L40" s="2780" t="s">
        <v>3453</v>
      </c>
      <c r="M40" s="2780" t="s">
        <v>3454</v>
      </c>
      <c r="N40" s="2780">
        <v>555.6</v>
      </c>
      <c r="O40" s="2780">
        <v>187.2</v>
      </c>
      <c r="P40" s="2780">
        <v>5615.97</v>
      </c>
      <c r="Q40" s="2780">
        <v>0</v>
      </c>
      <c r="R40" s="2780" t="s">
        <v>3103</v>
      </c>
      <c r="S40" s="2780" t="s">
        <v>3113</v>
      </c>
    </row>
    <row r="41" spans="1:19">
      <c r="A41" s="2780" t="s">
        <v>3451</v>
      </c>
      <c r="B41" s="2780" t="s">
        <v>3349</v>
      </c>
      <c r="C41" s="2780" t="s">
        <v>3100</v>
      </c>
      <c r="D41" s="2780" t="s">
        <v>3459</v>
      </c>
      <c r="E41" s="2780">
        <v>486.72</v>
      </c>
      <c r="F41" s="2780">
        <v>243.36</v>
      </c>
      <c r="G41" s="2780" t="s">
        <v>3111</v>
      </c>
      <c r="H41" s="2780" t="s">
        <v>3101</v>
      </c>
      <c r="I41" s="2780" t="s">
        <v>3102</v>
      </c>
      <c r="J41" s="2780">
        <v>0</v>
      </c>
      <c r="K41" s="2780" t="s">
        <v>1298</v>
      </c>
      <c r="L41" s="2780" t="s">
        <v>3453</v>
      </c>
      <c r="M41" s="2780" t="s">
        <v>3454</v>
      </c>
      <c r="N41" s="2780">
        <v>136.66</v>
      </c>
      <c r="O41" s="2780">
        <v>187.18</v>
      </c>
      <c r="P41" s="2780">
        <v>5615.96</v>
      </c>
      <c r="Q41" s="2780">
        <v>0</v>
      </c>
      <c r="R41" s="2780" t="s">
        <v>3103</v>
      </c>
      <c r="S41" s="2780" t="s">
        <v>3113</v>
      </c>
    </row>
    <row r="42" spans="1:19">
      <c r="A42" s="2780" t="s">
        <v>3451</v>
      </c>
      <c r="B42" s="2780" t="s">
        <v>3349</v>
      </c>
      <c r="C42" s="2780" t="s">
        <v>3100</v>
      </c>
      <c r="D42" s="2780" t="s">
        <v>3460</v>
      </c>
      <c r="E42" s="2780">
        <v>2373.7199999999998</v>
      </c>
      <c r="F42" s="2780">
        <v>1186.8599999999999</v>
      </c>
      <c r="G42" s="2780" t="s">
        <v>3111</v>
      </c>
      <c r="H42" s="2780" t="s">
        <v>3101</v>
      </c>
      <c r="I42" s="2780" t="s">
        <v>3102</v>
      </c>
      <c r="J42" s="2780">
        <v>0</v>
      </c>
      <c r="K42" s="2780" t="s">
        <v>1298</v>
      </c>
      <c r="L42" s="2780" t="s">
        <v>3453</v>
      </c>
      <c r="M42" s="2780" t="s">
        <v>3454</v>
      </c>
      <c r="N42" s="2780">
        <v>666.53</v>
      </c>
      <c r="O42" s="2780">
        <v>187.2</v>
      </c>
      <c r="P42" s="2780">
        <v>5616</v>
      </c>
      <c r="Q42" s="2780">
        <v>0</v>
      </c>
      <c r="R42" s="2780" t="s">
        <v>3103</v>
      </c>
      <c r="S42" s="2780" t="s">
        <v>3113</v>
      </c>
    </row>
    <row r="43" spans="1:19">
      <c r="A43" s="2780" t="s">
        <v>3451</v>
      </c>
      <c r="B43" s="2780" t="s">
        <v>3349</v>
      </c>
      <c r="C43" s="2780" t="s">
        <v>3100</v>
      </c>
      <c r="D43" s="2780" t="s">
        <v>3461</v>
      </c>
      <c r="E43" s="2780">
        <v>1974.76</v>
      </c>
      <c r="F43" s="2780">
        <v>987.38</v>
      </c>
      <c r="G43" s="2780" t="s">
        <v>3111</v>
      </c>
      <c r="H43" s="2780" t="s">
        <v>3101</v>
      </c>
      <c r="I43" s="2780" t="s">
        <v>3102</v>
      </c>
      <c r="J43" s="2780">
        <v>0</v>
      </c>
      <c r="K43" s="2780" t="s">
        <v>1298</v>
      </c>
      <c r="L43" s="2780" t="s">
        <v>3453</v>
      </c>
      <c r="M43" s="2780" t="s">
        <v>3454</v>
      </c>
      <c r="N43" s="2780">
        <v>554.5</v>
      </c>
      <c r="O43" s="2780">
        <v>187.2</v>
      </c>
      <c r="P43" s="2780">
        <v>5615.97</v>
      </c>
      <c r="Q43" s="2780">
        <v>0</v>
      </c>
      <c r="R43" s="2780" t="s">
        <v>3103</v>
      </c>
      <c r="S43" s="2780" t="s">
        <v>3113</v>
      </c>
    </row>
    <row r="44" spans="1:19">
      <c r="A44" s="2780" t="s">
        <v>3451</v>
      </c>
      <c r="B44" s="2780" t="s">
        <v>3349</v>
      </c>
      <c r="C44" s="2780" t="s">
        <v>3100</v>
      </c>
      <c r="D44" s="2780" t="s">
        <v>3462</v>
      </c>
      <c r="E44" s="2780">
        <v>487.3</v>
      </c>
      <c r="F44" s="2780">
        <v>243.65</v>
      </c>
      <c r="G44" s="2780" t="s">
        <v>3111</v>
      </c>
      <c r="H44" s="2780" t="s">
        <v>3101</v>
      </c>
      <c r="I44" s="2780" t="s">
        <v>3102</v>
      </c>
      <c r="J44" s="2780">
        <v>0</v>
      </c>
      <c r="K44" s="2780" t="s">
        <v>1298</v>
      </c>
      <c r="L44" s="2780" t="s">
        <v>3453</v>
      </c>
      <c r="M44" s="2780" t="s">
        <v>3454</v>
      </c>
      <c r="N44" s="2780">
        <v>136.83000000000001</v>
      </c>
      <c r="O44" s="2780">
        <v>187.19</v>
      </c>
      <c r="P44" s="2780">
        <v>5615.84</v>
      </c>
      <c r="Q44" s="2780">
        <v>0</v>
      </c>
      <c r="R44" s="2780" t="s">
        <v>3103</v>
      </c>
      <c r="S44" s="2780" t="s">
        <v>3113</v>
      </c>
    </row>
    <row r="45" spans="1:19">
      <c r="A45" s="2780" t="s">
        <v>3451</v>
      </c>
      <c r="B45" s="2780" t="s">
        <v>3349</v>
      </c>
      <c r="C45" s="2780" t="s">
        <v>3100</v>
      </c>
      <c r="D45" s="2780" t="s">
        <v>3463</v>
      </c>
      <c r="E45" s="2780">
        <v>2380.7199999999998</v>
      </c>
      <c r="F45" s="2780">
        <v>1190.3599999999999</v>
      </c>
      <c r="G45" s="2780" t="s">
        <v>3111</v>
      </c>
      <c r="H45" s="2780" t="s">
        <v>3101</v>
      </c>
      <c r="I45" s="2780" t="s">
        <v>3102</v>
      </c>
      <c r="J45" s="2780">
        <v>0</v>
      </c>
      <c r="K45" s="2780" t="s">
        <v>1298</v>
      </c>
      <c r="L45" s="2780" t="s">
        <v>3453</v>
      </c>
      <c r="M45" s="2780" t="s">
        <v>3454</v>
      </c>
      <c r="N45" s="2780">
        <v>668.5</v>
      </c>
      <c r="O45" s="2780">
        <v>187.2</v>
      </c>
      <c r="P45" s="2780">
        <v>5615.94</v>
      </c>
      <c r="Q45" s="2780">
        <v>0</v>
      </c>
      <c r="R45" s="2780" t="s">
        <v>3103</v>
      </c>
      <c r="S45" s="2780" t="s">
        <v>3113</v>
      </c>
    </row>
    <row r="46" spans="1:19">
      <c r="A46" s="2780" t="s">
        <v>3451</v>
      </c>
      <c r="B46" s="2780" t="s">
        <v>3349</v>
      </c>
      <c r="C46" s="2780" t="s">
        <v>3100</v>
      </c>
      <c r="D46" s="2780" t="s">
        <v>3464</v>
      </c>
      <c r="E46" s="2780">
        <v>489.77</v>
      </c>
      <c r="F46" s="2780">
        <v>244.89</v>
      </c>
      <c r="G46" s="2780" t="s">
        <v>3111</v>
      </c>
      <c r="H46" s="2780" t="s">
        <v>3101</v>
      </c>
      <c r="I46" s="2780" t="s">
        <v>3102</v>
      </c>
      <c r="J46" s="2780">
        <v>0</v>
      </c>
      <c r="K46" s="2780" t="s">
        <v>1298</v>
      </c>
      <c r="L46" s="2780" t="s">
        <v>3453</v>
      </c>
      <c r="M46" s="2780" t="s">
        <v>3454</v>
      </c>
      <c r="N46" s="2780">
        <v>137.53</v>
      </c>
      <c r="O46" s="2780">
        <v>187.2</v>
      </c>
      <c r="P46" s="2780">
        <v>5615.98</v>
      </c>
      <c r="Q46" s="2780">
        <v>0</v>
      </c>
      <c r="R46" s="2780" t="s">
        <v>3103</v>
      </c>
      <c r="S46" s="2780" t="s">
        <v>3113</v>
      </c>
    </row>
    <row r="47" spans="1:19">
      <c r="A47" s="2780" t="s">
        <v>3451</v>
      </c>
      <c r="B47" s="2780" t="s">
        <v>3349</v>
      </c>
      <c r="C47" s="2780" t="s">
        <v>3100</v>
      </c>
      <c r="D47" s="2780" t="s">
        <v>3465</v>
      </c>
      <c r="E47" s="2780">
        <v>1972.59</v>
      </c>
      <c r="F47" s="2780">
        <v>986.3</v>
      </c>
      <c r="G47" s="2780" t="s">
        <v>3111</v>
      </c>
      <c r="H47" s="2780" t="s">
        <v>3101</v>
      </c>
      <c r="I47" s="2780" t="s">
        <v>3102</v>
      </c>
      <c r="J47" s="2780">
        <v>0</v>
      </c>
      <c r="K47" s="2780" t="s">
        <v>1298</v>
      </c>
      <c r="L47" s="2780" t="s">
        <v>3453</v>
      </c>
      <c r="M47" s="2780" t="s">
        <v>3454</v>
      </c>
      <c r="N47" s="2780">
        <v>553.89</v>
      </c>
      <c r="O47" s="2780">
        <v>187.2</v>
      </c>
      <c r="P47" s="2780">
        <v>5615.93</v>
      </c>
      <c r="Q47" s="2780">
        <v>0</v>
      </c>
      <c r="R47" s="2780" t="s">
        <v>3103</v>
      </c>
      <c r="S47" s="2780" t="s">
        <v>3113</v>
      </c>
    </row>
    <row r="48" spans="1:19">
      <c r="A48" s="2780" t="s">
        <v>3451</v>
      </c>
      <c r="B48" s="2780" t="s">
        <v>3349</v>
      </c>
      <c r="C48" s="2780" t="s">
        <v>3100</v>
      </c>
      <c r="D48" s="2780" t="s">
        <v>3466</v>
      </c>
      <c r="E48" s="2780">
        <v>2368.5500000000002</v>
      </c>
      <c r="F48" s="2780">
        <v>1184.28</v>
      </c>
      <c r="G48" s="2780" t="s">
        <v>3111</v>
      </c>
      <c r="H48" s="2780" t="s">
        <v>3101</v>
      </c>
      <c r="I48" s="2780" t="s">
        <v>3102</v>
      </c>
      <c r="J48" s="2780">
        <v>0</v>
      </c>
      <c r="K48" s="2780" t="s">
        <v>1298</v>
      </c>
      <c r="L48" s="2780" t="s">
        <v>3453</v>
      </c>
      <c r="M48" s="2780" t="s">
        <v>3454</v>
      </c>
      <c r="N48" s="2780">
        <v>665.09</v>
      </c>
      <c r="O48" s="2780">
        <v>187.2</v>
      </c>
      <c r="P48" s="2780">
        <v>5615.98</v>
      </c>
      <c r="Q48" s="2780">
        <v>0</v>
      </c>
      <c r="R48" s="2780" t="s">
        <v>3103</v>
      </c>
      <c r="S48" s="2780" t="s">
        <v>3113</v>
      </c>
    </row>
    <row r="49" spans="1:19">
      <c r="A49" s="2780" t="s">
        <v>3451</v>
      </c>
      <c r="B49" s="2780" t="s">
        <v>3349</v>
      </c>
      <c r="C49" s="2780" t="s">
        <v>3100</v>
      </c>
      <c r="D49" s="2780" t="s">
        <v>3467</v>
      </c>
      <c r="E49" s="2780">
        <v>1575.43</v>
      </c>
      <c r="F49" s="2780">
        <v>787.72</v>
      </c>
      <c r="G49" s="2780" t="s">
        <v>3111</v>
      </c>
      <c r="H49" s="2780" t="s">
        <v>3101</v>
      </c>
      <c r="I49" s="2780" t="s">
        <v>3102</v>
      </c>
      <c r="J49" s="2780">
        <v>0</v>
      </c>
      <c r="K49" s="2780" t="s">
        <v>1298</v>
      </c>
      <c r="L49" s="2780" t="s">
        <v>3453</v>
      </c>
      <c r="M49" s="2780" t="s">
        <v>3454</v>
      </c>
      <c r="N49" s="2780">
        <v>442.37</v>
      </c>
      <c r="O49" s="2780">
        <v>187.2</v>
      </c>
      <c r="P49" s="2780">
        <v>5615.94</v>
      </c>
      <c r="Q49" s="2780">
        <v>0</v>
      </c>
      <c r="R49" s="2780" t="s">
        <v>3103</v>
      </c>
      <c r="S49" s="2780" t="s">
        <v>3113</v>
      </c>
    </row>
    <row r="50" spans="1:19">
      <c r="A50" s="2780" t="s">
        <v>3468</v>
      </c>
      <c r="B50" s="2780" t="s">
        <v>3349</v>
      </c>
      <c r="C50" s="2780" t="s">
        <v>3100</v>
      </c>
      <c r="D50" s="2780" t="s">
        <v>3469</v>
      </c>
      <c r="E50" s="2780">
        <v>36493.79</v>
      </c>
      <c r="F50" s="2780">
        <v>91234.48</v>
      </c>
      <c r="G50" s="2780" t="s">
        <v>3120</v>
      </c>
      <c r="H50" s="2780" t="s">
        <v>3101</v>
      </c>
      <c r="I50" s="2780" t="s">
        <v>3109</v>
      </c>
      <c r="J50" s="2780">
        <v>0</v>
      </c>
      <c r="K50" s="2780" t="s">
        <v>1298</v>
      </c>
      <c r="L50" s="2780" t="s">
        <v>3470</v>
      </c>
      <c r="M50" s="2780" t="s">
        <v>3471</v>
      </c>
      <c r="N50" s="2780">
        <v>43792.55</v>
      </c>
      <c r="O50" s="2780">
        <v>800</v>
      </c>
      <c r="P50" s="2780">
        <v>4800</v>
      </c>
      <c r="Q50" s="2780">
        <v>0</v>
      </c>
      <c r="R50" s="2780" t="s">
        <v>3103</v>
      </c>
      <c r="S50" s="2780" t="s">
        <v>3110</v>
      </c>
    </row>
    <row r="51" spans="1:19">
      <c r="A51" s="2780" t="s">
        <v>3472</v>
      </c>
      <c r="B51" s="2780" t="s">
        <v>3349</v>
      </c>
      <c r="C51" s="2780" t="s">
        <v>3100</v>
      </c>
      <c r="D51" s="2780" t="s">
        <v>3473</v>
      </c>
      <c r="E51" s="2780">
        <v>12214.12</v>
      </c>
      <c r="F51" s="2780">
        <v>22351.84</v>
      </c>
      <c r="G51" s="2780" t="s">
        <v>3474</v>
      </c>
      <c r="H51" s="2780" t="s">
        <v>3101</v>
      </c>
      <c r="I51" s="2780" t="s">
        <v>3475</v>
      </c>
      <c r="J51" s="2780">
        <v>0</v>
      </c>
      <c r="K51" s="2780" t="s">
        <v>1298</v>
      </c>
      <c r="L51" s="2780" t="s">
        <v>3476</v>
      </c>
      <c r="M51" s="2780" t="s">
        <v>3477</v>
      </c>
      <c r="N51" s="2780">
        <v>20481.75</v>
      </c>
      <c r="O51" s="2780">
        <v>1117.93</v>
      </c>
      <c r="P51" s="2780">
        <v>9163.34</v>
      </c>
      <c r="Q51" s="2780">
        <v>0</v>
      </c>
      <c r="R51" s="2780" t="s">
        <v>3103</v>
      </c>
      <c r="S51" s="2780" t="s">
        <v>3106</v>
      </c>
    </row>
    <row r="52" spans="1:19">
      <c r="A52" s="2780" t="s">
        <v>3365</v>
      </c>
      <c r="B52" s="2780" t="s">
        <v>3349</v>
      </c>
      <c r="C52" s="2780" t="s">
        <v>3100</v>
      </c>
      <c r="D52" s="2780" t="s">
        <v>3478</v>
      </c>
      <c r="E52" s="2780">
        <v>13310.54</v>
      </c>
      <c r="F52" s="2780">
        <v>27819.03</v>
      </c>
      <c r="G52" s="2780" t="s">
        <v>3479</v>
      </c>
      <c r="H52" s="2780" t="s">
        <v>3101</v>
      </c>
      <c r="I52" s="2780" t="s">
        <v>3109</v>
      </c>
      <c r="J52" s="2780">
        <v>0</v>
      </c>
      <c r="K52" s="2780" t="s">
        <v>1298</v>
      </c>
      <c r="L52" s="2780" t="s">
        <v>3480</v>
      </c>
      <c r="M52" s="2780" t="s">
        <v>3481</v>
      </c>
      <c r="N52" s="2780">
        <v>21767.29</v>
      </c>
      <c r="O52" s="2780">
        <v>1090.23</v>
      </c>
      <c r="P52" s="2780">
        <v>7824.6</v>
      </c>
      <c r="Q52" s="2780">
        <v>0</v>
      </c>
      <c r="R52" s="2780" t="s">
        <v>3103</v>
      </c>
      <c r="S52" s="2780" t="s">
        <v>3113</v>
      </c>
    </row>
    <row r="53" spans="1:19">
      <c r="A53" s="2780" t="s">
        <v>3482</v>
      </c>
      <c r="B53" s="2780" t="s">
        <v>3349</v>
      </c>
      <c r="C53" s="2780" t="s">
        <v>3100</v>
      </c>
      <c r="D53" s="2780" t="s">
        <v>3483</v>
      </c>
      <c r="E53" s="2780">
        <v>11929.98</v>
      </c>
      <c r="F53" s="2780">
        <v>21831.86</v>
      </c>
      <c r="G53" s="2780" t="s">
        <v>3484</v>
      </c>
      <c r="H53" s="2780" t="s">
        <v>3101</v>
      </c>
      <c r="I53" s="2780" t="s">
        <v>3109</v>
      </c>
      <c r="J53" s="2780">
        <v>0</v>
      </c>
      <c r="K53" s="2780" t="s">
        <v>1298</v>
      </c>
      <c r="L53" s="2780" t="s">
        <v>3480</v>
      </c>
      <c r="M53" s="2780" t="s">
        <v>3485</v>
      </c>
      <c r="N53" s="2780">
        <v>20012.2</v>
      </c>
      <c r="O53" s="2780">
        <v>1118.31</v>
      </c>
      <c r="P53" s="2780">
        <v>9166.51</v>
      </c>
      <c r="Q53" s="2780">
        <v>0</v>
      </c>
      <c r="R53" s="2780" t="s">
        <v>3103</v>
      </c>
      <c r="S53" s="2780" t="s">
        <v>3113</v>
      </c>
    </row>
    <row r="54" spans="1:19">
      <c r="A54" s="2780" t="s">
        <v>3365</v>
      </c>
      <c r="B54" s="2780" t="s">
        <v>3349</v>
      </c>
      <c r="C54" s="2780" t="s">
        <v>3100</v>
      </c>
      <c r="D54" s="2780" t="s">
        <v>3486</v>
      </c>
      <c r="E54" s="2780">
        <v>6742.14</v>
      </c>
      <c r="F54" s="2780">
        <v>14091.07</v>
      </c>
      <c r="G54" s="2780" t="s">
        <v>3479</v>
      </c>
      <c r="H54" s="2780" t="s">
        <v>3101</v>
      </c>
      <c r="I54" s="2780" t="s">
        <v>3109</v>
      </c>
      <c r="J54" s="2780">
        <v>0</v>
      </c>
      <c r="K54" s="2780" t="s">
        <v>1298</v>
      </c>
      <c r="L54" s="2780" t="s">
        <v>3480</v>
      </c>
      <c r="M54" s="2780" t="s">
        <v>3481</v>
      </c>
      <c r="N54" s="2780">
        <v>10666.04</v>
      </c>
      <c r="O54" s="2780">
        <v>1054.6600000000001</v>
      </c>
      <c r="P54" s="2780">
        <v>7569.36</v>
      </c>
      <c r="Q54" s="2780">
        <v>0</v>
      </c>
      <c r="R54" s="2780" t="s">
        <v>3103</v>
      </c>
      <c r="S54" s="2780" t="s">
        <v>3113</v>
      </c>
    </row>
    <row r="55" spans="1:19">
      <c r="A55" s="2780" t="s">
        <v>3487</v>
      </c>
      <c r="B55" s="2780" t="s">
        <v>3349</v>
      </c>
      <c r="C55" s="2780" t="s">
        <v>3100</v>
      </c>
      <c r="D55" s="2780" t="s">
        <v>3488</v>
      </c>
      <c r="E55" s="2780">
        <v>7625.81</v>
      </c>
      <c r="F55" s="2780">
        <v>30503.24</v>
      </c>
      <c r="G55" s="2780" t="s">
        <v>3107</v>
      </c>
      <c r="H55" s="2780" t="s">
        <v>3101</v>
      </c>
      <c r="I55" s="2780" t="s">
        <v>3489</v>
      </c>
      <c r="J55" s="2780">
        <v>0</v>
      </c>
      <c r="K55" s="2780" t="s">
        <v>1298</v>
      </c>
      <c r="L55" s="2780" t="s">
        <v>3490</v>
      </c>
      <c r="M55" s="2780" t="s">
        <v>3491</v>
      </c>
      <c r="N55" s="2780">
        <v>12664.07</v>
      </c>
      <c r="O55" s="2780">
        <v>1107.1199999999999</v>
      </c>
      <c r="P55" s="2780">
        <v>4151.72</v>
      </c>
      <c r="Q55" s="2780">
        <v>0</v>
      </c>
      <c r="R55" s="2780" t="s">
        <v>3103</v>
      </c>
      <c r="S55" s="2780" t="s">
        <v>3113</v>
      </c>
    </row>
    <row r="56" spans="1:19">
      <c r="A56" s="2780" t="s">
        <v>3487</v>
      </c>
      <c r="B56" s="2780" t="s">
        <v>3349</v>
      </c>
      <c r="C56" s="2780" t="s">
        <v>3100</v>
      </c>
      <c r="D56" s="2780" t="s">
        <v>3492</v>
      </c>
      <c r="E56" s="2780">
        <v>5325.84</v>
      </c>
      <c r="F56" s="2780">
        <v>14486.28</v>
      </c>
      <c r="G56" s="2780" t="s">
        <v>3493</v>
      </c>
      <c r="H56" s="2780" t="s">
        <v>3101</v>
      </c>
      <c r="I56" s="2780" t="s">
        <v>3489</v>
      </c>
      <c r="J56" s="2780">
        <v>0</v>
      </c>
      <c r="K56" s="2780" t="s">
        <v>1298</v>
      </c>
      <c r="L56" s="2780" t="s">
        <v>3490</v>
      </c>
      <c r="M56" s="2780" t="s">
        <v>3491</v>
      </c>
      <c r="N56" s="2780">
        <v>9064</v>
      </c>
      <c r="O56" s="2780">
        <v>1134.5899999999999</v>
      </c>
      <c r="P56" s="2780">
        <v>6256.94</v>
      </c>
      <c r="Q56" s="2780">
        <v>0</v>
      </c>
      <c r="R56" s="2780" t="s">
        <v>3103</v>
      </c>
      <c r="S56" s="2780" t="s">
        <v>3113</v>
      </c>
    </row>
    <row r="57" spans="1:19">
      <c r="A57" s="2780" t="s">
        <v>3487</v>
      </c>
      <c r="B57" s="2780" t="s">
        <v>3349</v>
      </c>
      <c r="C57" s="2780" t="s">
        <v>3100</v>
      </c>
      <c r="D57" s="2780" t="s">
        <v>3494</v>
      </c>
      <c r="E57" s="2780">
        <v>11424.3</v>
      </c>
      <c r="F57" s="2780">
        <v>22848.6</v>
      </c>
      <c r="G57" s="2780" t="s">
        <v>3358</v>
      </c>
      <c r="H57" s="2780" t="s">
        <v>3101</v>
      </c>
      <c r="I57" s="2780" t="s">
        <v>3495</v>
      </c>
      <c r="J57" s="2780">
        <v>0</v>
      </c>
      <c r="K57" s="2780" t="s">
        <v>1298</v>
      </c>
      <c r="L57" s="2780" t="s">
        <v>3490</v>
      </c>
      <c r="M57" s="2780" t="s">
        <v>3491</v>
      </c>
      <c r="N57" s="2780">
        <v>18511.2</v>
      </c>
      <c r="O57" s="2780">
        <v>1080.22</v>
      </c>
      <c r="P57" s="2780">
        <v>8101.68</v>
      </c>
      <c r="Q57" s="2780">
        <v>0</v>
      </c>
      <c r="R57" s="2780" t="s">
        <v>3496</v>
      </c>
      <c r="S57" s="2780" t="s">
        <v>3113</v>
      </c>
    </row>
    <row r="58" spans="1:19">
      <c r="A58" s="2780" t="s">
        <v>3497</v>
      </c>
      <c r="B58" s="2780" t="s">
        <v>3349</v>
      </c>
      <c r="C58" s="2780" t="s">
        <v>3100</v>
      </c>
      <c r="D58" s="2780" t="s">
        <v>3498</v>
      </c>
      <c r="E58" s="2780">
        <v>6853.22</v>
      </c>
      <c r="F58" s="2780">
        <v>14323.23</v>
      </c>
      <c r="G58" s="2780" t="s">
        <v>3479</v>
      </c>
      <c r="H58" s="2780" t="s">
        <v>3101</v>
      </c>
      <c r="I58" s="2780" t="s">
        <v>3109</v>
      </c>
      <c r="J58" s="2780">
        <v>0</v>
      </c>
      <c r="K58" s="2780" t="s">
        <v>1298</v>
      </c>
      <c r="L58" s="2780" t="s">
        <v>3499</v>
      </c>
      <c r="M58" s="2780" t="s">
        <v>3500</v>
      </c>
      <c r="N58" s="2780">
        <v>10845.39</v>
      </c>
      <c r="O58" s="2780">
        <v>1055.02</v>
      </c>
      <c r="P58" s="2780">
        <v>7571.89</v>
      </c>
      <c r="Q58" s="2780">
        <v>0</v>
      </c>
      <c r="R58" s="2780" t="s">
        <v>3103</v>
      </c>
      <c r="S58" s="2780" t="s">
        <v>3106</v>
      </c>
    </row>
    <row r="59" spans="1:19">
      <c r="A59" s="2780" t="s">
        <v>3501</v>
      </c>
      <c r="B59" s="2780" t="s">
        <v>3349</v>
      </c>
      <c r="C59" s="2780" t="s">
        <v>3100</v>
      </c>
      <c r="D59" s="2780" t="s">
        <v>3502</v>
      </c>
      <c r="E59" s="2780">
        <v>14105.91</v>
      </c>
      <c r="F59" s="2780">
        <v>29622.41</v>
      </c>
      <c r="G59" s="2780" t="s">
        <v>3503</v>
      </c>
      <c r="H59" s="2780" t="s">
        <v>3101</v>
      </c>
      <c r="I59" s="2780" t="s">
        <v>3109</v>
      </c>
      <c r="J59" s="2780">
        <v>0</v>
      </c>
      <c r="K59" s="2780" t="s">
        <v>1298</v>
      </c>
      <c r="L59" s="2780" t="s">
        <v>3499</v>
      </c>
      <c r="M59" s="2780" t="s">
        <v>3500</v>
      </c>
      <c r="N59" s="2780">
        <v>22323.79</v>
      </c>
      <c r="O59" s="2780">
        <v>1055.06</v>
      </c>
      <c r="P59" s="2780">
        <v>7536.11</v>
      </c>
      <c r="Q59" s="2780">
        <v>0</v>
      </c>
      <c r="R59" s="2780" t="s">
        <v>3103</v>
      </c>
      <c r="S59" s="2780" t="s">
        <v>3113</v>
      </c>
    </row>
    <row r="60" spans="1:19">
      <c r="A60" s="2780" t="s">
        <v>3504</v>
      </c>
      <c r="B60" s="2780" t="s">
        <v>3349</v>
      </c>
      <c r="C60" s="2780" t="s">
        <v>3100</v>
      </c>
      <c r="D60" s="2780" t="s">
        <v>3505</v>
      </c>
      <c r="E60" s="2780">
        <v>41937.120000000003</v>
      </c>
      <c r="F60" s="2780">
        <v>167748.48000000001</v>
      </c>
      <c r="G60" s="2780" t="s">
        <v>3107</v>
      </c>
      <c r="H60" s="2780" t="s">
        <v>3101</v>
      </c>
      <c r="I60" s="2780" t="s">
        <v>3506</v>
      </c>
      <c r="J60" s="2780">
        <v>0</v>
      </c>
      <c r="K60" s="2780" t="s">
        <v>1298</v>
      </c>
      <c r="L60" s="2780" t="s">
        <v>3507</v>
      </c>
      <c r="M60" s="2780" t="s">
        <v>3508</v>
      </c>
      <c r="N60" s="2780">
        <v>75486.820000000007</v>
      </c>
      <c r="O60" s="2780">
        <v>1200</v>
      </c>
      <c r="P60" s="2780">
        <v>4500</v>
      </c>
      <c r="Q60" s="2780">
        <v>0</v>
      </c>
      <c r="R60" s="2780" t="s">
        <v>3103</v>
      </c>
      <c r="S60" s="2780" t="s">
        <v>3110</v>
      </c>
    </row>
    <row r="61" spans="1:19">
      <c r="A61" s="2780" t="s">
        <v>3509</v>
      </c>
      <c r="B61" s="2780" t="s">
        <v>3349</v>
      </c>
      <c r="C61" s="2780" t="s">
        <v>3100</v>
      </c>
      <c r="D61" s="2780" t="s">
        <v>3510</v>
      </c>
      <c r="E61" s="2780">
        <v>14986.84</v>
      </c>
      <c r="F61" s="2780">
        <v>89921.04</v>
      </c>
      <c r="G61" s="2780" t="s">
        <v>3112</v>
      </c>
      <c r="H61" s="2780" t="s">
        <v>3101</v>
      </c>
      <c r="I61" s="2780" t="s">
        <v>3109</v>
      </c>
      <c r="J61" s="2780">
        <v>0</v>
      </c>
      <c r="K61" s="2780" t="s">
        <v>1298</v>
      </c>
      <c r="L61" s="2780" t="s">
        <v>3507</v>
      </c>
      <c r="M61" s="2780" t="s">
        <v>3511</v>
      </c>
      <c r="N61" s="2780">
        <v>31820.61</v>
      </c>
      <c r="O61" s="2780">
        <v>1415.49</v>
      </c>
      <c r="P61" s="2780">
        <v>3538.73</v>
      </c>
      <c r="Q61" s="2780">
        <v>7.94</v>
      </c>
      <c r="R61" s="2780" t="s">
        <v>3103</v>
      </c>
      <c r="S61" s="2780" t="s">
        <v>3110</v>
      </c>
    </row>
    <row r="62" spans="1:19">
      <c r="A62" s="2780" t="s">
        <v>3504</v>
      </c>
      <c r="B62" s="2780" t="s">
        <v>3349</v>
      </c>
      <c r="C62" s="2780" t="s">
        <v>3100</v>
      </c>
      <c r="D62" s="2780" t="s">
        <v>3512</v>
      </c>
      <c r="E62" s="2780">
        <v>45323.46</v>
      </c>
      <c r="F62" s="2780">
        <v>181293.84</v>
      </c>
      <c r="G62" s="2780" t="s">
        <v>3107</v>
      </c>
      <c r="H62" s="2780" t="s">
        <v>3101</v>
      </c>
      <c r="I62" s="2780" t="s">
        <v>3102</v>
      </c>
      <c r="J62" s="2780">
        <v>0</v>
      </c>
      <c r="K62" s="2780" t="s">
        <v>1298</v>
      </c>
      <c r="L62" s="2780" t="s">
        <v>3507</v>
      </c>
      <c r="M62" s="2780" t="s">
        <v>3508</v>
      </c>
      <c r="N62" s="2780">
        <v>77483.710000000006</v>
      </c>
      <c r="O62" s="2780">
        <v>1139.71</v>
      </c>
      <c r="P62" s="2780">
        <v>4273.93</v>
      </c>
      <c r="Q62" s="2780">
        <v>0</v>
      </c>
      <c r="R62" s="2780" t="s">
        <v>3103</v>
      </c>
      <c r="S62" s="2780" t="s">
        <v>3110</v>
      </c>
    </row>
    <row r="63" spans="1:19">
      <c r="A63" s="2780" t="s">
        <v>3504</v>
      </c>
      <c r="B63" s="2780" t="s">
        <v>3349</v>
      </c>
      <c r="C63" s="2780" t="s">
        <v>3100</v>
      </c>
      <c r="D63" s="2780" t="s">
        <v>3513</v>
      </c>
      <c r="E63" s="2780">
        <v>56030.36</v>
      </c>
      <c r="F63" s="2780">
        <v>224121.44</v>
      </c>
      <c r="G63" s="2780" t="s">
        <v>3107</v>
      </c>
      <c r="H63" s="2780" t="s">
        <v>3101</v>
      </c>
      <c r="I63" s="2780" t="s">
        <v>3102</v>
      </c>
      <c r="J63" s="2780">
        <v>0</v>
      </c>
      <c r="K63" s="2780" t="s">
        <v>1298</v>
      </c>
      <c r="L63" s="2780" t="s">
        <v>3507</v>
      </c>
      <c r="M63" s="2780" t="s">
        <v>3508</v>
      </c>
      <c r="N63" s="2780">
        <v>109259.19</v>
      </c>
      <c r="O63" s="2780">
        <v>1300</v>
      </c>
      <c r="P63" s="2780">
        <v>4875</v>
      </c>
      <c r="Q63" s="2780">
        <v>0</v>
      </c>
      <c r="R63" s="2780" t="s">
        <v>3103</v>
      </c>
      <c r="S63" s="2780" t="s">
        <v>3110</v>
      </c>
    </row>
    <row r="64" spans="1:19" s="2781" customFormat="1">
      <c r="A64" s="2781" t="s">
        <v>3514</v>
      </c>
      <c r="B64" s="2781" t="s">
        <v>3349</v>
      </c>
      <c r="C64" s="2781" t="s">
        <v>3100</v>
      </c>
      <c r="D64" s="2781" t="s">
        <v>3515</v>
      </c>
      <c r="E64" s="2781">
        <v>5538.2</v>
      </c>
      <c r="F64" s="2781">
        <v>13845.5</v>
      </c>
      <c r="G64" s="2781" t="s">
        <v>3516</v>
      </c>
      <c r="H64" s="2781" t="s">
        <v>3101</v>
      </c>
      <c r="I64" s="2781" t="s">
        <v>3102</v>
      </c>
      <c r="J64" s="2781">
        <v>0</v>
      </c>
      <c r="K64" s="2781" t="s">
        <v>1298</v>
      </c>
      <c r="L64" s="2781" t="s">
        <v>3517</v>
      </c>
      <c r="M64" s="2781" t="s">
        <v>3518</v>
      </c>
      <c r="N64" s="2781">
        <v>5059.1400000000003</v>
      </c>
      <c r="O64" s="2781">
        <v>609</v>
      </c>
      <c r="P64" s="2781">
        <v>3654</v>
      </c>
      <c r="Q64" s="2781">
        <v>0.03</v>
      </c>
      <c r="R64" s="2781" t="s">
        <v>3103</v>
      </c>
      <c r="S64" s="2781" t="s">
        <v>3104</v>
      </c>
    </row>
    <row r="65" spans="1:19">
      <c r="A65" s="2780" t="s">
        <v>3519</v>
      </c>
      <c r="B65" s="2780" t="s">
        <v>3349</v>
      </c>
      <c r="C65" s="2780" t="s">
        <v>3100</v>
      </c>
      <c r="D65" s="2780" t="s">
        <v>3520</v>
      </c>
      <c r="E65" s="2780">
        <v>17934.509999999998</v>
      </c>
      <c r="F65" s="2780">
        <v>71738.039999999994</v>
      </c>
      <c r="G65" s="2780" t="s">
        <v>3121</v>
      </c>
      <c r="H65" s="2780" t="s">
        <v>3101</v>
      </c>
      <c r="I65" s="2780" t="s">
        <v>3102</v>
      </c>
      <c r="J65" s="2780">
        <v>0</v>
      </c>
      <c r="K65" s="2780" t="s">
        <v>1298</v>
      </c>
      <c r="L65" s="2780" t="s">
        <v>3521</v>
      </c>
      <c r="M65" s="2780" t="s">
        <v>3522</v>
      </c>
      <c r="N65" s="2780">
        <v>35053</v>
      </c>
      <c r="O65" s="2780">
        <v>1303</v>
      </c>
      <c r="P65" s="2780">
        <v>4886.25</v>
      </c>
      <c r="Q65" s="2780">
        <v>0.09</v>
      </c>
      <c r="R65" s="2780" t="s">
        <v>3103</v>
      </c>
      <c r="S65" s="2780" t="s">
        <v>3110</v>
      </c>
    </row>
    <row r="66" spans="1:19">
      <c r="A66" s="2780" t="s">
        <v>3523</v>
      </c>
      <c r="B66" s="2780" t="s">
        <v>3349</v>
      </c>
      <c r="C66" s="2780" t="s">
        <v>3100</v>
      </c>
      <c r="D66" s="2780">
        <v>21</v>
      </c>
      <c r="E66" s="2780">
        <v>11227.4</v>
      </c>
      <c r="F66" s="2780">
        <v>32559.46</v>
      </c>
      <c r="G66" s="2780" t="s">
        <v>3524</v>
      </c>
      <c r="H66" s="2780" t="s">
        <v>3101</v>
      </c>
      <c r="I66" s="2780" t="s">
        <v>3352</v>
      </c>
      <c r="J66" s="2780">
        <v>0</v>
      </c>
      <c r="K66" s="2780" t="s">
        <v>1298</v>
      </c>
      <c r="L66" s="2780" t="s">
        <v>3521</v>
      </c>
      <c r="M66" s="2780" t="s">
        <v>3525</v>
      </c>
      <c r="N66" s="2780">
        <v>3031.38</v>
      </c>
      <c r="O66" s="2780">
        <v>180</v>
      </c>
      <c r="P66" s="2780">
        <v>931.02</v>
      </c>
      <c r="Q66" s="2780">
        <v>0</v>
      </c>
      <c r="R66" s="2780" t="s">
        <v>3103</v>
      </c>
      <c r="S66" s="2780" t="s">
        <v>3110</v>
      </c>
    </row>
    <row r="67" spans="1:19">
      <c r="A67" s="2780" t="s">
        <v>3526</v>
      </c>
      <c r="B67" s="2780" t="s">
        <v>3349</v>
      </c>
      <c r="C67" s="2780" t="s">
        <v>3100</v>
      </c>
      <c r="D67" s="2780" t="s">
        <v>3526</v>
      </c>
      <c r="E67" s="2780">
        <v>11295.58</v>
      </c>
      <c r="F67" s="2780">
        <v>45221.08</v>
      </c>
      <c r="G67" s="2780" t="s">
        <v>3527</v>
      </c>
      <c r="H67" s="2780" t="s">
        <v>3101</v>
      </c>
      <c r="I67" s="2780" t="s">
        <v>3528</v>
      </c>
      <c r="J67" s="2780">
        <v>0</v>
      </c>
      <c r="K67" s="2780" t="s">
        <v>1298</v>
      </c>
      <c r="L67" s="2780" t="s">
        <v>3529</v>
      </c>
      <c r="M67" s="2780" t="s">
        <v>3530</v>
      </c>
      <c r="N67" s="2780">
        <v>17315</v>
      </c>
      <c r="O67" s="2780">
        <v>1021.93</v>
      </c>
      <c r="P67" s="2780">
        <v>3828.96</v>
      </c>
      <c r="Q67" s="2780">
        <v>0</v>
      </c>
      <c r="R67" s="2780" t="s">
        <v>3103</v>
      </c>
      <c r="S67" s="2780" t="s">
        <v>3106</v>
      </c>
    </row>
    <row r="68" spans="1:19">
      <c r="A68" s="2780" t="s">
        <v>3531</v>
      </c>
      <c r="B68" s="2780" t="s">
        <v>3349</v>
      </c>
      <c r="C68" s="2780" t="s">
        <v>3100</v>
      </c>
      <c r="D68" s="2780" t="s">
        <v>3532</v>
      </c>
      <c r="E68" s="2780">
        <v>13878.42</v>
      </c>
      <c r="F68" s="2780">
        <v>48574.47</v>
      </c>
      <c r="G68" s="2780" t="s">
        <v>3117</v>
      </c>
      <c r="H68" s="2780" t="s">
        <v>3101</v>
      </c>
      <c r="I68" s="2780" t="s">
        <v>3533</v>
      </c>
      <c r="J68" s="2780">
        <v>0</v>
      </c>
      <c r="K68" s="2780" t="s">
        <v>1298</v>
      </c>
      <c r="L68" s="2780" t="s">
        <v>3529</v>
      </c>
      <c r="M68" s="2780" t="s">
        <v>3534</v>
      </c>
      <c r="N68" s="2780">
        <v>6363.26</v>
      </c>
      <c r="O68" s="2780">
        <v>305.67</v>
      </c>
      <c r="P68" s="2780">
        <v>1310</v>
      </c>
      <c r="Q68" s="2780">
        <v>0</v>
      </c>
      <c r="R68" s="2780" t="s">
        <v>3535</v>
      </c>
      <c r="S68" s="2780" t="s">
        <v>3110</v>
      </c>
    </row>
    <row r="69" spans="1:19">
      <c r="A69" s="2780" t="s">
        <v>3536</v>
      </c>
      <c r="B69" s="2780" t="s">
        <v>3349</v>
      </c>
      <c r="C69" s="2780" t="s">
        <v>3100</v>
      </c>
      <c r="D69" s="2780" t="s">
        <v>3537</v>
      </c>
      <c r="E69" s="2780">
        <v>4292.3599999999997</v>
      </c>
      <c r="F69" s="2780">
        <v>5150.83</v>
      </c>
      <c r="G69" s="2780" t="s">
        <v>3538</v>
      </c>
      <c r="H69" s="2780" t="s">
        <v>3101</v>
      </c>
      <c r="I69" s="2780" t="s">
        <v>3122</v>
      </c>
      <c r="J69" s="2780">
        <v>0</v>
      </c>
      <c r="K69" s="2780" t="s">
        <v>1298</v>
      </c>
      <c r="L69" s="2780" t="s">
        <v>3539</v>
      </c>
      <c r="M69" s="2780" t="s">
        <v>3540</v>
      </c>
      <c r="N69" s="2780">
        <v>301.97000000000003</v>
      </c>
      <c r="O69" s="2780">
        <v>46.9</v>
      </c>
      <c r="P69" s="2780">
        <v>586.25</v>
      </c>
      <c r="Q69" s="2780">
        <v>0.14000000000000001</v>
      </c>
      <c r="R69" s="2780" t="s">
        <v>3103</v>
      </c>
      <c r="S69" s="2780" t="s">
        <v>3106</v>
      </c>
    </row>
    <row r="70" spans="1:19">
      <c r="A70" s="2780" t="s">
        <v>3536</v>
      </c>
      <c r="B70" s="2780" t="s">
        <v>3349</v>
      </c>
      <c r="C70" s="2780" t="s">
        <v>3100</v>
      </c>
      <c r="D70" s="2780" t="s">
        <v>3541</v>
      </c>
      <c r="E70" s="2780">
        <v>17785.62</v>
      </c>
      <c r="F70" s="2780">
        <v>17785.62</v>
      </c>
      <c r="G70" s="2780" t="s">
        <v>3118</v>
      </c>
      <c r="H70" s="2780" t="s">
        <v>3101</v>
      </c>
      <c r="I70" s="2780" t="s">
        <v>3122</v>
      </c>
      <c r="J70" s="2780">
        <v>0</v>
      </c>
      <c r="K70" s="2780" t="s">
        <v>1298</v>
      </c>
      <c r="L70" s="2780" t="s">
        <v>3539</v>
      </c>
      <c r="M70" s="2780" t="s">
        <v>3540</v>
      </c>
      <c r="N70" s="2780">
        <v>1251.22</v>
      </c>
      <c r="O70" s="2780">
        <v>46.9</v>
      </c>
      <c r="P70" s="2780">
        <v>703.5</v>
      </c>
      <c r="Q70" s="2780">
        <v>0.14000000000000001</v>
      </c>
      <c r="R70" s="2780" t="s">
        <v>3103</v>
      </c>
      <c r="S70" s="2780" t="s">
        <v>3106</v>
      </c>
    </row>
    <row r="71" spans="1:19">
      <c r="A71" s="2780" t="s">
        <v>3536</v>
      </c>
      <c r="B71" s="2780" t="s">
        <v>3349</v>
      </c>
      <c r="C71" s="2780" t="s">
        <v>3100</v>
      </c>
      <c r="D71" s="2780" t="s">
        <v>3467</v>
      </c>
      <c r="E71" s="2780">
        <v>3742.51</v>
      </c>
      <c r="F71" s="2780">
        <v>4491.01</v>
      </c>
      <c r="G71" s="2780" t="s">
        <v>3538</v>
      </c>
      <c r="H71" s="2780" t="s">
        <v>3101</v>
      </c>
      <c r="I71" s="2780" t="s">
        <v>3122</v>
      </c>
      <c r="J71" s="2780">
        <v>0</v>
      </c>
      <c r="K71" s="2780" t="s">
        <v>1298</v>
      </c>
      <c r="L71" s="2780" t="s">
        <v>3539</v>
      </c>
      <c r="M71" s="2780" t="s">
        <v>3540</v>
      </c>
      <c r="N71" s="2780">
        <v>263.29000000000002</v>
      </c>
      <c r="O71" s="2780">
        <v>46.9</v>
      </c>
      <c r="P71" s="2780">
        <v>586.25</v>
      </c>
      <c r="Q71" s="2780">
        <v>0.14000000000000001</v>
      </c>
      <c r="R71" s="2780" t="s">
        <v>3103</v>
      </c>
      <c r="S71" s="2780" t="s">
        <v>3106</v>
      </c>
    </row>
    <row r="72" spans="1:19">
      <c r="A72" s="2780" t="s">
        <v>3536</v>
      </c>
      <c r="B72" s="2780" t="s">
        <v>3349</v>
      </c>
      <c r="C72" s="2780" t="s">
        <v>3100</v>
      </c>
      <c r="D72" s="2780" t="s">
        <v>3542</v>
      </c>
      <c r="E72" s="2780">
        <v>1105.95</v>
      </c>
      <c r="F72" s="2780">
        <v>1327.14</v>
      </c>
      <c r="G72" s="2780" t="s">
        <v>3538</v>
      </c>
      <c r="H72" s="2780" t="s">
        <v>3101</v>
      </c>
      <c r="I72" s="2780" t="s">
        <v>3122</v>
      </c>
      <c r="J72" s="2780">
        <v>0</v>
      </c>
      <c r="K72" s="2780" t="s">
        <v>1298</v>
      </c>
      <c r="L72" s="2780" t="s">
        <v>3539</v>
      </c>
      <c r="M72" s="2780" t="s">
        <v>3540</v>
      </c>
      <c r="N72" s="2780">
        <v>77.790000000000006</v>
      </c>
      <c r="O72" s="2780">
        <v>46.89</v>
      </c>
      <c r="P72" s="2780">
        <v>586.22</v>
      </c>
      <c r="Q72" s="2780">
        <v>0.14000000000000001</v>
      </c>
      <c r="R72" s="2780" t="s">
        <v>3103</v>
      </c>
      <c r="S72" s="2780" t="s">
        <v>3106</v>
      </c>
    </row>
    <row r="73" spans="1:19">
      <c r="A73" s="2780" t="s">
        <v>3536</v>
      </c>
      <c r="B73" s="2780" t="s">
        <v>3349</v>
      </c>
      <c r="C73" s="2780" t="s">
        <v>3100</v>
      </c>
      <c r="D73" s="2780" t="s">
        <v>3463</v>
      </c>
      <c r="E73" s="2780">
        <v>377.78</v>
      </c>
      <c r="F73" s="2780">
        <v>453.34</v>
      </c>
      <c r="G73" s="2780" t="s">
        <v>3538</v>
      </c>
      <c r="H73" s="2780" t="s">
        <v>3101</v>
      </c>
      <c r="I73" s="2780" t="s">
        <v>3122</v>
      </c>
      <c r="J73" s="2780">
        <v>0</v>
      </c>
      <c r="K73" s="2780" t="s">
        <v>1298</v>
      </c>
      <c r="L73" s="2780" t="s">
        <v>3539</v>
      </c>
      <c r="M73" s="2780" t="s">
        <v>3540</v>
      </c>
      <c r="N73" s="2780">
        <v>26.57</v>
      </c>
      <c r="O73" s="2780">
        <v>46.89</v>
      </c>
      <c r="P73" s="2780">
        <v>586.29999999999995</v>
      </c>
      <c r="Q73" s="2780">
        <v>0.15</v>
      </c>
      <c r="R73" s="2780" t="s">
        <v>3103</v>
      </c>
      <c r="S73" s="2780" t="s">
        <v>3106</v>
      </c>
    </row>
    <row r="74" spans="1:19">
      <c r="A74" s="2780" t="s">
        <v>3536</v>
      </c>
      <c r="B74" s="2780" t="s">
        <v>3349</v>
      </c>
      <c r="C74" s="2780" t="s">
        <v>3100</v>
      </c>
      <c r="D74" s="2780" t="s">
        <v>3543</v>
      </c>
      <c r="E74" s="2780">
        <v>12053.03</v>
      </c>
      <c r="F74" s="2780">
        <v>14463.64</v>
      </c>
      <c r="G74" s="2780" t="s">
        <v>3538</v>
      </c>
      <c r="H74" s="2780" t="s">
        <v>3101</v>
      </c>
      <c r="I74" s="2780" t="s">
        <v>3122</v>
      </c>
      <c r="J74" s="2780">
        <v>0</v>
      </c>
      <c r="K74" s="2780" t="s">
        <v>1298</v>
      </c>
      <c r="L74" s="2780" t="s">
        <v>3539</v>
      </c>
      <c r="M74" s="2780" t="s">
        <v>3540</v>
      </c>
      <c r="N74" s="2780">
        <v>847.92</v>
      </c>
      <c r="O74" s="2780">
        <v>46.9</v>
      </c>
      <c r="P74" s="2780">
        <v>586.25</v>
      </c>
      <c r="Q74" s="2780">
        <v>0.14000000000000001</v>
      </c>
      <c r="R74" s="2780" t="s">
        <v>3103</v>
      </c>
      <c r="S74" s="2780" t="s">
        <v>3106</v>
      </c>
    </row>
    <row r="75" spans="1:19">
      <c r="A75" s="2780" t="s">
        <v>3536</v>
      </c>
      <c r="B75" s="2780" t="s">
        <v>3349</v>
      </c>
      <c r="C75" s="2780" t="s">
        <v>3100</v>
      </c>
      <c r="D75" s="2780" t="s">
        <v>3544</v>
      </c>
      <c r="E75" s="2780">
        <v>7071.3</v>
      </c>
      <c r="F75" s="2780">
        <v>7071.3</v>
      </c>
      <c r="G75" s="2780" t="s">
        <v>3118</v>
      </c>
      <c r="H75" s="2780" t="s">
        <v>3101</v>
      </c>
      <c r="I75" s="2780" t="s">
        <v>3122</v>
      </c>
      <c r="J75" s="2780">
        <v>0</v>
      </c>
      <c r="K75" s="2780" t="s">
        <v>1298</v>
      </c>
      <c r="L75" s="2780" t="s">
        <v>3539</v>
      </c>
      <c r="M75" s="2780" t="s">
        <v>3540</v>
      </c>
      <c r="N75" s="2780">
        <v>497.47</v>
      </c>
      <c r="O75" s="2780">
        <v>46.9</v>
      </c>
      <c r="P75" s="2780">
        <v>703.5</v>
      </c>
      <c r="Q75" s="2780">
        <v>0.14000000000000001</v>
      </c>
      <c r="R75" s="2780" t="s">
        <v>3103</v>
      </c>
      <c r="S75" s="2780" t="s">
        <v>3106</v>
      </c>
    </row>
    <row r="76" spans="1:19">
      <c r="A76" s="2780" t="s">
        <v>3536</v>
      </c>
      <c r="B76" s="2780" t="s">
        <v>3349</v>
      </c>
      <c r="C76" s="2780" t="s">
        <v>3100</v>
      </c>
      <c r="D76" s="2780" t="s">
        <v>3464</v>
      </c>
      <c r="E76" s="2780">
        <v>1094.03</v>
      </c>
      <c r="F76" s="2780">
        <v>1312.84</v>
      </c>
      <c r="G76" s="2780" t="s">
        <v>3538</v>
      </c>
      <c r="H76" s="2780" t="s">
        <v>3101</v>
      </c>
      <c r="I76" s="2780" t="s">
        <v>3122</v>
      </c>
      <c r="J76" s="2780">
        <v>0</v>
      </c>
      <c r="K76" s="2780" t="s">
        <v>1298</v>
      </c>
      <c r="L76" s="2780" t="s">
        <v>3539</v>
      </c>
      <c r="M76" s="2780" t="s">
        <v>3540</v>
      </c>
      <c r="N76" s="2780">
        <v>76.959999999999994</v>
      </c>
      <c r="O76" s="2780">
        <v>46.9</v>
      </c>
      <c r="P76" s="2780">
        <v>586.28</v>
      </c>
      <c r="Q76" s="2780">
        <v>0.14000000000000001</v>
      </c>
      <c r="R76" s="2780" t="s">
        <v>3103</v>
      </c>
      <c r="S76" s="2780" t="s">
        <v>3106</v>
      </c>
    </row>
    <row r="77" spans="1:19">
      <c r="A77" s="2780" t="s">
        <v>3536</v>
      </c>
      <c r="B77" s="2780" t="s">
        <v>3349</v>
      </c>
      <c r="C77" s="2780" t="s">
        <v>3100</v>
      </c>
      <c r="D77" s="2780" t="s">
        <v>3452</v>
      </c>
      <c r="E77" s="2780">
        <v>1231.3399999999999</v>
      </c>
      <c r="F77" s="2780">
        <v>1477.61</v>
      </c>
      <c r="G77" s="2780" t="s">
        <v>3538</v>
      </c>
      <c r="H77" s="2780" t="s">
        <v>3101</v>
      </c>
      <c r="I77" s="2780" t="s">
        <v>3122</v>
      </c>
      <c r="J77" s="2780">
        <v>0</v>
      </c>
      <c r="K77" s="2780" t="s">
        <v>1298</v>
      </c>
      <c r="L77" s="2780" t="s">
        <v>3539</v>
      </c>
      <c r="M77" s="2780" t="s">
        <v>3540</v>
      </c>
      <c r="N77" s="2780">
        <v>86.62</v>
      </c>
      <c r="O77" s="2780">
        <v>46.9</v>
      </c>
      <c r="P77" s="2780">
        <v>586.22</v>
      </c>
      <c r="Q77" s="2780">
        <v>0.14000000000000001</v>
      </c>
      <c r="R77" s="2780" t="s">
        <v>3103</v>
      </c>
      <c r="S77" s="2780" t="s">
        <v>3106</v>
      </c>
    </row>
    <row r="78" spans="1:19">
      <c r="A78" s="2780" t="s">
        <v>3536</v>
      </c>
      <c r="B78" s="2780" t="s">
        <v>3349</v>
      </c>
      <c r="C78" s="2780" t="s">
        <v>3100</v>
      </c>
      <c r="D78" s="2780" t="s">
        <v>3545</v>
      </c>
      <c r="E78" s="2780">
        <v>7953.48</v>
      </c>
      <c r="F78" s="2780">
        <v>9544.18</v>
      </c>
      <c r="G78" s="2780" t="s">
        <v>3538</v>
      </c>
      <c r="H78" s="2780" t="s">
        <v>3101</v>
      </c>
      <c r="I78" s="2780" t="s">
        <v>3122</v>
      </c>
      <c r="J78" s="2780">
        <v>0</v>
      </c>
      <c r="K78" s="2780" t="s">
        <v>1298</v>
      </c>
      <c r="L78" s="2780" t="s">
        <v>3539</v>
      </c>
      <c r="M78" s="2780" t="s">
        <v>3540</v>
      </c>
      <c r="N78" s="2780">
        <v>559.52</v>
      </c>
      <c r="O78" s="2780">
        <v>46.9</v>
      </c>
      <c r="P78" s="2780">
        <v>586.25</v>
      </c>
      <c r="Q78" s="2780">
        <v>0.14000000000000001</v>
      </c>
      <c r="R78" s="2780" t="s">
        <v>3103</v>
      </c>
      <c r="S78" s="2780" t="s">
        <v>3106</v>
      </c>
    </row>
    <row r="79" spans="1:19">
      <c r="A79" s="2780" t="s">
        <v>3536</v>
      </c>
      <c r="B79" s="2780" t="s">
        <v>3349</v>
      </c>
      <c r="C79" s="2780" t="s">
        <v>3100</v>
      </c>
      <c r="D79" s="2780" t="s">
        <v>3546</v>
      </c>
      <c r="E79" s="2780">
        <v>18255.38</v>
      </c>
      <c r="F79" s="2780">
        <v>18255.38</v>
      </c>
      <c r="G79" s="2780" t="s">
        <v>3118</v>
      </c>
      <c r="H79" s="2780" t="s">
        <v>3101</v>
      </c>
      <c r="I79" s="2780" t="s">
        <v>3122</v>
      </c>
      <c r="J79" s="2780">
        <v>0</v>
      </c>
      <c r="K79" s="2780" t="s">
        <v>1298</v>
      </c>
      <c r="L79" s="2780" t="s">
        <v>3539</v>
      </c>
      <c r="M79" s="2780" t="s">
        <v>3540</v>
      </c>
      <c r="N79" s="2780">
        <v>1284.26</v>
      </c>
      <c r="O79" s="2780">
        <v>46.9</v>
      </c>
      <c r="P79" s="2780">
        <v>703.5</v>
      </c>
      <c r="Q79" s="2780">
        <v>0.14000000000000001</v>
      </c>
      <c r="R79" s="2780" t="s">
        <v>3103</v>
      </c>
      <c r="S79" s="2780" t="s">
        <v>3106</v>
      </c>
    </row>
    <row r="80" spans="1:19">
      <c r="A80" s="2780" t="s">
        <v>3536</v>
      </c>
      <c r="B80" s="2780" t="s">
        <v>3349</v>
      </c>
      <c r="C80" s="2780" t="s">
        <v>3100</v>
      </c>
      <c r="D80" s="2780" t="s">
        <v>3455</v>
      </c>
      <c r="E80" s="2780">
        <v>2730.31</v>
      </c>
      <c r="F80" s="2780">
        <v>3276.37</v>
      </c>
      <c r="G80" s="2780" t="s">
        <v>3538</v>
      </c>
      <c r="H80" s="2780" t="s">
        <v>3101</v>
      </c>
      <c r="I80" s="2780" t="s">
        <v>3122</v>
      </c>
      <c r="J80" s="2780">
        <v>0</v>
      </c>
      <c r="K80" s="2780" t="s">
        <v>1298</v>
      </c>
      <c r="L80" s="2780" t="s">
        <v>3539</v>
      </c>
      <c r="M80" s="2780" t="s">
        <v>3540</v>
      </c>
      <c r="N80" s="2780">
        <v>192.08</v>
      </c>
      <c r="O80" s="2780">
        <v>46.9</v>
      </c>
      <c r="P80" s="2780">
        <v>586.25</v>
      </c>
      <c r="Q80" s="2780">
        <v>0.15</v>
      </c>
      <c r="R80" s="2780" t="s">
        <v>3103</v>
      </c>
      <c r="S80" s="2780" t="s">
        <v>3106</v>
      </c>
    </row>
    <row r="81" spans="1:19">
      <c r="A81" s="2780" t="s">
        <v>3523</v>
      </c>
      <c r="B81" s="2780" t="s">
        <v>3349</v>
      </c>
      <c r="C81" s="2780" t="s">
        <v>3100</v>
      </c>
      <c r="D81" s="2780" t="s">
        <v>3427</v>
      </c>
      <c r="E81" s="2780">
        <v>24721</v>
      </c>
      <c r="F81" s="2780">
        <v>123605</v>
      </c>
      <c r="G81" s="2780" t="s">
        <v>3447</v>
      </c>
      <c r="H81" s="2780" t="s">
        <v>3101</v>
      </c>
      <c r="I81" s="2780" t="s">
        <v>3109</v>
      </c>
      <c r="J81" s="2780">
        <v>0</v>
      </c>
      <c r="K81" s="2780" t="s">
        <v>1298</v>
      </c>
      <c r="L81" s="2780" t="s">
        <v>3547</v>
      </c>
      <c r="M81" s="2780" t="s">
        <v>3548</v>
      </c>
      <c r="N81" s="2780">
        <v>6675</v>
      </c>
      <c r="O81" s="2780">
        <v>180.01</v>
      </c>
      <c r="P81" s="2780">
        <v>540.02</v>
      </c>
      <c r="Q81" s="2780">
        <v>0</v>
      </c>
      <c r="R81" s="2780" t="s">
        <v>3103</v>
      </c>
      <c r="S81" s="2780" t="s">
        <v>3110</v>
      </c>
    </row>
    <row r="82" spans="1:19" s="2782" customFormat="1">
      <c r="A82" s="2782" t="s">
        <v>3523</v>
      </c>
      <c r="B82" s="2782" t="s">
        <v>3349</v>
      </c>
      <c r="C82" s="2782" t="s">
        <v>3100</v>
      </c>
      <c r="D82" s="2782" t="s">
        <v>3420</v>
      </c>
      <c r="E82" s="2782">
        <v>38850</v>
      </c>
      <c r="F82" s="2782">
        <v>93240</v>
      </c>
      <c r="G82" s="2782" t="s">
        <v>3549</v>
      </c>
      <c r="H82" s="2782" t="s">
        <v>3101</v>
      </c>
      <c r="I82" s="2782" t="s">
        <v>3109</v>
      </c>
      <c r="J82" s="2782">
        <v>0</v>
      </c>
      <c r="K82" s="2782" t="s">
        <v>1298</v>
      </c>
      <c r="L82" s="2782" t="s">
        <v>3547</v>
      </c>
      <c r="M82" s="2782" t="s">
        <v>3548</v>
      </c>
      <c r="N82" s="2782">
        <v>10489</v>
      </c>
      <c r="O82" s="2782">
        <v>179.99</v>
      </c>
      <c r="P82" s="2782">
        <v>1124.95</v>
      </c>
      <c r="Q82" s="2782">
        <v>0</v>
      </c>
      <c r="R82" s="2782" t="s">
        <v>3103</v>
      </c>
      <c r="S82" s="2782" t="s">
        <v>3106</v>
      </c>
    </row>
    <row r="83" spans="1:19">
      <c r="A83" s="2780" t="s">
        <v>3523</v>
      </c>
      <c r="B83" s="2780" t="s">
        <v>3349</v>
      </c>
      <c r="C83" s="2780" t="s">
        <v>3100</v>
      </c>
      <c r="D83" s="2780" t="s">
        <v>3419</v>
      </c>
      <c r="E83" s="2780">
        <v>25459</v>
      </c>
      <c r="F83" s="2780">
        <v>127295</v>
      </c>
      <c r="G83" s="2780" t="s">
        <v>3447</v>
      </c>
      <c r="H83" s="2780" t="s">
        <v>3101</v>
      </c>
      <c r="I83" s="2780" t="s">
        <v>3109</v>
      </c>
      <c r="J83" s="2780">
        <v>0</v>
      </c>
      <c r="K83" s="2780" t="s">
        <v>1298</v>
      </c>
      <c r="L83" s="2780" t="s">
        <v>3547</v>
      </c>
      <c r="M83" s="2780" t="s">
        <v>3548</v>
      </c>
      <c r="N83" s="2780">
        <v>6875</v>
      </c>
      <c r="O83" s="2780">
        <v>180.03</v>
      </c>
      <c r="P83" s="2780">
        <v>540.08000000000004</v>
      </c>
      <c r="Q83" s="2780">
        <v>0</v>
      </c>
      <c r="R83" s="2780" t="s">
        <v>3103</v>
      </c>
      <c r="S83" s="2780" t="s">
        <v>3110</v>
      </c>
    </row>
    <row r="84" spans="1:19">
      <c r="A84" s="2780" t="s">
        <v>3523</v>
      </c>
      <c r="B84" s="2780" t="s">
        <v>3349</v>
      </c>
      <c r="C84" s="2780" t="s">
        <v>3100</v>
      </c>
      <c r="D84" s="2780" t="s">
        <v>3415</v>
      </c>
      <c r="E84" s="2780">
        <v>26421</v>
      </c>
      <c r="F84" s="2780">
        <v>60768.3</v>
      </c>
      <c r="G84" s="2780" t="s">
        <v>3550</v>
      </c>
      <c r="H84" s="2780" t="s">
        <v>3101</v>
      </c>
      <c r="I84" s="2780" t="s">
        <v>3109</v>
      </c>
      <c r="J84" s="2780">
        <v>0</v>
      </c>
      <c r="K84" s="2780" t="s">
        <v>1298</v>
      </c>
      <c r="L84" s="2780" t="s">
        <v>3547</v>
      </c>
      <c r="M84" s="2780" t="s">
        <v>3548</v>
      </c>
      <c r="N84" s="2780">
        <v>7134</v>
      </c>
      <c r="O84" s="2780">
        <v>180.01</v>
      </c>
      <c r="P84" s="2780">
        <v>1173.97</v>
      </c>
      <c r="Q84" s="2780">
        <v>0</v>
      </c>
      <c r="R84" s="2780" t="s">
        <v>3103</v>
      </c>
      <c r="S84" s="2780" t="s">
        <v>3110</v>
      </c>
    </row>
    <row r="85" spans="1:19">
      <c r="A85" s="2780" t="s">
        <v>3551</v>
      </c>
      <c r="B85" s="2780" t="s">
        <v>3349</v>
      </c>
      <c r="C85" s="2780" t="s">
        <v>3100</v>
      </c>
      <c r="D85" s="2780" t="s">
        <v>3421</v>
      </c>
      <c r="E85" s="2780">
        <v>31175.3</v>
      </c>
      <c r="F85" s="2780">
        <v>77938.25</v>
      </c>
      <c r="G85" s="2780" t="s">
        <v>3120</v>
      </c>
      <c r="H85" s="2780" t="s">
        <v>3101</v>
      </c>
      <c r="I85" s="2780" t="s">
        <v>3552</v>
      </c>
      <c r="J85" s="2780">
        <v>0</v>
      </c>
      <c r="K85" s="2780" t="s">
        <v>1298</v>
      </c>
      <c r="L85" s="2780" t="s">
        <v>3553</v>
      </c>
      <c r="M85" s="2780" t="s">
        <v>3554</v>
      </c>
      <c r="N85" s="2780">
        <v>14784</v>
      </c>
      <c r="O85" s="2780">
        <v>316.14999999999998</v>
      </c>
      <c r="P85" s="2780">
        <v>1896.89</v>
      </c>
      <c r="Q85" s="2780">
        <v>0.03</v>
      </c>
      <c r="R85" s="2780" t="s">
        <v>3103</v>
      </c>
      <c r="S85" s="2780" t="s">
        <v>3355</v>
      </c>
    </row>
    <row r="86" spans="1:19">
      <c r="A86" s="2780" t="s">
        <v>3551</v>
      </c>
      <c r="B86" s="2780" t="s">
        <v>3349</v>
      </c>
      <c r="C86" s="2780" t="s">
        <v>3100</v>
      </c>
      <c r="D86" s="2780" t="s">
        <v>3426</v>
      </c>
      <c r="E86" s="2780">
        <v>28632</v>
      </c>
      <c r="F86" s="2780">
        <v>80169.600000000006</v>
      </c>
      <c r="G86" s="2780" t="s">
        <v>3114</v>
      </c>
      <c r="H86" s="2780" t="s">
        <v>3101</v>
      </c>
      <c r="I86" s="2780" t="s">
        <v>3109</v>
      </c>
      <c r="J86" s="2780">
        <v>0</v>
      </c>
      <c r="K86" s="2780" t="s">
        <v>1298</v>
      </c>
      <c r="L86" s="2780" t="s">
        <v>3553</v>
      </c>
      <c r="M86" s="2780" t="s">
        <v>3554</v>
      </c>
      <c r="N86" s="2780">
        <v>19825</v>
      </c>
      <c r="O86" s="2780">
        <v>461.6</v>
      </c>
      <c r="P86" s="2780">
        <v>2472.88</v>
      </c>
      <c r="Q86" s="2780">
        <v>32.94</v>
      </c>
      <c r="R86" s="2780" t="s">
        <v>3103</v>
      </c>
      <c r="S86" s="2780" t="s">
        <v>3110</v>
      </c>
    </row>
    <row r="87" spans="1:19">
      <c r="A87" s="2780" t="s">
        <v>3551</v>
      </c>
      <c r="B87" s="2780" t="s">
        <v>3349</v>
      </c>
      <c r="C87" s="2780" t="s">
        <v>3100</v>
      </c>
      <c r="D87" s="2780" t="s">
        <v>3427</v>
      </c>
      <c r="E87" s="2780">
        <v>88566</v>
      </c>
      <c r="F87" s="2780">
        <v>200159.2</v>
      </c>
      <c r="G87" s="2780" t="s">
        <v>3555</v>
      </c>
      <c r="H87" s="2780" t="s">
        <v>3101</v>
      </c>
      <c r="I87" s="2780" t="s">
        <v>3552</v>
      </c>
      <c r="J87" s="2780">
        <v>0</v>
      </c>
      <c r="K87" s="2780" t="s">
        <v>1298</v>
      </c>
      <c r="L87" s="2780" t="s">
        <v>3553</v>
      </c>
      <c r="M87" s="2780" t="s">
        <v>3554</v>
      </c>
      <c r="N87" s="2780">
        <v>41203</v>
      </c>
      <c r="O87" s="2780">
        <v>310.14999999999998</v>
      </c>
      <c r="P87" s="2780">
        <v>2058.5100000000002</v>
      </c>
      <c r="Q87" s="2780">
        <v>0.01</v>
      </c>
      <c r="R87" s="2780" t="s">
        <v>3103</v>
      </c>
      <c r="S87" s="2780" t="s">
        <v>3106</v>
      </c>
    </row>
    <row r="88" spans="1:19" s="2781" customFormat="1">
      <c r="A88" s="2781" t="s">
        <v>3551</v>
      </c>
      <c r="B88" s="2781" t="s">
        <v>3349</v>
      </c>
      <c r="C88" s="2781" t="s">
        <v>3100</v>
      </c>
      <c r="D88" s="2781" t="s">
        <v>3420</v>
      </c>
      <c r="E88" s="2781">
        <v>137323.5</v>
      </c>
      <c r="F88" s="2781">
        <v>233450</v>
      </c>
      <c r="G88" s="2781" t="s">
        <v>3556</v>
      </c>
      <c r="H88" s="2781" t="s">
        <v>3101</v>
      </c>
      <c r="I88" s="2781" t="s">
        <v>3552</v>
      </c>
      <c r="J88" s="2781">
        <v>0</v>
      </c>
      <c r="K88" s="2781" t="s">
        <v>1298</v>
      </c>
      <c r="L88" s="2781" t="s">
        <v>3553</v>
      </c>
      <c r="M88" s="2781" t="s">
        <v>3554</v>
      </c>
      <c r="N88" s="2781">
        <v>61167</v>
      </c>
      <c r="O88" s="2781">
        <v>296.95</v>
      </c>
      <c r="P88" s="2781">
        <v>2620.13</v>
      </c>
      <c r="Q88" s="2781">
        <v>0.01</v>
      </c>
      <c r="R88" s="2781" t="s">
        <v>3103</v>
      </c>
      <c r="S88" s="2781" t="s">
        <v>3355</v>
      </c>
    </row>
    <row r="89" spans="1:19">
      <c r="A89" s="2780" t="s">
        <v>3551</v>
      </c>
      <c r="B89" s="2780" t="s">
        <v>3349</v>
      </c>
      <c r="C89" s="2780" t="s">
        <v>3100</v>
      </c>
      <c r="D89" s="2780" t="s">
        <v>3415</v>
      </c>
      <c r="E89" s="2780">
        <v>21255.599999999999</v>
      </c>
      <c r="F89" s="2780">
        <v>59515.68</v>
      </c>
      <c r="G89" s="2780" t="s">
        <v>3114</v>
      </c>
      <c r="H89" s="2780" t="s">
        <v>3101</v>
      </c>
      <c r="I89" s="2780" t="s">
        <v>3557</v>
      </c>
      <c r="J89" s="2780">
        <v>0</v>
      </c>
      <c r="K89" s="2780" t="s">
        <v>1298</v>
      </c>
      <c r="L89" s="2780" t="s">
        <v>3553</v>
      </c>
      <c r="M89" s="2780" t="s">
        <v>3554</v>
      </c>
      <c r="N89" s="2780">
        <v>11074</v>
      </c>
      <c r="O89" s="2780">
        <v>347.33</v>
      </c>
      <c r="P89" s="2780">
        <v>1860.69</v>
      </c>
      <c r="Q89" s="2780">
        <v>0.05</v>
      </c>
      <c r="R89" s="2780" t="s">
        <v>3103</v>
      </c>
      <c r="S89" s="2780" t="s">
        <v>3355</v>
      </c>
    </row>
    <row r="90" spans="1:19">
      <c r="A90" s="2780" t="s">
        <v>3551</v>
      </c>
      <c r="B90" s="2780" t="s">
        <v>3349</v>
      </c>
      <c r="C90" s="2780" t="s">
        <v>3100</v>
      </c>
      <c r="D90" s="2780" t="s">
        <v>3418</v>
      </c>
      <c r="E90" s="2780">
        <v>16561</v>
      </c>
      <c r="F90" s="2780">
        <v>41402.5</v>
      </c>
      <c r="G90" s="2780" t="s">
        <v>3120</v>
      </c>
      <c r="H90" s="2780" t="s">
        <v>3101</v>
      </c>
      <c r="I90" s="2780" t="s">
        <v>3552</v>
      </c>
      <c r="J90" s="2780">
        <v>0</v>
      </c>
      <c r="K90" s="2780" t="s">
        <v>1298</v>
      </c>
      <c r="L90" s="2780" t="s">
        <v>3553</v>
      </c>
      <c r="M90" s="2780" t="s">
        <v>3554</v>
      </c>
      <c r="N90" s="2780">
        <v>7872</v>
      </c>
      <c r="O90" s="2780">
        <v>316.89</v>
      </c>
      <c r="P90" s="2780">
        <v>1901.32</v>
      </c>
      <c r="Q90" s="2780">
        <v>0.06</v>
      </c>
      <c r="R90" s="2780" t="s">
        <v>3103</v>
      </c>
      <c r="S90" s="2780" t="s">
        <v>3106</v>
      </c>
    </row>
    <row r="91" spans="1:19">
      <c r="A91" s="2780" t="s">
        <v>3558</v>
      </c>
      <c r="B91" s="2780" t="s">
        <v>3349</v>
      </c>
      <c r="C91" s="2780" t="s">
        <v>3100</v>
      </c>
      <c r="D91" s="2780" t="s">
        <v>3559</v>
      </c>
      <c r="E91" s="2780">
        <v>3330</v>
      </c>
      <c r="F91" s="2780">
        <v>13320</v>
      </c>
      <c r="G91" s="2780" t="s">
        <v>3121</v>
      </c>
      <c r="H91" s="2780" t="s">
        <v>3108</v>
      </c>
      <c r="I91" s="2780" t="s">
        <v>3109</v>
      </c>
      <c r="J91" s="2780">
        <v>0</v>
      </c>
      <c r="K91" s="2780" t="s">
        <v>1298</v>
      </c>
      <c r="L91" s="2780" t="s">
        <v>3560</v>
      </c>
      <c r="M91" s="2780" t="s">
        <v>3561</v>
      </c>
      <c r="N91" s="2780">
        <v>4508.8100000000004</v>
      </c>
      <c r="O91" s="2780">
        <v>902.66</v>
      </c>
      <c r="P91" s="2780">
        <v>3385</v>
      </c>
      <c r="Q91" s="2780">
        <v>0.3</v>
      </c>
      <c r="R91" s="2780" t="s">
        <v>3103</v>
      </c>
      <c r="S91" s="2780" t="s">
        <v>3104</v>
      </c>
    </row>
    <row r="94" spans="1:19" ht="13.5">
      <c r="A94" s="2783" t="s">
        <v>3573</v>
      </c>
    </row>
    <row r="99" spans="14:16">
      <c r="N99" s="2807" t="s">
        <v>3579</v>
      </c>
      <c r="O99" s="2807" t="s">
        <v>3580</v>
      </c>
      <c r="P99" s="2807" t="s">
        <v>3581</v>
      </c>
    </row>
    <row r="100" spans="14:16">
      <c r="N100" s="2780">
        <v>98818839</v>
      </c>
      <c r="O100" s="2780">
        <v>66322497.43</v>
      </c>
      <c r="P100" s="2780">
        <f>593163.71*5</f>
        <v>2965818.55</v>
      </c>
    </row>
    <row r="101" spans="14:16">
      <c r="N101" s="2780">
        <f>N100*0.03</f>
        <v>2964565.17</v>
      </c>
      <c r="O101" s="2780">
        <f>381.57+11000000+18740000+2755960</f>
        <v>32496341.57</v>
      </c>
    </row>
    <row r="102" spans="14:16">
      <c r="O102" s="2780">
        <f>SUM(O100:O101)</f>
        <v>98818839</v>
      </c>
    </row>
  </sheetData>
  <phoneticPr fontId="141" type="noConversion"/>
  <hyperlinks>
    <hyperlink ref="A94" r:id="rId1" xr:uid="{00000000-0004-0000-1800-000000000000}"/>
  </hyperlinks>
  <pageMargins left="0.75" right="0.75" top="1" bottom="1" header="0.5" footer="0.5"/>
  <pageSetup orientation="portrait" horizontalDpi="300" verticalDpi="300"/>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18" zoomScale="80" zoomScaleNormal="60" zoomScaleSheetLayoutView="80" workbookViewId="0">
      <selection activeCell="F37" sqref="F37"/>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57636</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37767</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091" t="s">
        <v>2340</v>
      </c>
      <c r="D4" s="3104"/>
      <c r="E4" s="3105" t="s">
        <v>2341</v>
      </c>
      <c r="F4" s="3106"/>
      <c r="G4" s="3091" t="s">
        <v>2342</v>
      </c>
      <c r="H4" s="3104"/>
      <c r="I4" s="3091" t="s">
        <v>2343</v>
      </c>
      <c r="J4" s="3104"/>
      <c r="K4" s="1913" t="s">
        <v>2344</v>
      </c>
      <c r="L4" s="2670"/>
      <c r="M4" s="2671"/>
      <c r="N4" s="2671"/>
      <c r="O4" s="2671"/>
      <c r="P4" s="3107" t="s">
        <v>2345</v>
      </c>
      <c r="Q4" s="3108"/>
      <c r="R4" s="3113" t="s">
        <v>2341</v>
      </c>
      <c r="S4" s="3114"/>
      <c r="T4" s="3113" t="s">
        <v>2342</v>
      </c>
      <c r="U4" s="3114"/>
      <c r="V4" s="3100" t="s">
        <v>2343</v>
      </c>
      <c r="W4" s="3100"/>
      <c r="X4" s="1433"/>
      <c r="Y4" s="3113" t="s">
        <v>2345</v>
      </c>
      <c r="Z4" s="3114"/>
      <c r="AA4" s="3101" t="s">
        <v>2341</v>
      </c>
      <c r="AB4" s="3101" t="s">
        <v>2342</v>
      </c>
      <c r="AC4" s="3101" t="s">
        <v>2343</v>
      </c>
    </row>
    <row r="5" spans="1:29" ht="15">
      <c r="A5" s="352"/>
      <c r="B5" s="353"/>
      <c r="C5" s="3121" t="s">
        <v>2346</v>
      </c>
      <c r="D5" s="3122"/>
      <c r="E5" s="3130" t="s">
        <v>3654</v>
      </c>
      <c r="F5" s="3129"/>
      <c r="G5" s="3131" t="s">
        <v>3759</v>
      </c>
      <c r="H5" s="3122"/>
      <c r="I5" s="3131" t="s">
        <v>3673</v>
      </c>
      <c r="J5" s="3122"/>
      <c r="K5" s="1914"/>
      <c r="L5" s="2670"/>
      <c r="M5" s="2671"/>
      <c r="N5" s="2671"/>
      <c r="O5" s="2671"/>
      <c r="P5" s="3109"/>
      <c r="Q5" s="3110"/>
      <c r="R5" s="3115"/>
      <c r="S5" s="3116"/>
      <c r="T5" s="3115"/>
      <c r="U5" s="3116"/>
      <c r="V5" s="3100"/>
      <c r="W5" s="3100"/>
      <c r="X5" s="1433"/>
      <c r="Y5" s="3115"/>
      <c r="Z5" s="3116"/>
      <c r="AA5" s="3102"/>
      <c r="AB5" s="3102"/>
      <c r="AC5" s="3102"/>
    </row>
    <row r="6" spans="1:29" ht="34.5" customHeight="1" thickBot="1">
      <c r="A6" s="354"/>
      <c r="B6" s="355"/>
      <c r="C6" s="3119" t="s">
        <v>2350</v>
      </c>
      <c r="D6" s="3120"/>
      <c r="E6" s="3132" t="s">
        <v>3653</v>
      </c>
      <c r="F6" s="3127"/>
      <c r="G6" s="3133" t="s">
        <v>3766</v>
      </c>
      <c r="H6" s="3120"/>
      <c r="I6" s="3133" t="s">
        <v>3652</v>
      </c>
      <c r="J6" s="3120"/>
      <c r="K6" s="1914" t="s">
        <v>2351</v>
      </c>
      <c r="L6" s="2670"/>
      <c r="M6" s="2671"/>
      <c r="N6" s="2671"/>
      <c r="O6" s="267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123" t="s">
        <v>2353</v>
      </c>
      <c r="Q7" s="3125"/>
      <c r="R7" s="671" t="s">
        <v>23</v>
      </c>
      <c r="S7" s="672">
        <f t="shared" ref="S7:S15" si="0">F7</f>
        <v>100</v>
      </c>
      <c r="T7" s="671" t="s">
        <v>23</v>
      </c>
      <c r="U7" s="672">
        <f t="shared" ref="U7:U15" si="1">H7</f>
        <v>100</v>
      </c>
      <c r="V7" s="671" t="s">
        <v>23</v>
      </c>
      <c r="W7" s="672">
        <f t="shared" ref="W7:W15" si="2">J7</f>
        <v>100</v>
      </c>
      <c r="X7" s="673"/>
      <c r="Y7" s="3123" t="s">
        <v>2353</v>
      </c>
      <c r="Z7" s="3124"/>
      <c r="AA7" s="52">
        <f>D7/F7</f>
        <v>1</v>
      </c>
      <c r="AB7" s="52">
        <f>D7/H7</f>
        <v>1</v>
      </c>
      <c r="AC7" s="52">
        <f>D7/J7</f>
        <v>1</v>
      </c>
    </row>
    <row r="8" spans="1:29" s="105" customFormat="1" ht="15.75" thickBot="1">
      <c r="A8" s="356" t="s">
        <v>2354</v>
      </c>
      <c r="B8" s="357"/>
      <c r="C8" s="362" t="s">
        <v>2355</v>
      </c>
      <c r="D8" s="359">
        <v>100</v>
      </c>
      <c r="E8" s="2879" t="s">
        <v>3769</v>
      </c>
      <c r="F8" s="361">
        <f>SUMIF(61:61,E8,62:62)-SUMIF(61:61,C8,62:62)+100</f>
        <v>100</v>
      </c>
      <c r="G8" s="2879" t="s">
        <v>3769</v>
      </c>
      <c r="H8" s="359">
        <f>SUMIF(61:61,G8,62:62)-SUMIF(61:61,C8,62:62)+100</f>
        <v>100</v>
      </c>
      <c r="I8" s="362" t="s">
        <v>3101</v>
      </c>
      <c r="J8" s="359">
        <f>SUMIF(61:61,I8,62:62)-SUMIF(61:61,C8,62:62)+100</f>
        <v>102</v>
      </c>
      <c r="K8" s="1915"/>
      <c r="L8" s="2672"/>
      <c r="M8" s="2622"/>
      <c r="N8" s="2622"/>
      <c r="O8" s="2622"/>
      <c r="P8" s="3123" t="s">
        <v>2356</v>
      </c>
      <c r="Q8" s="3124"/>
      <c r="R8" s="671" t="s">
        <v>23</v>
      </c>
      <c r="S8" s="672">
        <f t="shared" si="0"/>
        <v>100</v>
      </c>
      <c r="T8" s="671" t="s">
        <v>23</v>
      </c>
      <c r="U8" s="672">
        <f t="shared" si="1"/>
        <v>100</v>
      </c>
      <c r="V8" s="671" t="s">
        <v>23</v>
      </c>
      <c r="W8" s="672">
        <f t="shared" si="2"/>
        <v>102</v>
      </c>
      <c r="X8" s="673"/>
      <c r="Y8" s="3123" t="s">
        <v>2356</v>
      </c>
      <c r="Z8" s="3124"/>
      <c r="AA8" s="52">
        <f t="shared" ref="AA8:AA19" si="3">D8/F8</f>
        <v>1</v>
      </c>
      <c r="AB8" s="52">
        <f t="shared" ref="AB8:AB19" si="4">D8/H8</f>
        <v>1</v>
      </c>
      <c r="AC8" s="52">
        <f t="shared" ref="AC8:AC19" si="5">D8/J8</f>
        <v>0.98039215686274506</v>
      </c>
    </row>
    <row r="9" spans="1:29" s="105" customFormat="1">
      <c r="A9" s="363" t="s">
        <v>2357</v>
      </c>
      <c r="B9" s="63" t="s">
        <v>2358</v>
      </c>
      <c r="C9" s="2776"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093"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52">
        <f t="shared" si="5"/>
        <v>1</v>
      </c>
    </row>
    <row r="10" spans="1:29" s="372" customFormat="1" ht="27.75" thickBot="1">
      <c r="A10" s="367"/>
      <c r="B10" s="368" t="s">
        <v>2361</v>
      </c>
      <c r="C10" s="2872" t="s">
        <v>3641</v>
      </c>
      <c r="D10" s="122">
        <v>100</v>
      </c>
      <c r="E10" s="369" t="s">
        <v>3574</v>
      </c>
      <c r="F10" s="368">
        <f>SUMIF(65:65,E10,66:66)-SUMIF(65:65,C10,66:66)+100</f>
        <v>105</v>
      </c>
      <c r="G10" s="369" t="s">
        <v>3574</v>
      </c>
      <c r="H10" s="122">
        <f>SUMIF(65:65,G10,66:66)-SUMIF(65:65,C10,66:66)+100</f>
        <v>105</v>
      </c>
      <c r="I10" s="369" t="s">
        <v>3641</v>
      </c>
      <c r="J10" s="122">
        <f>SUMIF(65:65,I10,66:66)-SUMIF(65:65,C10,66:66)+100</f>
        <v>100</v>
      </c>
      <c r="K10" s="371">
        <v>5</v>
      </c>
      <c r="L10" s="2673"/>
      <c r="M10" s="2674"/>
      <c r="N10" s="2674"/>
      <c r="O10" s="2674"/>
      <c r="P10" s="3093"/>
      <c r="Q10" s="536" t="str">
        <f t="shared" si="6"/>
        <v>土地使用年限（年）</v>
      </c>
      <c r="R10" s="671" t="s">
        <v>17</v>
      </c>
      <c r="S10" s="672">
        <f t="shared" si="0"/>
        <v>105</v>
      </c>
      <c r="T10" s="671" t="s">
        <v>17</v>
      </c>
      <c r="U10" s="672">
        <f t="shared" si="1"/>
        <v>105</v>
      </c>
      <c r="V10" s="671" t="s">
        <v>17</v>
      </c>
      <c r="W10" s="672">
        <f t="shared" si="2"/>
        <v>100</v>
      </c>
      <c r="X10" s="673"/>
      <c r="Y10" s="2986"/>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093"/>
      <c r="Q11" s="536" t="str">
        <f t="shared" si="6"/>
        <v>容积率</v>
      </c>
      <c r="R11" s="671" t="s">
        <v>21</v>
      </c>
      <c r="S11" s="672">
        <f t="shared" si="0"/>
        <v>100</v>
      </c>
      <c r="T11" s="671" t="s">
        <v>21</v>
      </c>
      <c r="U11" s="672">
        <f t="shared" si="1"/>
        <v>100</v>
      </c>
      <c r="V11" s="671" t="s">
        <v>21</v>
      </c>
      <c r="W11" s="672">
        <f t="shared" si="2"/>
        <v>100</v>
      </c>
      <c r="X11" s="673"/>
      <c r="Y11" s="2986"/>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093"/>
      <c r="Q12" s="536">
        <f t="shared" si="6"/>
        <v>111</v>
      </c>
      <c r="R12" s="671" t="s">
        <v>21</v>
      </c>
      <c r="S12" s="672">
        <f t="shared" si="0"/>
        <v>100</v>
      </c>
      <c r="T12" s="671" t="s">
        <v>21</v>
      </c>
      <c r="U12" s="672">
        <f t="shared" si="1"/>
        <v>100</v>
      </c>
      <c r="V12" s="671" t="s">
        <v>21</v>
      </c>
      <c r="W12" s="672">
        <f t="shared" si="2"/>
        <v>100</v>
      </c>
      <c r="X12" s="673"/>
      <c r="Y12" s="2986"/>
      <c r="Z12" s="52">
        <f t="shared" si="7"/>
        <v>111</v>
      </c>
      <c r="AA12" s="52">
        <f>D12/F12</f>
        <v>1</v>
      </c>
      <c r="AB12" s="52">
        <f>D12/H12</f>
        <v>1</v>
      </c>
      <c r="AC12" s="52">
        <f>D12/J12</f>
        <v>1</v>
      </c>
    </row>
    <row r="13" spans="1:29" ht="27" hidden="1">
      <c r="A13" s="373"/>
      <c r="B13" s="453">
        <v>111</v>
      </c>
      <c r="C13" s="379"/>
      <c r="D13" s="380">
        <v>100</v>
      </c>
      <c r="E13" s="2812" t="s">
        <v>3651</v>
      </c>
      <c r="F13" s="368">
        <f>SUMIF(72:72,E13,73:73)-SUMIF(72:72,C13,73:73)+100</f>
        <v>100</v>
      </c>
      <c r="G13" s="2812" t="s">
        <v>3651</v>
      </c>
      <c r="H13" s="380">
        <f>SUMIF(72:72,G13,73:73)-SUMIF(72:72,C13,73:73)+100</f>
        <v>100</v>
      </c>
      <c r="I13" s="2812" t="s">
        <v>3651</v>
      </c>
      <c r="J13" s="380">
        <f>SUMIF(72:72,I13,73:73)-SUMIF(72:72,C13,73:73)+100</f>
        <v>100</v>
      </c>
      <c r="K13" s="1916"/>
      <c r="L13" s="2676"/>
      <c r="M13" s="2671"/>
      <c r="N13" s="2671"/>
      <c r="O13" s="2671"/>
      <c r="P13" s="3093"/>
      <c r="Q13" s="536">
        <f t="shared" si="6"/>
        <v>111</v>
      </c>
      <c r="R13" s="671" t="s">
        <v>21</v>
      </c>
      <c r="S13" s="672">
        <f t="shared" si="0"/>
        <v>100</v>
      </c>
      <c r="T13" s="671" t="s">
        <v>21</v>
      </c>
      <c r="U13" s="672">
        <f t="shared" si="1"/>
        <v>100</v>
      </c>
      <c r="V13" s="671" t="s">
        <v>21</v>
      </c>
      <c r="W13" s="672">
        <f t="shared" si="2"/>
        <v>100</v>
      </c>
      <c r="X13" s="673"/>
      <c r="Y13" s="2986"/>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093"/>
      <c r="Q14" s="536">
        <f t="shared" si="6"/>
        <v>111</v>
      </c>
      <c r="R14" s="671" t="s">
        <v>21</v>
      </c>
      <c r="S14" s="672">
        <f t="shared" si="0"/>
        <v>100</v>
      </c>
      <c r="T14" s="671" t="s">
        <v>21</v>
      </c>
      <c r="U14" s="672">
        <f t="shared" si="1"/>
        <v>100</v>
      </c>
      <c r="V14" s="671" t="s">
        <v>21</v>
      </c>
      <c r="W14" s="672">
        <f t="shared" si="2"/>
        <v>100</v>
      </c>
      <c r="X14" s="673"/>
      <c r="Y14" s="2986"/>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34" t="s">
        <v>2364</v>
      </c>
      <c r="Q15" s="1431" t="str">
        <f t="shared" si="6"/>
        <v>居住社区成熟度</v>
      </c>
      <c r="R15" s="674" t="s">
        <v>21</v>
      </c>
      <c r="S15" s="675">
        <f t="shared" si="0"/>
        <v>100</v>
      </c>
      <c r="T15" s="674" t="s">
        <v>21</v>
      </c>
      <c r="U15" s="675">
        <f t="shared" si="1"/>
        <v>100</v>
      </c>
      <c r="V15" s="674" t="s">
        <v>21</v>
      </c>
      <c r="W15" s="675">
        <f t="shared" si="2"/>
        <v>100</v>
      </c>
      <c r="X15" s="1433"/>
      <c r="Y15" s="3096"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35"/>
      <c r="Q16" s="1431"/>
      <c r="R16" s="674"/>
      <c r="S16" s="675"/>
      <c r="T16" s="674"/>
      <c r="U16" s="675"/>
      <c r="V16" s="674"/>
      <c r="W16" s="675"/>
      <c r="X16" s="1433"/>
      <c r="Y16" s="3097"/>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35"/>
      <c r="Q17" s="1431" t="str">
        <f>B17</f>
        <v>交通便捷度</v>
      </c>
      <c r="R17" s="674" t="s">
        <v>21</v>
      </c>
      <c r="S17" s="675">
        <f>F17</f>
        <v>100</v>
      </c>
      <c r="T17" s="674" t="s">
        <v>21</v>
      </c>
      <c r="U17" s="675">
        <f>H17</f>
        <v>100</v>
      </c>
      <c r="V17" s="674" t="s">
        <v>21</v>
      </c>
      <c r="W17" s="675">
        <f>J17</f>
        <v>98</v>
      </c>
      <c r="X17" s="1433"/>
      <c r="Y17" s="3097"/>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1923" t="s">
        <v>3572</v>
      </c>
      <c r="J18" s="393"/>
      <c r="K18" s="1921"/>
      <c r="L18" s="2676"/>
      <c r="M18" s="2671"/>
      <c r="N18" s="2671"/>
      <c r="O18" s="2671"/>
      <c r="P18" s="3135"/>
      <c r="Q18" s="1431"/>
      <c r="R18" s="674"/>
      <c r="S18" s="675"/>
      <c r="T18" s="674"/>
      <c r="U18" s="675"/>
      <c r="V18" s="674"/>
      <c r="W18" s="675"/>
      <c r="X18" s="1433"/>
      <c r="Y18" s="3097"/>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35"/>
      <c r="Q19" s="1431" t="str">
        <f>B19</f>
        <v>公共配套设施</v>
      </c>
      <c r="R19" s="674" t="s">
        <v>21</v>
      </c>
      <c r="S19" s="675">
        <f>F19</f>
        <v>100</v>
      </c>
      <c r="T19" s="674" t="s">
        <v>21</v>
      </c>
      <c r="U19" s="675">
        <f>H19</f>
        <v>100</v>
      </c>
      <c r="V19" s="674" t="s">
        <v>21</v>
      </c>
      <c r="W19" s="675">
        <f>J19</f>
        <v>98</v>
      </c>
      <c r="X19" s="1433"/>
      <c r="Y19" s="3097"/>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35"/>
      <c r="Q20" s="1431"/>
      <c r="R20" s="674"/>
      <c r="S20" s="675"/>
      <c r="T20" s="674"/>
      <c r="U20" s="675"/>
      <c r="V20" s="674"/>
      <c r="W20" s="675"/>
      <c r="X20" s="1433"/>
      <c r="Y20" s="3097"/>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35"/>
      <c r="Q21" s="1431" t="str">
        <f>B21</f>
        <v>基础设施水平</v>
      </c>
      <c r="R21" s="674" t="s">
        <v>17</v>
      </c>
      <c r="S21" s="675">
        <f>F21</f>
        <v>100</v>
      </c>
      <c r="T21" s="674" t="s">
        <v>17</v>
      </c>
      <c r="U21" s="675">
        <f>H21</f>
        <v>100</v>
      </c>
      <c r="V21" s="674" t="s">
        <v>17</v>
      </c>
      <c r="W21" s="675">
        <f>J21</f>
        <v>100</v>
      </c>
      <c r="X21" s="1433"/>
      <c r="Y21" s="3097"/>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35"/>
      <c r="Q22" s="1431"/>
      <c r="R22" s="674"/>
      <c r="S22" s="675"/>
      <c r="T22" s="674"/>
      <c r="U22" s="675"/>
      <c r="V22" s="674"/>
      <c r="W22" s="675"/>
      <c r="X22" s="1433"/>
      <c r="Y22" s="3097"/>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35"/>
      <c r="Q23" s="1431" t="str">
        <f>B23</f>
        <v>自然及人文环境</v>
      </c>
      <c r="R23" s="674" t="s">
        <v>21</v>
      </c>
      <c r="S23" s="675">
        <f>F23</f>
        <v>100</v>
      </c>
      <c r="T23" s="674" t="s">
        <v>21</v>
      </c>
      <c r="U23" s="675">
        <f>H23</f>
        <v>100</v>
      </c>
      <c r="V23" s="674" t="s">
        <v>21</v>
      </c>
      <c r="W23" s="675">
        <f>J23</f>
        <v>98</v>
      </c>
      <c r="X23" s="1433"/>
      <c r="Y23" s="3097"/>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35"/>
      <c r="Q24" s="1431"/>
      <c r="R24" s="674"/>
      <c r="S24" s="675"/>
      <c r="T24" s="674"/>
      <c r="U24" s="675"/>
      <c r="V24" s="674"/>
      <c r="W24" s="675"/>
      <c r="X24" s="1433"/>
      <c r="Y24" s="3097"/>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35"/>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097"/>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35"/>
      <c r="Q26" s="1431" t="str">
        <f t="shared" si="11"/>
        <v>朝向</v>
      </c>
      <c r="R26" s="674" t="s">
        <v>21</v>
      </c>
      <c r="S26" s="675">
        <f t="shared" si="12"/>
        <v>100</v>
      </c>
      <c r="T26" s="674" t="s">
        <v>21</v>
      </c>
      <c r="U26" s="675">
        <f t="shared" si="13"/>
        <v>100</v>
      </c>
      <c r="V26" s="674" t="s">
        <v>21</v>
      </c>
      <c r="W26" s="675">
        <f t="shared" si="14"/>
        <v>100</v>
      </c>
      <c r="X26" s="1433"/>
      <c r="Y26" s="3097"/>
      <c r="Z26" s="1432" t="str">
        <f>Q26</f>
        <v>朝向</v>
      </c>
      <c r="AA26" s="1432">
        <f t="shared" si="15"/>
        <v>1</v>
      </c>
      <c r="AB26" s="1432">
        <f t="shared" si="16"/>
        <v>1</v>
      </c>
      <c r="AC26" s="1432">
        <f t="shared" si="17"/>
        <v>1</v>
      </c>
    </row>
    <row r="27" spans="1:29" s="105" customFormat="1" ht="15.75" thickBot="1">
      <c r="A27" s="376"/>
      <c r="B27" s="2811"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35"/>
      <c r="Q27" s="536" t="str">
        <f t="shared" si="11"/>
        <v>临海距离</v>
      </c>
      <c r="R27" s="671" t="s">
        <v>21</v>
      </c>
      <c r="S27" s="672">
        <f t="shared" si="12"/>
        <v>100</v>
      </c>
      <c r="T27" s="671" t="s">
        <v>21</v>
      </c>
      <c r="U27" s="672">
        <f t="shared" si="13"/>
        <v>100</v>
      </c>
      <c r="V27" s="671" t="s">
        <v>21</v>
      </c>
      <c r="W27" s="672">
        <f t="shared" si="14"/>
        <v>100</v>
      </c>
      <c r="X27" s="673"/>
      <c r="Y27" s="3097"/>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35"/>
      <c r="Q28" s="1431">
        <f t="shared" si="11"/>
        <v>111</v>
      </c>
      <c r="R28" s="674" t="s">
        <v>21</v>
      </c>
      <c r="S28" s="675">
        <f t="shared" si="12"/>
        <v>100</v>
      </c>
      <c r="T28" s="674" t="s">
        <v>21</v>
      </c>
      <c r="U28" s="675">
        <f t="shared" si="13"/>
        <v>100</v>
      </c>
      <c r="V28" s="674" t="s">
        <v>21</v>
      </c>
      <c r="W28" s="675">
        <f t="shared" si="14"/>
        <v>100</v>
      </c>
      <c r="X28" s="1433"/>
      <c r="Y28" s="3097"/>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35"/>
      <c r="Q29" s="1431">
        <f t="shared" si="11"/>
        <v>111</v>
      </c>
      <c r="R29" s="674" t="s">
        <v>21</v>
      </c>
      <c r="S29" s="675">
        <f t="shared" si="12"/>
        <v>100</v>
      </c>
      <c r="T29" s="674" t="s">
        <v>21</v>
      </c>
      <c r="U29" s="675">
        <f t="shared" si="13"/>
        <v>100</v>
      </c>
      <c r="V29" s="674" t="s">
        <v>21</v>
      </c>
      <c r="W29" s="675">
        <f t="shared" si="14"/>
        <v>100</v>
      </c>
      <c r="X29" s="1433"/>
      <c r="Y29" s="3097"/>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35"/>
      <c r="Q30" s="1431">
        <f t="shared" si="11"/>
        <v>111</v>
      </c>
      <c r="R30" s="674" t="s">
        <v>21</v>
      </c>
      <c r="S30" s="675">
        <f t="shared" si="12"/>
        <v>100</v>
      </c>
      <c r="T30" s="674" t="s">
        <v>21</v>
      </c>
      <c r="U30" s="675">
        <f t="shared" si="13"/>
        <v>100</v>
      </c>
      <c r="V30" s="674" t="s">
        <v>21</v>
      </c>
      <c r="W30" s="675">
        <f t="shared" si="14"/>
        <v>100</v>
      </c>
      <c r="X30" s="1433"/>
      <c r="Y30" s="3097"/>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35"/>
      <c r="Q31" s="1431">
        <f t="shared" si="11"/>
        <v>111</v>
      </c>
      <c r="R31" s="674" t="s">
        <v>21</v>
      </c>
      <c r="S31" s="675">
        <f t="shared" si="12"/>
        <v>100</v>
      </c>
      <c r="T31" s="674" t="s">
        <v>21</v>
      </c>
      <c r="U31" s="675">
        <f t="shared" si="13"/>
        <v>100</v>
      </c>
      <c r="V31" s="674" t="s">
        <v>21</v>
      </c>
      <c r="W31" s="675">
        <f t="shared" si="14"/>
        <v>100</v>
      </c>
      <c r="X31" s="1433"/>
      <c r="Y31" s="3097"/>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36" t="s">
        <v>2369</v>
      </c>
      <c r="Q32" s="1431" t="str">
        <f t="shared" si="11"/>
        <v>建筑类型</v>
      </c>
      <c r="R32" s="674" t="s">
        <v>21</v>
      </c>
      <c r="S32" s="675">
        <f t="shared" si="12"/>
        <v>100</v>
      </c>
      <c r="T32" s="674" t="s">
        <v>21</v>
      </c>
      <c r="U32" s="675">
        <f t="shared" si="13"/>
        <v>100</v>
      </c>
      <c r="V32" s="674" t="s">
        <v>21</v>
      </c>
      <c r="W32" s="675">
        <f t="shared" si="14"/>
        <v>100</v>
      </c>
      <c r="X32" s="1433"/>
      <c r="Y32" s="3099"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37"/>
      <c r="Q33" s="537" t="str">
        <f t="shared" si="11"/>
        <v>项目建筑规模</v>
      </c>
      <c r="R33" s="676" t="s">
        <v>21</v>
      </c>
      <c r="S33" s="677">
        <f t="shared" si="12"/>
        <v>100</v>
      </c>
      <c r="T33" s="676" t="s">
        <v>21</v>
      </c>
      <c r="U33" s="677">
        <f t="shared" si="13"/>
        <v>100</v>
      </c>
      <c r="V33" s="676" t="s">
        <v>21</v>
      </c>
      <c r="W33" s="677">
        <f t="shared" si="14"/>
        <v>100</v>
      </c>
      <c r="X33" s="678"/>
      <c r="Y33" s="3099"/>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37"/>
      <c r="Q34" s="1431" t="str">
        <f t="shared" si="11"/>
        <v>建筑结构</v>
      </c>
      <c r="R34" s="674" t="s">
        <v>21</v>
      </c>
      <c r="S34" s="675">
        <f t="shared" si="12"/>
        <v>100</v>
      </c>
      <c r="T34" s="674" t="s">
        <v>21</v>
      </c>
      <c r="U34" s="675">
        <f t="shared" si="13"/>
        <v>100</v>
      </c>
      <c r="V34" s="674" t="s">
        <v>21</v>
      </c>
      <c r="W34" s="675">
        <f t="shared" si="14"/>
        <v>100</v>
      </c>
      <c r="X34" s="1433"/>
      <c r="Y34" s="3099"/>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37"/>
      <c r="Q35" s="1431" t="str">
        <f t="shared" si="11"/>
        <v>建筑品质</v>
      </c>
      <c r="R35" s="674" t="s">
        <v>21</v>
      </c>
      <c r="S35" s="675">
        <f t="shared" si="12"/>
        <v>100</v>
      </c>
      <c r="T35" s="674" t="s">
        <v>21</v>
      </c>
      <c r="U35" s="675">
        <f t="shared" si="13"/>
        <v>100</v>
      </c>
      <c r="V35" s="674" t="s">
        <v>21</v>
      </c>
      <c r="W35" s="675">
        <f t="shared" si="14"/>
        <v>100</v>
      </c>
      <c r="X35" s="1433"/>
      <c r="Y35" s="3099"/>
      <c r="Z35" s="1432" t="str">
        <f t="shared" si="18"/>
        <v>建筑品质</v>
      </c>
      <c r="AA35" s="1432">
        <f t="shared" si="15"/>
        <v>1</v>
      </c>
      <c r="AB35" s="1432">
        <f t="shared" si="16"/>
        <v>1</v>
      </c>
      <c r="AC35" s="1432">
        <f t="shared" si="17"/>
        <v>1</v>
      </c>
    </row>
    <row r="36" spans="1:29" ht="15">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37"/>
      <c r="Q36" s="1431" t="str">
        <f t="shared" si="11"/>
        <v>公共部分装修</v>
      </c>
      <c r="R36" s="674" t="s">
        <v>21</v>
      </c>
      <c r="S36" s="675">
        <f t="shared" si="12"/>
        <v>100</v>
      </c>
      <c r="T36" s="674" t="s">
        <v>21</v>
      </c>
      <c r="U36" s="675">
        <f t="shared" si="13"/>
        <v>100</v>
      </c>
      <c r="V36" s="674" t="s">
        <v>21</v>
      </c>
      <c r="W36" s="675">
        <f t="shared" si="14"/>
        <v>100</v>
      </c>
      <c r="X36" s="1433"/>
      <c r="Y36" s="3099"/>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v>102</v>
      </c>
      <c r="G37" s="419">
        <v>1</v>
      </c>
      <c r="H37" s="122">
        <v>102</v>
      </c>
      <c r="I37" s="418">
        <v>0.85</v>
      </c>
      <c r="J37" s="122">
        <v>100</v>
      </c>
      <c r="K37" s="371">
        <v>2</v>
      </c>
      <c r="L37" s="2672"/>
      <c r="M37" s="2622"/>
      <c r="N37" s="2622"/>
      <c r="O37" s="2622"/>
      <c r="P37" s="3137"/>
      <c r="Q37" s="536" t="str">
        <f t="shared" si="11"/>
        <v>成新度</v>
      </c>
      <c r="R37" s="671" t="s">
        <v>21</v>
      </c>
      <c r="S37" s="672">
        <f t="shared" si="12"/>
        <v>102</v>
      </c>
      <c r="T37" s="671" t="s">
        <v>21</v>
      </c>
      <c r="U37" s="672">
        <f t="shared" si="13"/>
        <v>102</v>
      </c>
      <c r="V37" s="671" t="s">
        <v>21</v>
      </c>
      <c r="W37" s="672">
        <f t="shared" si="14"/>
        <v>100</v>
      </c>
      <c r="X37" s="673"/>
      <c r="Y37" s="3099"/>
      <c r="Z37" s="52" t="str">
        <f t="shared" si="18"/>
        <v>成新度</v>
      </c>
      <c r="AA37" s="52">
        <f t="shared" si="15"/>
        <v>0.98039215686274506</v>
      </c>
      <c r="AB37" s="52">
        <f t="shared" si="16"/>
        <v>0.98039215686274506</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37" t="s">
        <v>2369</v>
      </c>
      <c r="Q38" s="1431" t="str">
        <f t="shared" si="11"/>
        <v>物业管理</v>
      </c>
      <c r="R38" s="674" t="s">
        <v>21</v>
      </c>
      <c r="S38" s="675">
        <f t="shared" si="12"/>
        <v>100</v>
      </c>
      <c r="T38" s="674" t="s">
        <v>21</v>
      </c>
      <c r="U38" s="675">
        <f t="shared" si="13"/>
        <v>100</v>
      </c>
      <c r="V38" s="674" t="s">
        <v>21</v>
      </c>
      <c r="W38" s="675">
        <f t="shared" si="14"/>
        <v>100</v>
      </c>
      <c r="X38" s="1433"/>
      <c r="Y38" s="3099"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37"/>
      <c r="Q39" s="1431" t="str">
        <f t="shared" si="11"/>
        <v>市政基础设施</v>
      </c>
      <c r="R39" s="674" t="s">
        <v>21</v>
      </c>
      <c r="S39" s="675">
        <f t="shared" si="12"/>
        <v>100</v>
      </c>
      <c r="T39" s="674" t="s">
        <v>21</v>
      </c>
      <c r="U39" s="675">
        <f t="shared" si="13"/>
        <v>100</v>
      </c>
      <c r="V39" s="674" t="s">
        <v>21</v>
      </c>
      <c r="W39" s="675">
        <f t="shared" si="14"/>
        <v>100</v>
      </c>
      <c r="X39" s="1433"/>
      <c r="Y39" s="3099"/>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37"/>
      <c r="Q40" s="1431" t="str">
        <f t="shared" si="11"/>
        <v>房型</v>
      </c>
      <c r="R40" s="674" t="s">
        <v>21</v>
      </c>
      <c r="S40" s="675">
        <f t="shared" si="12"/>
        <v>100</v>
      </c>
      <c r="T40" s="674" t="s">
        <v>21</v>
      </c>
      <c r="U40" s="675">
        <f t="shared" si="13"/>
        <v>100</v>
      </c>
      <c r="V40" s="674" t="s">
        <v>21</v>
      </c>
      <c r="W40" s="675">
        <f t="shared" si="14"/>
        <v>100</v>
      </c>
      <c r="X40" s="1433"/>
      <c r="Y40" s="3099"/>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99</v>
      </c>
      <c r="I41" s="413" t="s">
        <v>3643</v>
      </c>
      <c r="J41" s="380">
        <f>SUMIF(120:120,I41,121:121)-SUMIF(120:120,C41,121:121)+100</f>
        <v>101</v>
      </c>
      <c r="K41" s="1916"/>
      <c r="L41" s="2675"/>
      <c r="M41" s="2677"/>
      <c r="N41" s="2677"/>
      <c r="O41" s="2677"/>
      <c r="P41" s="3137"/>
      <c r="Q41" s="537" t="str">
        <f t="shared" si="11"/>
        <v>单套/主力户型建筑面积</v>
      </c>
      <c r="R41" s="676" t="s">
        <v>21</v>
      </c>
      <c r="S41" s="677">
        <f t="shared" si="12"/>
        <v>100</v>
      </c>
      <c r="T41" s="676" t="s">
        <v>21</v>
      </c>
      <c r="U41" s="677">
        <f t="shared" si="13"/>
        <v>99</v>
      </c>
      <c r="V41" s="676" t="s">
        <v>21</v>
      </c>
      <c r="W41" s="677">
        <f t="shared" si="14"/>
        <v>101</v>
      </c>
      <c r="X41" s="678"/>
      <c r="Y41" s="3099"/>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37"/>
      <c r="Q42" s="1431" t="str">
        <f t="shared" si="11"/>
        <v>内部装修</v>
      </c>
      <c r="R42" s="674" t="s">
        <v>21</v>
      </c>
      <c r="S42" s="675">
        <f t="shared" si="12"/>
        <v>100</v>
      </c>
      <c r="T42" s="674" t="s">
        <v>21</v>
      </c>
      <c r="U42" s="675">
        <f t="shared" si="13"/>
        <v>100</v>
      </c>
      <c r="V42" s="674" t="s">
        <v>21</v>
      </c>
      <c r="W42" s="675">
        <f t="shared" si="14"/>
        <v>103</v>
      </c>
      <c r="X42" s="1433"/>
      <c r="Y42" s="3099"/>
      <c r="Z42" s="1432" t="str">
        <f t="shared" si="18"/>
        <v>内部装修</v>
      </c>
      <c r="AA42" s="1432">
        <f t="shared" si="15"/>
        <v>1</v>
      </c>
      <c r="AB42" s="1432">
        <f t="shared" si="16"/>
        <v>1</v>
      </c>
      <c r="AC42" s="1432">
        <f t="shared" si="17"/>
        <v>0.970873786407767</v>
      </c>
    </row>
    <row r="43" spans="1:29" ht="15">
      <c r="A43" s="415"/>
      <c r="B43" s="3241" t="s">
        <v>3844</v>
      </c>
      <c r="C43" s="1928" t="s">
        <v>3571</v>
      </c>
      <c r="D43" s="380">
        <v>100</v>
      </c>
      <c r="E43" s="1928" t="s">
        <v>3569</v>
      </c>
      <c r="F43" s="406">
        <f>SUMIF(124:124,E43,125:125)-SUMIF(124:124,C43,125:125)+100</f>
        <v>105</v>
      </c>
      <c r="G43" s="1928" t="s">
        <v>3569</v>
      </c>
      <c r="H43" s="380">
        <f>SUMIF(124:124,G43,125:125)-SUMIF(124:124,C43,125:125)+100</f>
        <v>105</v>
      </c>
      <c r="I43" s="1928" t="s">
        <v>3569</v>
      </c>
      <c r="J43" s="380">
        <f>SUMIF(124:124,I43,125:125)-SUMIF(124:124,C43,125:125)+100</f>
        <v>105</v>
      </c>
      <c r="K43" s="371">
        <v>5</v>
      </c>
      <c r="L43" s="2676"/>
      <c r="M43" s="2671"/>
      <c r="N43" s="2671"/>
      <c r="O43" s="2671"/>
      <c r="P43" s="3137"/>
      <c r="Q43" s="1431" t="str">
        <f t="shared" si="11"/>
        <v>内部维护情况</v>
      </c>
      <c r="R43" s="674" t="s">
        <v>21</v>
      </c>
      <c r="S43" s="675">
        <f t="shared" si="12"/>
        <v>105</v>
      </c>
      <c r="T43" s="674" t="s">
        <v>21</v>
      </c>
      <c r="U43" s="675">
        <f t="shared" si="13"/>
        <v>105</v>
      </c>
      <c r="V43" s="674" t="s">
        <v>21</v>
      </c>
      <c r="W43" s="675">
        <f t="shared" si="14"/>
        <v>105</v>
      </c>
      <c r="X43" s="1433"/>
      <c r="Y43" s="3099"/>
      <c r="Z43" s="1432" t="str">
        <f t="shared" si="18"/>
        <v>内部维护情况</v>
      </c>
      <c r="AA43" s="1432">
        <f t="shared" si="15"/>
        <v>0.95238095238095233</v>
      </c>
      <c r="AB43" s="1432">
        <f t="shared" si="16"/>
        <v>0.95238095238095233</v>
      </c>
      <c r="AC43" s="1432">
        <f t="shared" si="17"/>
        <v>0.95238095238095233</v>
      </c>
    </row>
    <row r="44" spans="1:29" s="105" customFormat="1" ht="15">
      <c r="A44" s="416"/>
      <c r="B44" s="2811" t="s">
        <v>3660</v>
      </c>
      <c r="C44" s="2813" t="s">
        <v>3661</v>
      </c>
      <c r="D44" s="122">
        <v>100</v>
      </c>
      <c r="E44" s="2813" t="s">
        <v>3661</v>
      </c>
      <c r="F44" s="368">
        <f>SUMIF(126:126,E44,127:127)-SUMIF(126:126,C44,127:127)+100</f>
        <v>100</v>
      </c>
      <c r="G44" s="2813" t="s">
        <v>3658</v>
      </c>
      <c r="H44" s="380">
        <f>SUMIF(126:126,G44,127:127)-SUMIF(126:126,C44,127:127)+100</f>
        <v>100</v>
      </c>
      <c r="I44" s="2812" t="s">
        <v>3659</v>
      </c>
      <c r="J44" s="380">
        <f>SUMIF(126:126,I44,127:127)-SUMIF(126:126,C44,127:127)+100</f>
        <v>105</v>
      </c>
      <c r="K44" s="1916"/>
      <c r="L44" s="2672"/>
      <c r="M44" s="2622"/>
      <c r="N44" s="2622"/>
      <c r="O44" s="2622"/>
      <c r="P44" s="3137"/>
      <c r="Q44" s="536" t="str">
        <f t="shared" si="11"/>
        <v>地下层数</v>
      </c>
      <c r="R44" s="671" t="s">
        <v>21</v>
      </c>
      <c r="S44" s="672">
        <f t="shared" si="12"/>
        <v>100</v>
      </c>
      <c r="T44" s="671" t="s">
        <v>21</v>
      </c>
      <c r="U44" s="672">
        <f t="shared" si="13"/>
        <v>100</v>
      </c>
      <c r="V44" s="671" t="s">
        <v>21</v>
      </c>
      <c r="W44" s="672">
        <f t="shared" si="14"/>
        <v>105</v>
      </c>
      <c r="X44" s="673"/>
      <c r="Y44" s="3099"/>
      <c r="Z44" s="52" t="str">
        <f t="shared" si="18"/>
        <v>地下层数</v>
      </c>
      <c r="AA44" s="52">
        <f t="shared" si="15"/>
        <v>1</v>
      </c>
      <c r="AB44" s="52">
        <f t="shared" si="16"/>
        <v>1</v>
      </c>
      <c r="AC44" s="52">
        <f t="shared" si="17"/>
        <v>0.95238095238095233</v>
      </c>
    </row>
    <row r="45" spans="1:29" ht="15">
      <c r="A45" s="415"/>
      <c r="B45" s="2811" t="s">
        <v>3662</v>
      </c>
      <c r="C45" s="2812" t="s">
        <v>3663</v>
      </c>
      <c r="D45" s="380">
        <v>100</v>
      </c>
      <c r="E45" s="2812" t="s">
        <v>3663</v>
      </c>
      <c r="F45" s="406">
        <f>SUMIF(128:128,E45,129:129)-SUMIF(128:128,C45,129:129)+100</f>
        <v>100</v>
      </c>
      <c r="G45" s="2812" t="s">
        <v>3663</v>
      </c>
      <c r="H45" s="380">
        <f>SUMIF(128:128,G45,129:129)-SUMIF(128:128,C45,129:129)+100</f>
        <v>100</v>
      </c>
      <c r="I45" s="2812" t="s">
        <v>3663</v>
      </c>
      <c r="J45" s="380">
        <f>SUMIF(128:128,I45,129:129)-SUMIF(128:128,C45,129:129)+100</f>
        <v>100</v>
      </c>
      <c r="K45" s="1916"/>
      <c r="L45" s="2676"/>
      <c r="M45" s="2671"/>
      <c r="N45" s="2671"/>
      <c r="O45" s="2671"/>
      <c r="P45" s="3137"/>
      <c r="Q45" s="1431" t="str">
        <f t="shared" si="11"/>
        <v>地上层数</v>
      </c>
      <c r="R45" s="674" t="s">
        <v>21</v>
      </c>
      <c r="S45" s="675">
        <f t="shared" si="12"/>
        <v>100</v>
      </c>
      <c r="T45" s="674" t="s">
        <v>21</v>
      </c>
      <c r="U45" s="675">
        <f t="shared" si="13"/>
        <v>100</v>
      </c>
      <c r="V45" s="674" t="s">
        <v>21</v>
      </c>
      <c r="W45" s="675">
        <f t="shared" si="14"/>
        <v>100</v>
      </c>
      <c r="X45" s="1433"/>
      <c r="Y45" s="3099"/>
      <c r="Z45" s="1432" t="str">
        <f t="shared" si="18"/>
        <v>地上层数</v>
      </c>
      <c r="AA45" s="1432">
        <f t="shared" si="15"/>
        <v>1</v>
      </c>
      <c r="AB45" s="1432">
        <f t="shared" si="16"/>
        <v>1</v>
      </c>
      <c r="AC45" s="1432">
        <f t="shared" si="17"/>
        <v>1</v>
      </c>
    </row>
    <row r="46" spans="1:29" ht="15.75" thickBot="1">
      <c r="A46" s="421"/>
      <c r="B46" s="2874"/>
      <c r="C46" s="2875"/>
      <c r="D46" s="383">
        <v>100</v>
      </c>
      <c r="E46" s="2875"/>
      <c r="F46" s="384">
        <f>SUMIF(130:130,E46,131:131)-SUMIF(130:130,C46,131:131)+100</f>
        <v>100</v>
      </c>
      <c r="G46" s="2875"/>
      <c r="H46" s="383">
        <f>SUMIF(130:130,G46,131:131)-SUMIF(130:130,C46,131:131)+100</f>
        <v>100</v>
      </c>
      <c r="I46" s="2875"/>
      <c r="J46" s="383">
        <f>SUMIF(130:130,I46,131:131)-SUMIF(130:130,C46,131:131)+100</f>
        <v>100</v>
      </c>
      <c r="K46" s="1916"/>
      <c r="L46" s="2676"/>
      <c r="M46" s="2671"/>
      <c r="N46" s="2671"/>
      <c r="O46" s="2671"/>
      <c r="P46" s="3138"/>
      <c r="Q46" s="1431">
        <f t="shared" si="11"/>
        <v>0</v>
      </c>
      <c r="R46" s="674" t="s">
        <v>20</v>
      </c>
      <c r="S46" s="675">
        <f t="shared" si="12"/>
        <v>100</v>
      </c>
      <c r="T46" s="674" t="s">
        <v>20</v>
      </c>
      <c r="U46" s="675">
        <f t="shared" si="13"/>
        <v>100</v>
      </c>
      <c r="V46" s="674" t="s">
        <v>20</v>
      </c>
      <c r="W46" s="675">
        <f t="shared" si="14"/>
        <v>100</v>
      </c>
      <c r="X46" s="1433"/>
      <c r="Y46" s="3139"/>
      <c r="Z46" s="1432">
        <f t="shared" si="18"/>
        <v>0</v>
      </c>
      <c r="AA46" s="1432">
        <f t="shared" si="15"/>
        <v>1</v>
      </c>
      <c r="AB46" s="1432">
        <f t="shared" si="16"/>
        <v>1</v>
      </c>
      <c r="AC46" s="1432">
        <f t="shared" si="17"/>
        <v>1</v>
      </c>
    </row>
    <row r="47" spans="1:29" ht="15">
      <c r="A47" s="422" t="s">
        <v>2381</v>
      </c>
      <c r="B47" s="423"/>
      <c r="C47" s="1229" t="s">
        <v>19</v>
      </c>
      <c r="D47" s="424"/>
      <c r="E47" s="425">
        <f>42000*D50</f>
        <v>41160</v>
      </c>
      <c r="F47" s="426"/>
      <c r="G47" s="427">
        <f>47000*D50</f>
        <v>46060</v>
      </c>
      <c r="H47" s="428"/>
      <c r="I47" s="425">
        <f>38900</f>
        <v>38900</v>
      </c>
      <c r="J47" s="428"/>
      <c r="K47" s="1933"/>
      <c r="L47" s="2678"/>
      <c r="M47" s="2671"/>
      <c r="N47" s="2671"/>
      <c r="O47" s="2671"/>
      <c r="P47" s="3094" t="str">
        <f>A47</f>
        <v>成交单价（元/平方米）</v>
      </c>
      <c r="Q47" s="3094"/>
      <c r="R47" s="3100">
        <f>E47</f>
        <v>41160</v>
      </c>
      <c r="S47" s="3100"/>
      <c r="T47" s="3100">
        <f>G47</f>
        <v>46060</v>
      </c>
      <c r="U47" s="3100"/>
      <c r="V47" s="3100">
        <f>I47</f>
        <v>38900</v>
      </c>
      <c r="W47" s="3100"/>
      <c r="X47" s="391"/>
      <c r="Y47" s="680"/>
      <c r="Z47" s="391"/>
      <c r="AA47" s="391"/>
      <c r="AB47" s="391"/>
      <c r="AC47" s="391"/>
    </row>
    <row r="48" spans="1:29" ht="15.75" thickBot="1">
      <c r="A48" s="429" t="s">
        <v>2382</v>
      </c>
      <c r="B48" s="430"/>
      <c r="C48" s="1230">
        <f>R49</f>
        <v>37767</v>
      </c>
      <c r="D48" s="2337" t="s">
        <v>2861</v>
      </c>
      <c r="E48" s="1231">
        <f>R48</f>
        <v>36601</v>
      </c>
      <c r="F48" s="2338"/>
      <c r="G48" s="1230">
        <f>T48</f>
        <v>41372</v>
      </c>
      <c r="H48" s="2338"/>
      <c r="I48" s="1231">
        <f>V48</f>
        <v>35329</v>
      </c>
      <c r="J48" s="2338"/>
      <c r="K48" s="2339">
        <f>F48+H48+J48</f>
        <v>0</v>
      </c>
      <c r="L48" s="2678"/>
      <c r="M48" s="2671"/>
      <c r="N48" s="2671"/>
      <c r="O48" s="2671"/>
      <c r="P48" s="3094" t="str">
        <f>A48</f>
        <v>比较价值（元/平方米）</v>
      </c>
      <c r="Q48" s="3094"/>
      <c r="R48" s="3100">
        <f>IF(F1="售价",ROUND(PRODUCT(R47,AA7:AA46),0),ROUND(PRODUCT(R47,AA7:AA46),1))</f>
        <v>36601</v>
      </c>
      <c r="S48" s="3100"/>
      <c r="T48" s="3100">
        <f>IF(F1="售价",ROUND(PRODUCT(T47,AB7:AB46),0),ROUND(PRODUCT(T47,AB7:AB46),1))</f>
        <v>41372</v>
      </c>
      <c r="U48" s="3100"/>
      <c r="V48" s="3100">
        <f>IF(F1="售价",ROUND(PRODUCT(V47,AC7:AC46),0),ROUND(PRODUCT(V47,AC7:AC46),1))</f>
        <v>35329</v>
      </c>
      <c r="W48" s="3100"/>
      <c r="X48" s="391"/>
      <c r="Y48" s="391"/>
      <c r="Z48" s="391"/>
      <c r="AA48" s="391"/>
      <c r="AB48" s="391"/>
      <c r="AC48" s="391"/>
    </row>
    <row r="49" spans="1:29" ht="15.75" thickBot="1">
      <c r="A49" s="433" t="s">
        <v>2383</v>
      </c>
      <c r="B49" s="434"/>
      <c r="C49" s="1232">
        <f>R49</f>
        <v>37767</v>
      </c>
      <c r="D49" s="355"/>
      <c r="E49" s="355"/>
      <c r="F49" s="355"/>
      <c r="G49" s="355"/>
      <c r="H49" s="355"/>
      <c r="I49" s="355"/>
      <c r="J49" s="355"/>
      <c r="K49" s="1934"/>
      <c r="L49" s="2678"/>
      <c r="M49" s="2671"/>
      <c r="N49" s="2671"/>
      <c r="O49" s="2671"/>
      <c r="P49" s="3088" t="str">
        <f>A49</f>
        <v>估价对象XX用房的比较价值（楼面单价，元/平方米）</v>
      </c>
      <c r="Q49" s="3089"/>
      <c r="R49" s="3140">
        <f>IF(F1="售价",ROUND(IF(D48="简单平均",AVERAGE(R48:V48),R48*F48+T48*H48+V48*J48),0),ROUND(IF(D48="简单平均",AVERAGE(R48:V48),R48*F48+T48*H48+V48*J48),1))</f>
        <v>37767</v>
      </c>
      <c r="S49" s="3140"/>
      <c r="T49" s="3140"/>
      <c r="U49" s="3140"/>
      <c r="V49" s="3140"/>
      <c r="W49" s="3140"/>
      <c r="X49" s="391"/>
      <c r="Y49" s="391"/>
      <c r="Z49" s="391"/>
      <c r="AA49" s="391"/>
      <c r="AB49" s="391"/>
      <c r="AC49" s="391"/>
    </row>
    <row r="50" spans="1:29">
      <c r="A50" s="2671"/>
      <c r="B50" s="2671"/>
      <c r="C50" s="2671"/>
      <c r="D50" s="2671">
        <v>0.98</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0.12455943826671412</v>
      </c>
      <c r="F52" s="441" t="str">
        <f>IF(OR(E52&gt;=0.3,E52&lt;=-0.3),"超过30%","")</f>
        <v/>
      </c>
      <c r="G52" s="440">
        <f>IF(G47&lt;G48,G48/G47-1,G47/G48-1)</f>
        <v>0.11331335202552451</v>
      </c>
      <c r="H52" s="441" t="str">
        <f>IF(OR(G52&gt;=0.3,G52&lt;=-0.3),"超过30%","")</f>
        <v/>
      </c>
      <c r="I52" s="440">
        <f>IF(I47&lt;I48,I48/I47-1,I47/I48-1)</f>
        <v>0.10107843414758411</v>
      </c>
      <c r="J52" s="441" t="str">
        <f>IF(OR(I52&gt;=0.3,I52&lt;=-0.3),"超过30%","")</f>
        <v/>
      </c>
      <c r="K52" s="2683"/>
      <c r="L52" s="2679"/>
      <c r="M52" s="2671"/>
      <c r="N52" s="2671"/>
      <c r="O52" s="2671"/>
    </row>
    <row r="53" spans="1:29" ht="13.5" customHeight="1">
      <c r="A53" s="2671"/>
      <c r="B53" s="2671"/>
      <c r="C53" s="438" t="s">
        <v>2385</v>
      </c>
      <c r="D53" s="442"/>
      <c r="E53" s="440">
        <f>IF(E48&lt;G48,G48/E48-1,E48/G48-1)</f>
        <v>0.13035162973689252</v>
      </c>
      <c r="F53" s="441" t="str">
        <f>IF(OR(E53&gt;=0.2,E53&lt;=-0.2),"超过20%","")</f>
        <v/>
      </c>
      <c r="G53" s="440">
        <f>IF(G48&lt;I48,I48/G48-1,G48/I48-1)</f>
        <v>0.17104927962863381</v>
      </c>
      <c r="H53" s="441" t="str">
        <f>IF(OR(G53&gt;=0.2,G53&lt;=-0.2),"超过20%","")</f>
        <v/>
      </c>
      <c r="I53" s="440">
        <f>IF(I48&lt;E48,E48/I48-1,I48/E48-1)</f>
        <v>3.6004415635879861E-2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0.18406169665809768</v>
      </c>
      <c r="H54" s="441" t="str">
        <f>IF(OR(G54&gt;=0.3,G54&lt;=-0.3),"超过30%","")</f>
        <v/>
      </c>
      <c r="I54" s="440">
        <f>IF(I47&lt;E47,E47/I47-1,I47/E47-1)</f>
        <v>5.8097686375321311E-2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69" t="s">
        <v>3832</v>
      </c>
      <c r="E61" s="33"/>
      <c r="F61" s="33"/>
      <c r="G61" s="33"/>
      <c r="H61" s="33"/>
      <c r="I61" s="33"/>
      <c r="J61" s="33"/>
      <c r="K61" s="33"/>
      <c r="L61" s="463"/>
      <c r="M61" s="464"/>
      <c r="N61" s="998"/>
      <c r="O61" s="998"/>
      <c r="P61" s="1940"/>
      <c r="Q61" s="445"/>
    </row>
    <row r="62" spans="1:29" s="105" customFormat="1" ht="15.75" thickBot="1">
      <c r="A62" s="461"/>
      <c r="B62" s="450"/>
      <c r="C62" s="451">
        <v>100</v>
      </c>
      <c r="D62" s="452">
        <v>102</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3"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8" t="s">
        <v>3631</v>
      </c>
      <c r="D100" s="2778" t="s">
        <v>3632</v>
      </c>
      <c r="E100" s="2778" t="s">
        <v>3633</v>
      </c>
      <c r="F100" s="2778"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7"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4"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7" t="s">
        <v>3222</v>
      </c>
      <c r="D109" s="2777" t="s">
        <v>3223</v>
      </c>
      <c r="E109" s="2777" t="s">
        <v>3224</v>
      </c>
      <c r="F109" s="2794"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C112&amp;"-"&amp;D112&amp;"(含)"</f>
        <v>0.5-0.6(含)</v>
      </c>
      <c r="D111" s="515" t="str">
        <f>D112&amp;"-"&amp;E112&amp;"(含)"</f>
        <v>0.6-0.7(含)</v>
      </c>
      <c r="E111" s="515" t="str">
        <f>E112&amp;"-"&amp;F112&amp;"(含)"</f>
        <v>0.7-0.8(含)</v>
      </c>
      <c r="F111" s="515" t="str">
        <f>F112&amp;"-"&amp;G112&amp;"(含)"</f>
        <v>0.8-0.9(含)</v>
      </c>
      <c r="G111" s="515" t="str">
        <f>G112&amp;"-"&amp;ROUND(H112,0)&amp;"(含)"</f>
        <v>0.9-1(含)</v>
      </c>
      <c r="H111" s="515" t="str">
        <f>ROUND(H112,0)&amp;"-"&amp;I112</f>
        <v>1-</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7"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7"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4"/>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7" t="s">
        <v>3222</v>
      </c>
      <c r="D122" s="2777" t="s">
        <v>3223</v>
      </c>
      <c r="E122" s="2777" t="s">
        <v>3224</v>
      </c>
      <c r="F122" s="2794"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7" t="s">
        <v>3658</v>
      </c>
      <c r="D126" s="2777"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491"/>
      <c r="D130" s="491"/>
      <c r="E130" s="491"/>
      <c r="F130" s="491"/>
      <c r="G130" s="523"/>
      <c r="H130" s="523"/>
      <c r="I130" s="523"/>
      <c r="J130" s="523"/>
      <c r="K130" s="33"/>
      <c r="L130" s="463"/>
      <c r="M130" s="526"/>
      <c r="N130" s="999"/>
      <c r="O130" s="999"/>
      <c r="P130" s="1941"/>
      <c r="Q130" s="445"/>
    </row>
    <row r="131" spans="1:17" ht="15.75" thickBot="1">
      <c r="A131" s="381"/>
      <c r="B131" s="506"/>
      <c r="C131" s="507"/>
      <c r="D131" s="507"/>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900-000000000000}">
      <formula1>"简单平均,加权平均"</formula1>
    </dataValidation>
    <dataValidation type="list" allowBlank="1" showInputMessage="1" showErrorMessage="1" sqref="F2" xr:uid="{00000000-0002-0000-1900-000001000000}">
      <formula1>估价方法</formula1>
    </dataValidation>
    <dataValidation type="list" allowBlank="1" showInputMessage="1" showErrorMessage="1" sqref="C2" xr:uid="{00000000-0002-0000-1900-000002000000}">
      <formula1>"需扣减承租人权益,——"</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E9 G9 I9" xr:uid="{00000000-0002-0000-1900-000005000000}">
      <formula1>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D1" xr:uid="{00000000-0002-0000-1900-000007000000}">
      <formula1>项目类型</formula1>
    </dataValidation>
    <dataValidation type="list" allowBlank="1" showInputMessage="1" showErrorMessage="1" sqref="E8 G8 I8 C8" xr:uid="{00000000-0002-0000-1900-000008000000}">
      <formula1>住宅交易情况</formula1>
    </dataValidation>
    <dataValidation type="list" allowBlank="1" showInputMessage="1" showErrorMessage="1" sqref="E43 G43 I43 C43" xr:uid="{00000000-0002-0000-1900-000009000000}">
      <formula1>内部装修维护情况</formula1>
    </dataValidation>
    <dataValidation type="list" allowBlank="1" showInputMessage="1" showErrorMessage="1" sqref="E42 G42 I42 C42" xr:uid="{00000000-0002-0000-1900-00000A000000}">
      <formula1>住宅内部装修</formula1>
    </dataValidation>
    <dataValidation type="list" allowBlank="1" showInputMessage="1" showErrorMessage="1" sqref="E40 G40 I40 C40" xr:uid="{00000000-0002-0000-1900-00000B000000}">
      <formula1>住宅房型</formula1>
    </dataValidation>
    <dataValidation type="list" allowBlank="1" showInputMessage="1" showErrorMessage="1" sqref="E39 G39 I39 C39" xr:uid="{00000000-0002-0000-1900-00000C000000}">
      <formula1>住宅基础设施水平</formula1>
    </dataValidation>
    <dataValidation type="list" allowBlank="1" showInputMessage="1" showErrorMessage="1" sqref="E38 G38 I38 C38" xr:uid="{00000000-0002-0000-1900-00000D000000}">
      <formula1>住宅物业管理</formula1>
    </dataValidation>
    <dataValidation type="list" allowBlank="1" showInputMessage="1" showErrorMessage="1" sqref="E36 G36 I36 C36" xr:uid="{00000000-0002-0000-1900-00000E000000}">
      <formula1>住宅公共部分装修</formula1>
    </dataValidation>
    <dataValidation type="list" allowBlank="1" showInputMessage="1" showErrorMessage="1" sqref="E35 G35 I35 C35" xr:uid="{00000000-0002-0000-1900-00000F000000}">
      <formula1>住宅建筑品质</formula1>
    </dataValidation>
    <dataValidation type="list" allowBlank="1" showInputMessage="1" showErrorMessage="1" sqref="E34 G34 I34 C34" xr:uid="{00000000-0002-0000-1900-000010000000}">
      <formula1>住宅建筑结构</formula1>
    </dataValidation>
    <dataValidation type="list" allowBlank="1" showInputMessage="1" showErrorMessage="1" sqref="E32 G32 I32 C32" xr:uid="{00000000-0002-0000-1900-000011000000}">
      <formula1>住宅建筑类型</formula1>
    </dataValidation>
    <dataValidation type="list" allowBlank="1" showInputMessage="1" showErrorMessage="1" sqref="E26 G26 I26 C26" xr:uid="{00000000-0002-0000-1900-000012000000}">
      <formula1>住宅朝向</formula1>
    </dataValidation>
    <dataValidation type="list" allowBlank="1" showInputMessage="1" showErrorMessage="1" sqref="E25 G25 I25 C25" xr:uid="{00000000-0002-0000-1900-000013000000}">
      <formula1>住宅楼层</formula1>
    </dataValidation>
    <dataValidation type="list" allowBlank="1" showInputMessage="1" showErrorMessage="1" sqref="C20 G20 E20 I20" xr:uid="{00000000-0002-0000-1900-000014000000}">
      <formula1>公共配套设施</formula1>
    </dataValidation>
    <dataValidation type="list" allowBlank="1" showInputMessage="1" showErrorMessage="1" sqref="E18 G18 I18 C18" xr:uid="{00000000-0002-0000-1900-000015000000}">
      <formula1>交通便捷度</formula1>
    </dataValidation>
    <dataValidation type="list" allowBlank="1" showInputMessage="1" showErrorMessage="1" sqref="E16 G16 I16 C16" xr:uid="{00000000-0002-0000-1900-000016000000}">
      <formula1>居住社区成熟度</formula1>
    </dataValidation>
    <dataValidation type="list" allowBlank="1" showInputMessage="1" showErrorMessage="1" sqref="E24 G24 I24 C24" xr:uid="{00000000-0002-0000-19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7" zoomScale="80" zoomScaleNormal="70" zoomScaleSheetLayoutView="80" workbookViewId="0">
      <selection activeCell="C39" sqref="C39"/>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17933</v>
      </c>
      <c r="C2" s="1457" t="s">
        <v>1481</v>
      </c>
      <c r="D2" s="1457"/>
      <c r="E2" s="1463"/>
      <c r="F2" s="1464"/>
      <c r="G2" s="2662"/>
      <c r="H2" s="2652"/>
      <c r="I2" s="2652"/>
      <c r="J2" s="2652"/>
      <c r="K2" s="2653"/>
      <c r="L2" s="2652"/>
      <c r="M2" s="2652"/>
    </row>
    <row r="3" spans="1:37" ht="18" customHeight="1" thickBot="1">
      <c r="A3" s="1465" t="s">
        <v>1482</v>
      </c>
      <c r="B3" s="1466">
        <f ca="1">IF(ISERROR(B2*10000/F43),0,ROUND(B2*10000/F43,0))</f>
        <v>11751</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1422</v>
      </c>
      <c r="D5" s="1441" t="s">
        <v>1367</v>
      </c>
      <c r="E5" s="1128"/>
      <c r="F5" s="1129"/>
      <c r="G5" s="1460"/>
      <c r="H5" s="295">
        <v>1</v>
      </c>
      <c r="I5" s="296" t="s">
        <v>1366</v>
      </c>
      <c r="J5" s="1127">
        <f ca="1">J6+J10+J12</f>
        <v>0</v>
      </c>
      <c r="K5" s="1441" t="s">
        <v>1367</v>
      </c>
      <c r="L5" s="1128"/>
      <c r="M5" s="1129"/>
    </row>
    <row r="6" spans="1:37" ht="18" customHeight="1">
      <c r="A6" s="1126" t="s">
        <v>1003</v>
      </c>
      <c r="B6" s="3143" t="s">
        <v>1368</v>
      </c>
      <c r="C6" s="1131">
        <f ca="1">ROUND(F6*F8*F7*(1-F9)/10000,0)</f>
        <v>1420</v>
      </c>
      <c r="D6" s="150" t="s">
        <v>2831</v>
      </c>
      <c r="E6" s="298" t="s">
        <v>1370</v>
      </c>
      <c r="F6" s="3240">
        <f ca="1">INDIRECT("'数据-取费表'!u"&amp;$G$1)</f>
        <v>3</v>
      </c>
      <c r="G6" s="1460"/>
      <c r="H6" s="1126" t="s">
        <v>1003</v>
      </c>
      <c r="I6" s="3143" t="s">
        <v>1368</v>
      </c>
      <c r="J6" s="297">
        <f ca="1">ROUND(M6*M8*M7*(1-M9)/10000,0)</f>
        <v>0</v>
      </c>
      <c r="K6" s="150" t="s">
        <v>2830</v>
      </c>
      <c r="L6" s="298" t="s">
        <v>1370</v>
      </c>
      <c r="M6" s="299">
        <f ca="1">INDIRECT("'数据-取费表'!z"&amp;$G$1)</f>
        <v>0</v>
      </c>
    </row>
    <row r="7" spans="1:37" ht="18" customHeight="1">
      <c r="A7" s="1130"/>
      <c r="B7" s="3144"/>
      <c r="C7" s="1132"/>
      <c r="D7" s="303"/>
      <c r="E7" s="1133" t="s">
        <v>1371</v>
      </c>
      <c r="F7" s="299">
        <f ca="1">IF(INDIRECT("'数据-取费表'!ah"&amp;$G$1)="",INDIRECT("'数据-取费表'!k"&amp;$G$1),INDIRECT("'数据-取费表'!ah"&amp;$G$1))</f>
        <v>15260.819999999994</v>
      </c>
      <c r="G7" s="1460"/>
      <c r="H7" s="300"/>
      <c r="I7" s="3144"/>
      <c r="J7" s="302"/>
      <c r="K7" s="303"/>
      <c r="L7" s="298" t="s">
        <v>1371</v>
      </c>
      <c r="M7" s="299">
        <f ca="1">F7</f>
        <v>15260.819999999994</v>
      </c>
    </row>
    <row r="8" spans="1:37" ht="18" customHeight="1">
      <c r="A8" s="300"/>
      <c r="B8" s="3144"/>
      <c r="C8" s="302"/>
      <c r="D8" s="303"/>
      <c r="E8" s="298" t="s">
        <v>1372</v>
      </c>
      <c r="F8" s="299">
        <f ca="1">INDIRECT("'数据-取费表'!ai"&amp;$G$1)</f>
        <v>365</v>
      </c>
      <c r="G8" s="1460"/>
      <c r="H8" s="300"/>
      <c r="I8" s="3144"/>
      <c r="J8" s="302"/>
      <c r="K8" s="303"/>
      <c r="L8" s="298" t="s">
        <v>1372</v>
      </c>
      <c r="M8" s="299">
        <f ca="1">INDIRECT("'数据-取费表'!ai"&amp;$G$1)</f>
        <v>365</v>
      </c>
    </row>
    <row r="9" spans="1:37" ht="18" customHeight="1">
      <c r="A9" s="300"/>
      <c r="B9" s="3145"/>
      <c r="C9" s="302"/>
      <c r="D9" s="303"/>
      <c r="E9" s="298" t="s">
        <v>1373</v>
      </c>
      <c r="F9" s="2878">
        <f ca="1">INDIRECT("'数据-取费表'!w"&amp;$G$1)</f>
        <v>0.15</v>
      </c>
      <c r="G9" s="1460"/>
      <c r="H9" s="300"/>
      <c r="I9" s="3145"/>
      <c r="J9" s="302"/>
      <c r="K9" s="303"/>
      <c r="L9" s="309" t="s">
        <v>1373</v>
      </c>
      <c r="M9" s="310">
        <f ca="1">INDIRECT("'数据-取费表'!ab"&amp;$G$1)</f>
        <v>0</v>
      </c>
    </row>
    <row r="10" spans="1:37" ht="18" customHeight="1">
      <c r="A10" s="1126" t="s">
        <v>1007</v>
      </c>
      <c r="B10" s="1442" t="s">
        <v>1374</v>
      </c>
      <c r="C10" s="312">
        <f ca="1">ROUND(IF(F10="押一",C6/12*F11,IF(F10="押二",C6/12*2*F11,IF(F10="押三",C6/12*3*F11,C11*F11))),0)</f>
        <v>2</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155</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44</v>
      </c>
      <c r="K22" s="1424" t="s">
        <v>1415</v>
      </c>
      <c r="L22" s="298" t="s">
        <v>1387</v>
      </c>
      <c r="M22" s="324">
        <f ca="1">INDIRECT("'数据-取费表'!Ak"&amp;$G$1)</f>
        <v>5.0000000000000001E-3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-155</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0.05</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334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275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75.73</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162.29</v>
      </c>
      <c r="D33" s="1446" t="s">
        <v>3065</v>
      </c>
      <c r="E33" s="298" t="s">
        <v>1387</v>
      </c>
      <c r="F33" s="318">
        <f>IF(D33="按票据","——",IF(D33="按租金收入计税",'数据-取费表'!B51,'数据-取费表'!B50))</f>
        <v>0.12</v>
      </c>
      <c r="G33" s="1460"/>
      <c r="H33" s="2657"/>
      <c r="I33" s="1473">
        <f ca="1">C39/C6</f>
        <v>0.76619718309859153</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59</v>
      </c>
      <c r="J35" s="1474"/>
      <c r="K35" s="2658"/>
      <c r="L35" s="2657"/>
      <c r="M35" s="2657"/>
    </row>
    <row r="36" spans="1:18" ht="18" customHeight="1">
      <c r="A36" s="1185" t="s">
        <v>1007</v>
      </c>
      <c r="B36" s="298" t="s">
        <v>1414</v>
      </c>
      <c r="C36" s="23">
        <f ca="1">ROUND(C29*F36,1)</f>
        <v>44</v>
      </c>
      <c r="D36" s="1424" t="s">
        <v>1447</v>
      </c>
      <c r="E36" s="298" t="s">
        <v>1387</v>
      </c>
      <c r="F36" s="324">
        <f ca="1">INDIRECT("'数据-取费表'!Ak"&amp;$G$1)</f>
        <v>5.0000000000000001E-3</v>
      </c>
      <c r="G36" s="1460"/>
      <c r="H36" s="2657"/>
      <c r="I36" s="1473">
        <f ca="1">I35/C6</f>
        <v>4.1549295774647887E-2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7.1</v>
      </c>
      <c r="D38" s="1175" t="s">
        <v>1424</v>
      </c>
      <c r="E38" s="1173" t="s">
        <v>1420</v>
      </c>
      <c r="F38" s="1169">
        <f ca="1">INDIRECT("'数据-取费表'!Am"&amp;$G$1)</f>
        <v>5.0000000000000001E-3</v>
      </c>
      <c r="G38" s="1460"/>
      <c r="H38" s="2657"/>
      <c r="I38" s="1473"/>
      <c r="J38" s="1474"/>
      <c r="K38" s="2655"/>
      <c r="L38" s="2657"/>
      <c r="M38" s="2657"/>
    </row>
    <row r="39" spans="1:18" ht="24.6" customHeight="1" thickTop="1">
      <c r="A39" s="1162" t="s">
        <v>999</v>
      </c>
      <c r="B39" s="1177" t="s">
        <v>1448</v>
      </c>
      <c r="C39" s="306">
        <f ca="1">C5-C30</f>
        <v>1088</v>
      </c>
      <c r="D39" s="1178" t="s">
        <v>1449</v>
      </c>
      <c r="E39" s="1179"/>
      <c r="F39" s="1180"/>
      <c r="G39" s="1460"/>
      <c r="H39" s="2657">
        <f ca="1">F7/39</f>
        <v>391.30307692307679</v>
      </c>
      <c r="I39" s="1473">
        <f ca="1">C6/39/12</f>
        <v>3.0341880341880341</v>
      </c>
      <c r="J39" s="1474">
        <v>100000</v>
      </c>
      <c r="K39" s="2655">
        <f>148000*12/365/686</f>
        <v>7.0929350213666682</v>
      </c>
      <c r="L39" s="2657"/>
      <c r="M39" s="2657"/>
    </row>
    <row r="40" spans="1:18" ht="18" customHeight="1">
      <c r="A40" s="295" t="s">
        <v>1000</v>
      </c>
      <c r="B40" s="296" t="s">
        <v>1450</v>
      </c>
      <c r="C40" s="297">
        <f ca="1">ROUND(C39*(1-((1+F42)/(1+F40))^F41)/(F40-F42),0)</f>
        <v>17933</v>
      </c>
      <c r="D40" s="320" t="s">
        <v>1434</v>
      </c>
      <c r="E40" s="298" t="s">
        <v>1435</v>
      </c>
      <c r="F40" s="308">
        <f ca="1">INDIRECT("'数据-取费表'!I"&amp;$G$1)</f>
        <v>0.05</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2877">
        <f ca="1">INDIRECT("'数据-取费表'!v"&amp;$G$1)</f>
        <v>1.4999999999999999E-2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11751</v>
      </c>
      <c r="D43" s="332" t="s">
        <v>1453</v>
      </c>
      <c r="E43" s="333" t="s">
        <v>1454</v>
      </c>
      <c r="F43" s="334">
        <f ca="1">INDIRECT("'数据-取费表'!k"&amp;$G$1)</f>
        <v>15260.819999999994</v>
      </c>
      <c r="G43" s="1460"/>
      <c r="H43" s="124"/>
      <c r="I43" s="2512">
        <f>43853-7208</f>
        <v>36645</v>
      </c>
      <c r="J43" s="124">
        <f ca="1">F6*F7*F8/12/39</f>
        <v>35706.405769230754</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-29704</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17933</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8350</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41" t="s">
        <v>1513</v>
      </c>
      <c r="L53" s="3142"/>
      <c r="O53" s="1493" t="s">
        <v>1014</v>
      </c>
      <c r="P53" s="1494" t="s">
        <v>1514</v>
      </c>
      <c r="Q53" s="1495">
        <f ca="1">Q47+Q48</f>
        <v>17933</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17933</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829</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17933</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44</v>
      </c>
      <c r="D64" s="1030" t="s">
        <v>1467</v>
      </c>
      <c r="E64" s="1016" t="s">
        <v>1459</v>
      </c>
      <c r="F64" s="324">
        <f t="shared" ca="1" si="0"/>
        <v>5.0000000000000001E-3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17933</v>
      </c>
      <c r="R65" s="1495" t="s">
        <v>1494</v>
      </c>
    </row>
    <row r="66" spans="1:18" s="1460" customFormat="1" ht="16.5" thickBot="1">
      <c r="A66" s="1048" t="s">
        <v>1469</v>
      </c>
      <c r="B66" s="1016" t="s">
        <v>1404</v>
      </c>
      <c r="C66" s="23">
        <f ca="1">ROUND(C48*F66,1)</f>
        <v>0</v>
      </c>
      <c r="D66" s="1030" t="s">
        <v>1470</v>
      </c>
      <c r="E66" s="1016" t="s">
        <v>1387</v>
      </c>
      <c r="F66" s="308">
        <f t="shared" ca="1" si="0"/>
        <v>5.0000000000000001E-3</v>
      </c>
      <c r="O66" s="1493" t="s">
        <v>1009</v>
      </c>
      <c r="P66" s="1494" t="s">
        <v>1523</v>
      </c>
      <c r="Q66" s="1495">
        <f ca="1">L60</f>
        <v>0</v>
      </c>
      <c r="R66" s="1495" t="s">
        <v>1546</v>
      </c>
    </row>
    <row r="67" spans="1:18" s="1460" customFormat="1" ht="16.5" thickBot="1">
      <c r="A67" s="1023" t="s">
        <v>999</v>
      </c>
      <c r="B67" s="1033" t="s">
        <v>1428</v>
      </c>
      <c r="C67" s="312">
        <f ca="1">C48-C58</f>
        <v>-829</v>
      </c>
      <c r="D67" s="1029" t="s">
        <v>1429</v>
      </c>
      <c r="E67" s="1034"/>
      <c r="F67" s="1035"/>
      <c r="O67" s="1502" t="s">
        <v>1010</v>
      </c>
      <c r="P67" s="1494" t="s">
        <v>1527</v>
      </c>
      <c r="Q67" s="1538">
        <f ca="1">L51</f>
        <v>8350</v>
      </c>
      <c r="R67" s="1495" t="s">
        <v>1547</v>
      </c>
    </row>
    <row r="68" spans="1:18" s="1460" customFormat="1" ht="16.5" thickBot="1">
      <c r="A68" s="1013" t="s">
        <v>1000</v>
      </c>
      <c r="B68" s="1014" t="s">
        <v>1450</v>
      </c>
      <c r="C68" s="297">
        <f ca="1">ROUND(C67*(1-((1+F70)/(1+F68))^F69)/(F68-F70),0)</f>
        <v>-11771</v>
      </c>
      <c r="D68" s="1031" t="s">
        <v>1434</v>
      </c>
      <c r="E68" s="1016" t="s">
        <v>1435</v>
      </c>
      <c r="F68" s="308">
        <f ca="1">F40</f>
        <v>0.05</v>
      </c>
      <c r="O68" s="1502" t="s">
        <v>1011</v>
      </c>
      <c r="P68" s="1539" t="s">
        <v>1548</v>
      </c>
      <c r="Q68" s="1495">
        <f ca="1">ROUND(Q69-Q70*Q71,0)</f>
        <v>414</v>
      </c>
      <c r="R68" s="1495" t="s">
        <v>1019</v>
      </c>
    </row>
    <row r="69" spans="1:18" s="1460" customFormat="1" ht="13.5" thickBot="1">
      <c r="A69" s="1017"/>
      <c r="B69" s="1018"/>
      <c r="C69" s="302"/>
      <c r="D69" s="1036" t="s">
        <v>1438</v>
      </c>
      <c r="E69" s="1016" t="s">
        <v>1439</v>
      </c>
      <c r="F69" s="328">
        <f ca="1">F41</f>
        <v>25.37</v>
      </c>
      <c r="O69" s="1502" t="s">
        <v>1016</v>
      </c>
      <c r="P69" s="1539" t="s">
        <v>1549</v>
      </c>
      <c r="Q69" s="1495">
        <f ca="1">C39</f>
        <v>1088</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-7713</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17933</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0.38100000000000001</v>
      </c>
    </row>
    <row r="80" spans="1:18">
      <c r="B80" s="335" t="s">
        <v>1476</v>
      </c>
      <c r="C80" s="270">
        <f ca="1">ROUND(C75/C39,3)</f>
        <v>0.61899999999999999</v>
      </c>
    </row>
    <row r="81" spans="2:3">
      <c r="B81" s="266" t="s">
        <v>1477</v>
      </c>
      <c r="C81" s="234"/>
    </row>
    <row r="82" spans="2:3">
      <c r="B82" s="269" t="s">
        <v>1478</v>
      </c>
      <c r="C82" s="271">
        <f ca="1">1-C83</f>
        <v>0.55800000000000005</v>
      </c>
    </row>
    <row r="83" spans="2:3">
      <c r="B83" s="269" t="s">
        <v>1479</v>
      </c>
      <c r="C83" s="270">
        <f ca="1">ROUND(C13/C40,3)</f>
        <v>0.442</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43" t="s">
        <v>1368</v>
      </c>
      <c r="C6" s="1131">
        <f ca="1">ROUND(F6*F8*F7*(1-F9),0)</f>
        <v>0</v>
      </c>
      <c r="D6" s="150" t="s">
        <v>2828</v>
      </c>
      <c r="E6" s="298" t="s">
        <v>1370</v>
      </c>
      <c r="F6" s="299">
        <f ca="1">INDIRECT("'数据-取费表'!u"&amp;$G$1)</f>
        <v>0</v>
      </c>
      <c r="G6" s="1460"/>
      <c r="H6" s="1126" t="s">
        <v>1003</v>
      </c>
      <c r="I6" s="3143" t="s">
        <v>1368</v>
      </c>
      <c r="J6" s="297">
        <f ca="1">ROUND(M6*M8*M7*(1-M9),0)</f>
        <v>0</v>
      </c>
      <c r="K6" s="1452" t="s">
        <v>2829</v>
      </c>
      <c r="L6" s="298" t="s">
        <v>1370</v>
      </c>
      <c r="M6" s="299">
        <f ca="1">INDIRECT("'数据-取费表'!z"&amp;$G$1)</f>
        <v>0</v>
      </c>
    </row>
    <row r="7" spans="1:37" ht="18" customHeight="1">
      <c r="A7" s="1130"/>
      <c r="B7" s="3144"/>
      <c r="C7" s="1132"/>
      <c r="D7" s="303"/>
      <c r="E7" s="1133" t="s">
        <v>1371</v>
      </c>
      <c r="F7" s="299">
        <f ca="1">IF(INDIRECT("'数据-取费表'!ah"&amp;$G$1)="",INDIRECT("'数据-取费表'!k"&amp;$G$1),INDIRECT("'数据-取费表'!ah"&amp;$G$1))</f>
        <v>0</v>
      </c>
      <c r="G7" s="1460"/>
      <c r="H7" s="300"/>
      <c r="I7" s="3144"/>
      <c r="J7" s="302"/>
      <c r="K7" s="303"/>
      <c r="L7" s="298" t="s">
        <v>1371</v>
      </c>
      <c r="M7" s="299">
        <f ca="1">F7</f>
        <v>0</v>
      </c>
    </row>
    <row r="8" spans="1:37" ht="18" customHeight="1">
      <c r="A8" s="300"/>
      <c r="B8" s="3144"/>
      <c r="C8" s="302"/>
      <c r="D8" s="303"/>
      <c r="E8" s="298" t="s">
        <v>1372</v>
      </c>
      <c r="F8" s="299">
        <f ca="1">INDIRECT("'数据-取费表'!ai"&amp;$G$1)</f>
        <v>0</v>
      </c>
      <c r="G8" s="1460"/>
      <c r="H8" s="300"/>
      <c r="I8" s="3144"/>
      <c r="J8" s="302"/>
      <c r="K8" s="303"/>
      <c r="L8" s="298" t="s">
        <v>1372</v>
      </c>
      <c r="M8" s="299">
        <f ca="1">INDIRECT("'数据-取费表'!ai"&amp;$G$1)</f>
        <v>0</v>
      </c>
    </row>
    <row r="9" spans="1:37" ht="18" customHeight="1">
      <c r="A9" s="300"/>
      <c r="B9" s="3145"/>
      <c r="C9" s="302"/>
      <c r="D9" s="303"/>
      <c r="E9" s="298" t="s">
        <v>1373</v>
      </c>
      <c r="F9" s="308">
        <f ca="1">INDIRECT("'数据-取费表'!w"&amp;$G$1)</f>
        <v>0</v>
      </c>
      <c r="G9" s="1460"/>
      <c r="H9" s="300"/>
      <c r="I9" s="3145"/>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41" t="s">
        <v>1513</v>
      </c>
      <c r="L53" s="3142"/>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17933</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11751</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46" t="s">
        <v>2327</v>
      </c>
      <c r="C5" s="3147"/>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17933</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64" t="s">
        <v>1044</v>
      </c>
      <c r="B1" s="3165"/>
      <c r="C1" s="3166"/>
      <c r="D1" s="3167">
        <f>SUM(I10,I15,I20,I21,I23)</f>
        <v>0</v>
      </c>
      <c r="E1" s="3167"/>
      <c r="F1" s="3167"/>
      <c r="G1" s="3167"/>
      <c r="H1" s="3167"/>
      <c r="I1" s="3168"/>
    </row>
    <row r="2" spans="1:9">
      <c r="A2" s="3154" t="s">
        <v>1045</v>
      </c>
      <c r="B2" s="3155" t="s">
        <v>1046</v>
      </c>
      <c r="C2" s="3155"/>
      <c r="D2" s="1136" t="s">
        <v>1047</v>
      </c>
      <c r="E2" s="1136" t="s">
        <v>1048</v>
      </c>
      <c r="F2" s="1136" t="s">
        <v>1049</v>
      </c>
      <c r="G2" s="1136" t="s">
        <v>1050</v>
      </c>
      <c r="H2" s="1136" t="s">
        <v>1051</v>
      </c>
      <c r="I2" s="1137" t="s">
        <v>1052</v>
      </c>
    </row>
    <row r="3" spans="1:9">
      <c r="A3" s="3154"/>
      <c r="B3" s="3155" t="s">
        <v>1053</v>
      </c>
      <c r="C3" s="3155"/>
      <c r="D3" s="1138"/>
      <c r="E3" s="1136"/>
      <c r="F3" s="1139"/>
      <c r="G3" s="1139"/>
      <c r="H3" s="1140"/>
      <c r="I3" s="1141">
        <f>ROUND(D3*E3*F3*G3*H3/10000,0)</f>
        <v>0</v>
      </c>
    </row>
    <row r="4" spans="1:9">
      <c r="A4" s="3154"/>
      <c r="B4" s="3155" t="s">
        <v>1054</v>
      </c>
      <c r="C4" s="3155"/>
      <c r="D4" s="1138"/>
      <c r="E4" s="1136"/>
      <c r="F4" s="1139"/>
      <c r="G4" s="1139"/>
      <c r="H4" s="1140"/>
      <c r="I4" s="1141">
        <f t="shared" ref="I4:I9" si="0">ROUND(D4*E4*F4*G4*H4/10000,0)</f>
        <v>0</v>
      </c>
    </row>
    <row r="5" spans="1:9">
      <c r="A5" s="3154"/>
      <c r="B5" s="3155" t="s">
        <v>1055</v>
      </c>
      <c r="C5" s="3155"/>
      <c r="D5" s="1138"/>
      <c r="E5" s="1136"/>
      <c r="F5" s="1139"/>
      <c r="G5" s="1139"/>
      <c r="H5" s="1140"/>
      <c r="I5" s="1141">
        <f t="shared" si="0"/>
        <v>0</v>
      </c>
    </row>
    <row r="6" spans="1:9">
      <c r="A6" s="3154"/>
      <c r="B6" s="3155" t="s">
        <v>1056</v>
      </c>
      <c r="C6" s="3155"/>
      <c r="D6" s="1138"/>
      <c r="E6" s="1136"/>
      <c r="F6" s="1139"/>
      <c r="G6" s="1139"/>
      <c r="H6" s="1140"/>
      <c r="I6" s="1141">
        <f t="shared" si="0"/>
        <v>0</v>
      </c>
    </row>
    <row r="7" spans="1:9">
      <c r="A7" s="3154"/>
      <c r="B7" s="3155" t="s">
        <v>1057</v>
      </c>
      <c r="C7" s="3155"/>
      <c r="D7" s="1138"/>
      <c r="E7" s="1136"/>
      <c r="F7" s="1139"/>
      <c r="G7" s="1139"/>
      <c r="H7" s="1140"/>
      <c r="I7" s="1141">
        <f t="shared" si="0"/>
        <v>0</v>
      </c>
    </row>
    <row r="8" spans="1:9">
      <c r="A8" s="3154"/>
      <c r="B8" s="3155" t="s">
        <v>1058</v>
      </c>
      <c r="C8" s="3155"/>
      <c r="D8" s="1138"/>
      <c r="E8" s="1136"/>
      <c r="F8" s="1139"/>
      <c r="G8" s="1139"/>
      <c r="H8" s="1140"/>
      <c r="I8" s="1141">
        <f t="shared" si="0"/>
        <v>0</v>
      </c>
    </row>
    <row r="9" spans="1:9">
      <c r="A9" s="3154"/>
      <c r="B9" s="3155" t="s">
        <v>1059</v>
      </c>
      <c r="C9" s="3155"/>
      <c r="D9" s="1138"/>
      <c r="E9" s="1136"/>
      <c r="F9" s="1139"/>
      <c r="G9" s="1139"/>
      <c r="H9" s="1140"/>
      <c r="I9" s="1141">
        <f t="shared" si="0"/>
        <v>0</v>
      </c>
    </row>
    <row r="10" spans="1:9">
      <c r="A10" s="3154"/>
      <c r="B10" s="3156" t="s">
        <v>1060</v>
      </c>
      <c r="C10" s="3156"/>
      <c r="D10" s="1142"/>
      <c r="E10" s="1142" t="e">
        <f>ROUND(D1*10000/D10/H9,0)</f>
        <v>#DIV/0!</v>
      </c>
      <c r="F10" s="1143"/>
      <c r="G10" s="1143"/>
      <c r="H10" s="1144"/>
      <c r="I10" s="1145">
        <f>SUM(I3:I9)</f>
        <v>0</v>
      </c>
    </row>
    <row r="11" spans="1:9" ht="14.25">
      <c r="A11" s="3154" t="s">
        <v>1061</v>
      </c>
      <c r="B11" s="3155" t="s">
        <v>1062</v>
      </c>
      <c r="C11" s="3155"/>
      <c r="D11" s="1138" t="s">
        <v>1063</v>
      </c>
      <c r="E11" s="1138" t="s">
        <v>1064</v>
      </c>
      <c r="F11" s="1139" t="s">
        <v>1065</v>
      </c>
      <c r="G11" s="1139" t="s">
        <v>1051</v>
      </c>
      <c r="H11" s="1146" t="s">
        <v>1066</v>
      </c>
      <c r="I11" s="1137" t="s">
        <v>1052</v>
      </c>
    </row>
    <row r="12" spans="1:9">
      <c r="A12" s="3154"/>
      <c r="B12" s="3155" t="s">
        <v>1067</v>
      </c>
      <c r="C12" s="3155"/>
      <c r="D12" s="1138"/>
      <c r="E12" s="1138"/>
      <c r="F12" s="1139"/>
      <c r="G12" s="1140"/>
      <c r="H12" s="1147"/>
      <c r="I12" s="1137">
        <f>ROUND(D12*E12*F12*G12/10000,0)</f>
        <v>0</v>
      </c>
    </row>
    <row r="13" spans="1:9">
      <c r="A13" s="3154"/>
      <c r="B13" s="3155" t="s">
        <v>1068</v>
      </c>
      <c r="C13" s="3155"/>
      <c r="D13" s="1138"/>
      <c r="E13" s="1138"/>
      <c r="F13" s="1139"/>
      <c r="G13" s="1140"/>
      <c r="H13" s="1147"/>
      <c r="I13" s="1137">
        <f>ROUND(D13*E13*F13*G13/10000,0)</f>
        <v>0</v>
      </c>
    </row>
    <row r="14" spans="1:9">
      <c r="A14" s="3154"/>
      <c r="B14" s="3155" t="s">
        <v>1069</v>
      </c>
      <c r="C14" s="3155"/>
      <c r="D14" s="1138"/>
      <c r="E14" s="1138"/>
      <c r="F14" s="1139"/>
      <c r="G14" s="1140"/>
      <c r="H14" s="1147"/>
      <c r="I14" s="1137">
        <f>ROUND(D14*E14*F14*G14/10000,0)</f>
        <v>0</v>
      </c>
    </row>
    <row r="15" spans="1:9">
      <c r="A15" s="3154"/>
      <c r="B15" s="3156" t="s">
        <v>1060</v>
      </c>
      <c r="C15" s="3156"/>
      <c r="D15" s="1142"/>
      <c r="E15" s="1142">
        <f>SUM(E12:E14)</f>
        <v>0</v>
      </c>
      <c r="F15" s="1143"/>
      <c r="G15" s="1140"/>
      <c r="H15" s="1147"/>
      <c r="I15" s="1148">
        <f>SUM(I12:I14)</f>
        <v>0</v>
      </c>
    </row>
    <row r="16" spans="1:9" ht="24">
      <c r="A16" s="3154" t="s">
        <v>1070</v>
      </c>
      <c r="B16" s="3155" t="s">
        <v>1071</v>
      </c>
      <c r="C16" s="3155"/>
      <c r="D16" s="1138" t="s">
        <v>1047</v>
      </c>
      <c r="E16" s="1149" t="s">
        <v>1072</v>
      </c>
      <c r="F16" s="1139" t="s">
        <v>1073</v>
      </c>
      <c r="G16" s="1140" t="s">
        <v>1051</v>
      </c>
      <c r="H16" s="1146" t="s">
        <v>1066</v>
      </c>
      <c r="I16" s="1137" t="s">
        <v>1052</v>
      </c>
    </row>
    <row r="17" spans="1:9" ht="14.25">
      <c r="A17" s="3154"/>
      <c r="B17" s="3155" t="s">
        <v>1074</v>
      </c>
      <c r="C17" s="3155"/>
      <c r="D17" s="1138"/>
      <c r="E17" s="1138"/>
      <c r="F17" s="1139"/>
      <c r="G17" s="1140"/>
      <c r="H17" s="1150"/>
      <c r="I17" s="1151">
        <f>ROUND(D17*E17*F17*G17/10000,0)</f>
        <v>0</v>
      </c>
    </row>
    <row r="18" spans="1:9" ht="14.25">
      <c r="A18" s="3154"/>
      <c r="B18" s="3155" t="s">
        <v>1075</v>
      </c>
      <c r="C18" s="3155"/>
      <c r="D18" s="1138"/>
      <c r="E18" s="1138"/>
      <c r="F18" s="1139"/>
      <c r="G18" s="1140"/>
      <c r="H18" s="1150"/>
      <c r="I18" s="1151">
        <f>ROUND(D18*E18*F18*G18/10000,0)</f>
        <v>0</v>
      </c>
    </row>
    <row r="19" spans="1:9" ht="14.25">
      <c r="A19" s="3154"/>
      <c r="B19" s="3155" t="s">
        <v>1076</v>
      </c>
      <c r="C19" s="3155"/>
      <c r="D19" s="1138"/>
      <c r="E19" s="1138"/>
      <c r="F19" s="1139"/>
      <c r="G19" s="1140"/>
      <c r="H19" s="1150"/>
      <c r="I19" s="1151">
        <f>ROUND(D19*E19*F19*G19/10000,0)</f>
        <v>0</v>
      </c>
    </row>
    <row r="20" spans="1:9">
      <c r="A20" s="3154"/>
      <c r="B20" s="3156" t="s">
        <v>1060</v>
      </c>
      <c r="C20" s="3156"/>
      <c r="D20" s="1142">
        <f>SUM(D17:D19)</f>
        <v>0</v>
      </c>
      <c r="E20" s="1142"/>
      <c r="F20" s="1143"/>
      <c r="G20" s="1140"/>
      <c r="H20" s="1147"/>
      <c r="I20" s="1148">
        <f>SUM(I17:I19)</f>
        <v>0</v>
      </c>
    </row>
    <row r="21" spans="1:9">
      <c r="A21" s="3154" t="s">
        <v>1077</v>
      </c>
      <c r="B21" s="3157"/>
      <c r="C21" s="3157"/>
      <c r="D21" s="3157"/>
      <c r="E21" s="3157"/>
      <c r="F21" s="3157"/>
      <c r="G21" s="3157"/>
      <c r="H21" s="1399">
        <v>0.1</v>
      </c>
      <c r="I21" s="1145">
        <f>ROUND(I10*H21,0)</f>
        <v>0</v>
      </c>
    </row>
    <row r="22" spans="1:9" ht="14.25">
      <c r="A22" s="3158" t="s">
        <v>1078</v>
      </c>
      <c r="B22" s="3159"/>
      <c r="C22" s="3160"/>
      <c r="D22" s="1138" t="s">
        <v>1079</v>
      </c>
      <c r="E22" s="1138" t="s">
        <v>1080</v>
      </c>
      <c r="F22" s="1152" t="s">
        <v>1081</v>
      </c>
      <c r="G22" s="1152" t="s">
        <v>1082</v>
      </c>
      <c r="H22" s="1146" t="s">
        <v>1083</v>
      </c>
      <c r="I22" s="1137" t="s">
        <v>1084</v>
      </c>
    </row>
    <row r="23" spans="1:9" ht="14.25" thickBot="1">
      <c r="A23" s="3161"/>
      <c r="B23" s="3162"/>
      <c r="C23" s="3163"/>
      <c r="D23" s="1153"/>
      <c r="E23" s="1153"/>
      <c r="F23" s="1153"/>
      <c r="G23" s="1154"/>
      <c r="H23" s="1155"/>
      <c r="I23" s="1156">
        <f>ROUND(E23*D23*F23*(1-G23)/10000,0)</f>
        <v>0</v>
      </c>
    </row>
    <row r="26" spans="1:9">
      <c r="A26" s="1157" t="s">
        <v>1085</v>
      </c>
      <c r="B26" s="1157"/>
      <c r="C26" s="1157"/>
      <c r="D26" s="1157"/>
      <c r="E26" s="3151">
        <f>C27-C30-C31-C32</f>
        <v>0</v>
      </c>
      <c r="F26" s="3151"/>
      <c r="G26" s="3151"/>
      <c r="H26" s="1396" t="s">
        <v>1306</v>
      </c>
    </row>
    <row r="27" spans="1:9">
      <c r="A27" s="1158">
        <v>1</v>
      </c>
      <c r="B27" s="1159" t="s">
        <v>1086</v>
      </c>
      <c r="C27" s="1159">
        <f>C28+C29</f>
        <v>0</v>
      </c>
      <c r="D27" s="1159"/>
      <c r="E27" s="3152"/>
      <c r="F27" s="3152"/>
      <c r="G27" s="3152"/>
    </row>
    <row r="28" spans="1:9">
      <c r="A28" s="1160" t="s">
        <v>1087</v>
      </c>
      <c r="B28" s="1159" t="s">
        <v>1088</v>
      </c>
      <c r="C28" s="1159"/>
      <c r="D28" s="1159"/>
      <c r="E28" s="3152"/>
      <c r="F28" s="3152"/>
      <c r="G28" s="3152"/>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53"/>
      <c r="F32" s="3153"/>
      <c r="G32" s="3153"/>
    </row>
    <row r="33" spans="1:7" hidden="1">
      <c r="A33" s="3148" t="s">
        <v>1097</v>
      </c>
      <c r="B33" s="3149"/>
      <c r="C33" s="3149"/>
      <c r="D33" s="3150"/>
      <c r="E33" s="3151"/>
      <c r="F33" s="3151"/>
      <c r="G33" s="3151"/>
    </row>
    <row r="34" spans="1:7" hidden="1">
      <c r="A34" s="1158">
        <v>1</v>
      </c>
      <c r="B34" s="1159" t="s">
        <v>1098</v>
      </c>
      <c r="C34" s="1159"/>
      <c r="D34" s="1159"/>
      <c r="E34" s="3152"/>
      <c r="F34" s="3152"/>
      <c r="G34" s="3152"/>
    </row>
    <row r="35" spans="1:7" hidden="1">
      <c r="A35" s="1158">
        <v>2</v>
      </c>
      <c r="B35" s="1159" t="s">
        <v>1099</v>
      </c>
      <c r="C35" s="1159"/>
      <c r="D35" s="1159"/>
      <c r="E35" s="3152"/>
      <c r="F35" s="3152"/>
      <c r="G35" s="3152"/>
    </row>
    <row r="36" spans="1:7" hidden="1">
      <c r="A36" s="1158">
        <v>3</v>
      </c>
      <c r="B36" s="1159" t="s">
        <v>1100</v>
      </c>
      <c r="C36" s="1159"/>
      <c r="D36" s="1159"/>
      <c r="E36" s="3152"/>
      <c r="F36" s="3152"/>
      <c r="G36" s="3152"/>
    </row>
    <row r="37" spans="1:7" hidden="1">
      <c r="A37" s="1158">
        <v>4</v>
      </c>
      <c r="B37" s="1159" t="s">
        <v>1101</v>
      </c>
      <c r="C37" s="1159"/>
      <c r="D37" s="1159"/>
      <c r="E37" s="3152"/>
      <c r="F37" s="3152"/>
      <c r="G37" s="3152"/>
    </row>
    <row r="38" spans="1:7" hidden="1">
      <c r="A38" s="3148" t="s">
        <v>1102</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07" t="s">
        <v>2453</v>
      </c>
      <c r="Q4" s="3108"/>
      <c r="R4" s="3113" t="s">
        <v>2449</v>
      </c>
      <c r="S4" s="3114"/>
      <c r="T4" s="3113" t="s">
        <v>2450</v>
      </c>
      <c r="U4" s="3114"/>
      <c r="V4" s="3100" t="s">
        <v>2451</v>
      </c>
      <c r="W4" s="3100"/>
      <c r="X4" s="1433"/>
      <c r="Y4" s="3113" t="s">
        <v>2453</v>
      </c>
      <c r="Z4" s="3114"/>
      <c r="AA4" s="3101" t="s">
        <v>2449</v>
      </c>
      <c r="AB4" s="3100" t="s">
        <v>2450</v>
      </c>
      <c r="AC4" s="3101" t="s">
        <v>2451</v>
      </c>
    </row>
    <row r="5" spans="1:29" ht="15">
      <c r="A5" s="352"/>
      <c r="B5" s="353"/>
      <c r="C5" s="3121" t="s">
        <v>2346</v>
      </c>
      <c r="D5" s="3122"/>
      <c r="E5" s="3130" t="s">
        <v>3068</v>
      </c>
      <c r="F5" s="3129"/>
      <c r="G5" s="3121" t="s">
        <v>2348</v>
      </c>
      <c r="H5" s="3122"/>
      <c r="I5" s="3121" t="s">
        <v>2349</v>
      </c>
      <c r="J5" s="3122"/>
      <c r="K5" s="543"/>
      <c r="L5" s="2670"/>
      <c r="M5" s="2671"/>
      <c r="N5" s="2671"/>
      <c r="O5" s="2671"/>
      <c r="P5" s="3109"/>
      <c r="Q5" s="3110"/>
      <c r="R5" s="3115"/>
      <c r="S5" s="3116"/>
      <c r="T5" s="3115"/>
      <c r="U5" s="3116"/>
      <c r="V5" s="3100"/>
      <c r="W5" s="3100"/>
      <c r="X5" s="1433"/>
      <c r="Y5" s="3115"/>
      <c r="Z5" s="3116"/>
      <c r="AA5" s="3102"/>
      <c r="AB5" s="3100"/>
      <c r="AC5" s="3102"/>
    </row>
    <row r="6" spans="1:29" ht="15.75" thickBot="1">
      <c r="A6" s="354"/>
      <c r="B6" s="355"/>
      <c r="C6" s="3119" t="s">
        <v>2350</v>
      </c>
      <c r="D6" s="3120"/>
      <c r="E6" s="3126" t="s">
        <v>2350</v>
      </c>
      <c r="F6" s="3127"/>
      <c r="G6" s="3119" t="s">
        <v>2350</v>
      </c>
      <c r="H6" s="3120"/>
      <c r="I6" s="3119" t="s">
        <v>2350</v>
      </c>
      <c r="J6" s="3120"/>
      <c r="K6" s="543" t="s">
        <v>2351</v>
      </c>
      <c r="L6" s="2670"/>
      <c r="M6" s="2671"/>
      <c r="N6" s="2671"/>
      <c r="O6" s="2671"/>
      <c r="P6" s="3111"/>
      <c r="Q6" s="3112"/>
      <c r="R6" s="3115"/>
      <c r="S6" s="3116"/>
      <c r="T6" s="3117"/>
      <c r="U6" s="3118"/>
      <c r="V6" s="3100"/>
      <c r="W6" s="3100"/>
      <c r="X6" s="1433"/>
      <c r="Y6" s="3117"/>
      <c r="Z6" s="3118"/>
      <c r="AA6" s="3103"/>
      <c r="AB6" s="3100"/>
      <c r="AC6" s="3103"/>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123" t="s">
        <v>2353</v>
      </c>
      <c r="Q7" s="3125"/>
      <c r="R7" s="671" t="s">
        <v>17</v>
      </c>
      <c r="S7" s="672">
        <f t="shared" ref="S7:S15" si="0">F7</f>
        <v>100</v>
      </c>
      <c r="T7" s="671" t="s">
        <v>17</v>
      </c>
      <c r="U7" s="672">
        <f t="shared" ref="U7:U15" si="1">H7</f>
        <v>100</v>
      </c>
      <c r="V7" s="671" t="s">
        <v>17</v>
      </c>
      <c r="W7" s="672">
        <f t="shared" ref="W7:W15" si="2">J7</f>
        <v>100</v>
      </c>
      <c r="X7" s="673"/>
      <c r="Y7" s="3123" t="s">
        <v>2353</v>
      </c>
      <c r="Z7" s="3124"/>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123" t="s">
        <v>2356</v>
      </c>
      <c r="Q8" s="3124"/>
      <c r="R8" s="671" t="s">
        <v>17</v>
      </c>
      <c r="S8" s="672">
        <f t="shared" si="0"/>
        <v>100</v>
      </c>
      <c r="T8" s="671" t="s">
        <v>17</v>
      </c>
      <c r="U8" s="672">
        <f t="shared" si="1"/>
        <v>100</v>
      </c>
      <c r="V8" s="671" t="s">
        <v>17</v>
      </c>
      <c r="W8" s="672">
        <f t="shared" si="2"/>
        <v>100</v>
      </c>
      <c r="X8" s="673"/>
      <c r="Y8" s="3123" t="s">
        <v>2356</v>
      </c>
      <c r="Z8" s="3124"/>
      <c r="AA8" s="52">
        <f t="shared" ref="AA8:AA46" si="3">D8/F8</f>
        <v>1</v>
      </c>
      <c r="AB8" s="52">
        <f t="shared" ref="AB8:AB46" si="4">D8/H8</f>
        <v>1</v>
      </c>
      <c r="AC8" s="52">
        <f t="shared" ref="AC8:AC46" si="5">D8/J8</f>
        <v>1</v>
      </c>
    </row>
    <row r="9" spans="1:29" s="105" customFormat="1">
      <c r="A9" s="363" t="s">
        <v>2357</v>
      </c>
      <c r="B9" s="63" t="s">
        <v>2358</v>
      </c>
      <c r="C9" s="2776"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093"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093"/>
      <c r="Q10" s="536" t="str">
        <f t="shared" si="6"/>
        <v>土地使用年限（年）</v>
      </c>
      <c r="R10" s="671" t="s">
        <v>17</v>
      </c>
      <c r="S10" s="672">
        <f t="shared" si="0"/>
        <v>100</v>
      </c>
      <c r="T10" s="671" t="s">
        <v>17</v>
      </c>
      <c r="U10" s="672">
        <f t="shared" si="1"/>
        <v>100</v>
      </c>
      <c r="V10" s="671" t="s">
        <v>17</v>
      </c>
      <c r="W10" s="672">
        <f t="shared" si="2"/>
        <v>100</v>
      </c>
      <c r="X10" s="673"/>
      <c r="Y10" s="2986"/>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093"/>
      <c r="Q11" s="536" t="str">
        <f t="shared" si="6"/>
        <v>容积率</v>
      </c>
      <c r="R11" s="671" t="s">
        <v>17</v>
      </c>
      <c r="S11" s="672">
        <f t="shared" si="0"/>
        <v>100</v>
      </c>
      <c r="T11" s="671" t="s">
        <v>17</v>
      </c>
      <c r="U11" s="672">
        <f t="shared" si="1"/>
        <v>100</v>
      </c>
      <c r="V11" s="671" t="s">
        <v>17</v>
      </c>
      <c r="W11" s="672">
        <f t="shared" si="2"/>
        <v>100</v>
      </c>
      <c r="X11" s="673"/>
      <c r="Y11" s="2986"/>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093"/>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093"/>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093"/>
      <c r="Q14" s="536">
        <f t="shared" si="6"/>
        <v>111</v>
      </c>
      <c r="R14" s="671" t="s">
        <v>17</v>
      </c>
      <c r="S14" s="672">
        <f t="shared" si="0"/>
        <v>100</v>
      </c>
      <c r="T14" s="671" t="s">
        <v>17</v>
      </c>
      <c r="U14" s="672">
        <f t="shared" si="1"/>
        <v>100</v>
      </c>
      <c r="V14" s="671" t="s">
        <v>17</v>
      </c>
      <c r="W14" s="672">
        <f t="shared" si="2"/>
        <v>100</v>
      </c>
      <c r="X14" s="673"/>
      <c r="Y14" s="2986"/>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34" t="s">
        <v>2364</v>
      </c>
      <c r="Q15" s="1431" t="str">
        <f t="shared" si="6"/>
        <v>商业繁华度</v>
      </c>
      <c r="R15" s="674" t="s">
        <v>17</v>
      </c>
      <c r="S15" s="675">
        <f t="shared" si="0"/>
        <v>100</v>
      </c>
      <c r="T15" s="674" t="s">
        <v>17</v>
      </c>
      <c r="U15" s="675">
        <f t="shared" si="1"/>
        <v>100</v>
      </c>
      <c r="V15" s="674" t="s">
        <v>17</v>
      </c>
      <c r="W15" s="675">
        <f t="shared" si="2"/>
        <v>100</v>
      </c>
      <c r="X15" s="1433"/>
      <c r="Y15" s="3096"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35"/>
      <c r="Q16" s="1431"/>
      <c r="R16" s="674"/>
      <c r="S16" s="675"/>
      <c r="T16" s="674"/>
      <c r="U16" s="675"/>
      <c r="V16" s="674"/>
      <c r="W16" s="675"/>
      <c r="X16" s="1433"/>
      <c r="Y16" s="3097"/>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35"/>
      <c r="Q17" s="1431" t="str">
        <f>B17</f>
        <v>交通便捷度</v>
      </c>
      <c r="R17" s="674" t="s">
        <v>17</v>
      </c>
      <c r="S17" s="675">
        <f>F17</f>
        <v>100</v>
      </c>
      <c r="T17" s="674" t="s">
        <v>17</v>
      </c>
      <c r="U17" s="675">
        <f>H17</f>
        <v>100</v>
      </c>
      <c r="V17" s="674" t="s">
        <v>17</v>
      </c>
      <c r="W17" s="675">
        <f>J17</f>
        <v>100</v>
      </c>
      <c r="X17" s="1433"/>
      <c r="Y17" s="3097"/>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35"/>
      <c r="Q18" s="1431"/>
      <c r="R18" s="674"/>
      <c r="S18" s="675"/>
      <c r="T18" s="674"/>
      <c r="U18" s="675"/>
      <c r="V18" s="674"/>
      <c r="W18" s="675"/>
      <c r="X18" s="1433"/>
      <c r="Y18" s="3097"/>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35"/>
      <c r="Q19" s="1431" t="str">
        <f>B19</f>
        <v>公共配套设施</v>
      </c>
      <c r="R19" s="674" t="s">
        <v>17</v>
      </c>
      <c r="S19" s="675">
        <f>F19</f>
        <v>100</v>
      </c>
      <c r="T19" s="674" t="s">
        <v>17</v>
      </c>
      <c r="U19" s="675">
        <f>H19</f>
        <v>100</v>
      </c>
      <c r="V19" s="674" t="s">
        <v>17</v>
      </c>
      <c r="W19" s="675">
        <f>J19</f>
        <v>100</v>
      </c>
      <c r="X19" s="1433"/>
      <c r="Y19" s="3097"/>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35"/>
      <c r="Q20" s="1431"/>
      <c r="R20" s="674"/>
      <c r="S20" s="675"/>
      <c r="T20" s="674"/>
      <c r="U20" s="675"/>
      <c r="V20" s="674"/>
      <c r="W20" s="675"/>
      <c r="X20" s="1433"/>
      <c r="Y20" s="3097"/>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35"/>
      <c r="Q21" s="1431" t="str">
        <f>B21</f>
        <v>基础设施水平</v>
      </c>
      <c r="R21" s="674" t="s">
        <v>17</v>
      </c>
      <c r="S21" s="675">
        <f>F21</f>
        <v>100</v>
      </c>
      <c r="T21" s="674" t="s">
        <v>17</v>
      </c>
      <c r="U21" s="675">
        <f>H21</f>
        <v>100</v>
      </c>
      <c r="V21" s="674" t="s">
        <v>17</v>
      </c>
      <c r="W21" s="675">
        <f>J21</f>
        <v>100</v>
      </c>
      <c r="X21" s="1433"/>
      <c r="Y21" s="3097"/>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35"/>
      <c r="Q22" s="1431"/>
      <c r="R22" s="674"/>
      <c r="S22" s="675"/>
      <c r="T22" s="674"/>
      <c r="U22" s="675"/>
      <c r="V22" s="674"/>
      <c r="W22" s="675"/>
      <c r="X22" s="1433"/>
      <c r="Y22" s="3097"/>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35"/>
      <c r="Q23" s="1431" t="str">
        <f>B23</f>
        <v>自然及人文环境</v>
      </c>
      <c r="R23" s="674" t="s">
        <v>17</v>
      </c>
      <c r="S23" s="675">
        <f>F23</f>
        <v>100</v>
      </c>
      <c r="T23" s="674" t="s">
        <v>17</v>
      </c>
      <c r="U23" s="675">
        <f>H23</f>
        <v>100</v>
      </c>
      <c r="V23" s="674" t="s">
        <v>17</v>
      </c>
      <c r="W23" s="675">
        <f>J23</f>
        <v>100</v>
      </c>
      <c r="X23" s="1433"/>
      <c r="Y23" s="3097"/>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35"/>
      <c r="Q24" s="1431"/>
      <c r="R24" s="674"/>
      <c r="S24" s="675"/>
      <c r="T24" s="674"/>
      <c r="U24" s="675"/>
      <c r="V24" s="674"/>
      <c r="W24" s="675"/>
      <c r="X24" s="1433"/>
      <c r="Y24" s="3097"/>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35"/>
      <c r="Q25" s="1431" t="str">
        <f t="shared" ref="Q25:Q46" si="11">B25</f>
        <v>临街状况</v>
      </c>
      <c r="R25" s="674" t="s">
        <v>17</v>
      </c>
      <c r="S25" s="675">
        <f>F25</f>
        <v>100</v>
      </c>
      <c r="T25" s="674" t="s">
        <v>17</v>
      </c>
      <c r="U25" s="675">
        <f>H25</f>
        <v>100</v>
      </c>
      <c r="V25" s="674" t="s">
        <v>17</v>
      </c>
      <c r="W25" s="675">
        <f>J25</f>
        <v>100</v>
      </c>
      <c r="X25" s="1433"/>
      <c r="Y25" s="3097"/>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35"/>
      <c r="Q26" s="1431" t="str">
        <f t="shared" si="11"/>
        <v>平面位置/可视性</v>
      </c>
      <c r="R26" s="674" t="s">
        <v>17</v>
      </c>
      <c r="S26" s="675">
        <f>F26</f>
        <v>100</v>
      </c>
      <c r="T26" s="674" t="s">
        <v>17</v>
      </c>
      <c r="U26" s="675">
        <f>H26</f>
        <v>100</v>
      </c>
      <c r="V26" s="674" t="s">
        <v>17</v>
      </c>
      <c r="W26" s="675">
        <f>J26</f>
        <v>100</v>
      </c>
      <c r="X26" s="1433"/>
      <c r="Y26" s="3097"/>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35"/>
      <c r="Q27" s="536" t="str">
        <f t="shared" si="11"/>
        <v>人流量</v>
      </c>
      <c r="R27" s="671" t="s">
        <v>17</v>
      </c>
      <c r="S27" s="672">
        <f>F27</f>
        <v>100</v>
      </c>
      <c r="T27" s="671" t="s">
        <v>17</v>
      </c>
      <c r="U27" s="672">
        <f>H27</f>
        <v>100</v>
      </c>
      <c r="V27" s="671" t="s">
        <v>17</v>
      </c>
      <c r="W27" s="672">
        <f>J27</f>
        <v>100</v>
      </c>
      <c r="X27" s="673"/>
      <c r="Y27" s="3097"/>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35"/>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097"/>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35"/>
      <c r="Q29" s="1431">
        <f t="shared" si="11"/>
        <v>111</v>
      </c>
      <c r="R29" s="674" t="s">
        <v>17</v>
      </c>
      <c r="S29" s="675">
        <f t="shared" si="12"/>
        <v>100</v>
      </c>
      <c r="T29" s="674" t="s">
        <v>17</v>
      </c>
      <c r="U29" s="675">
        <f t="shared" si="13"/>
        <v>100</v>
      </c>
      <c r="V29" s="674" t="s">
        <v>17</v>
      </c>
      <c r="W29" s="675">
        <f t="shared" si="14"/>
        <v>100</v>
      </c>
      <c r="X29" s="1433"/>
      <c r="Y29" s="3097"/>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35"/>
      <c r="Q30" s="1431">
        <f t="shared" si="11"/>
        <v>111</v>
      </c>
      <c r="R30" s="674" t="s">
        <v>17</v>
      </c>
      <c r="S30" s="675">
        <f t="shared" si="12"/>
        <v>100</v>
      </c>
      <c r="T30" s="674" t="s">
        <v>17</v>
      </c>
      <c r="U30" s="675">
        <f t="shared" si="13"/>
        <v>100</v>
      </c>
      <c r="V30" s="674" t="s">
        <v>17</v>
      </c>
      <c r="W30" s="675">
        <f t="shared" si="14"/>
        <v>100</v>
      </c>
      <c r="X30" s="1433"/>
      <c r="Y30" s="3097"/>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35"/>
      <c r="Q31" s="1431">
        <f t="shared" si="11"/>
        <v>111</v>
      </c>
      <c r="R31" s="674" t="s">
        <v>17</v>
      </c>
      <c r="S31" s="675">
        <f t="shared" si="12"/>
        <v>100</v>
      </c>
      <c r="T31" s="674" t="s">
        <v>17</v>
      </c>
      <c r="U31" s="675">
        <f t="shared" si="13"/>
        <v>100</v>
      </c>
      <c r="V31" s="674" t="s">
        <v>17</v>
      </c>
      <c r="W31" s="675">
        <f t="shared" si="14"/>
        <v>100</v>
      </c>
      <c r="X31" s="1433"/>
      <c r="Y31" s="3097"/>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36" t="s">
        <v>2369</v>
      </c>
      <c r="Q32" s="1431" t="str">
        <f t="shared" si="11"/>
        <v>商业类型</v>
      </c>
      <c r="R32" s="674" t="s">
        <v>17</v>
      </c>
      <c r="S32" s="675">
        <f t="shared" si="12"/>
        <v>97</v>
      </c>
      <c r="T32" s="674" t="s">
        <v>17</v>
      </c>
      <c r="U32" s="675">
        <f t="shared" si="13"/>
        <v>97</v>
      </c>
      <c r="V32" s="674" t="s">
        <v>17</v>
      </c>
      <c r="W32" s="675">
        <f t="shared" si="14"/>
        <v>97</v>
      </c>
      <c r="X32" s="1433"/>
      <c r="Y32" s="3099"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37"/>
      <c r="Q33" s="537" t="str">
        <f t="shared" si="11"/>
        <v>项目建筑规模</v>
      </c>
      <c r="R33" s="676" t="s">
        <v>17</v>
      </c>
      <c r="S33" s="677">
        <f t="shared" si="12"/>
        <v>100</v>
      </c>
      <c r="T33" s="676" t="s">
        <v>17</v>
      </c>
      <c r="U33" s="677">
        <f t="shared" si="13"/>
        <v>100</v>
      </c>
      <c r="V33" s="676" t="s">
        <v>17</v>
      </c>
      <c r="W33" s="677">
        <f t="shared" si="14"/>
        <v>100</v>
      </c>
      <c r="X33" s="678"/>
      <c r="Y33" s="3099"/>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37"/>
      <c r="Q34" s="1431" t="str">
        <f t="shared" si="11"/>
        <v>建筑结构</v>
      </c>
      <c r="R34" s="674" t="s">
        <v>17</v>
      </c>
      <c r="S34" s="675">
        <f t="shared" si="12"/>
        <v>100</v>
      </c>
      <c r="T34" s="674" t="s">
        <v>17</v>
      </c>
      <c r="U34" s="675">
        <f t="shared" si="13"/>
        <v>100</v>
      </c>
      <c r="V34" s="674" t="s">
        <v>17</v>
      </c>
      <c r="W34" s="675">
        <f t="shared" si="14"/>
        <v>100</v>
      </c>
      <c r="X34" s="1433"/>
      <c r="Y34" s="3099"/>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37"/>
      <c r="Q35" s="1431" t="str">
        <f t="shared" si="11"/>
        <v>公共部分装修</v>
      </c>
      <c r="R35" s="674" t="s">
        <v>17</v>
      </c>
      <c r="S35" s="675">
        <f t="shared" si="12"/>
        <v>100</v>
      </c>
      <c r="T35" s="674" t="s">
        <v>17</v>
      </c>
      <c r="U35" s="675">
        <f t="shared" si="13"/>
        <v>100</v>
      </c>
      <c r="V35" s="674" t="s">
        <v>17</v>
      </c>
      <c r="W35" s="675">
        <f t="shared" si="14"/>
        <v>100</v>
      </c>
      <c r="X35" s="1433"/>
      <c r="Y35" s="3099"/>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37"/>
      <c r="Q36" s="1431" t="str">
        <f t="shared" si="11"/>
        <v>成新度</v>
      </c>
      <c r="R36" s="674" t="s">
        <v>17</v>
      </c>
      <c r="S36" s="675">
        <f t="shared" si="12"/>
        <v>100</v>
      </c>
      <c r="T36" s="674" t="s">
        <v>17</v>
      </c>
      <c r="U36" s="675">
        <f t="shared" si="13"/>
        <v>100</v>
      </c>
      <c r="V36" s="674" t="s">
        <v>17</v>
      </c>
      <c r="W36" s="675">
        <f t="shared" si="14"/>
        <v>100</v>
      </c>
      <c r="X36" s="1433"/>
      <c r="Y36" s="3099"/>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37"/>
      <c r="Q37" s="536" t="str">
        <f t="shared" si="11"/>
        <v>市政基础设施</v>
      </c>
      <c r="R37" s="671" t="s">
        <v>17</v>
      </c>
      <c r="S37" s="672">
        <f t="shared" si="12"/>
        <v>100</v>
      </c>
      <c r="T37" s="671" t="s">
        <v>17</v>
      </c>
      <c r="U37" s="672">
        <f t="shared" si="13"/>
        <v>100</v>
      </c>
      <c r="V37" s="671" t="s">
        <v>17</v>
      </c>
      <c r="W37" s="672">
        <f t="shared" si="14"/>
        <v>100</v>
      </c>
      <c r="X37" s="673"/>
      <c r="Y37" s="3099"/>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37" t="s">
        <v>2369</v>
      </c>
      <c r="Q38" s="1431" t="str">
        <f t="shared" si="11"/>
        <v>业态</v>
      </c>
      <c r="R38" s="674" t="s">
        <v>17</v>
      </c>
      <c r="S38" s="675">
        <f t="shared" si="12"/>
        <v>100</v>
      </c>
      <c r="T38" s="674" t="s">
        <v>17</v>
      </c>
      <c r="U38" s="675">
        <f t="shared" si="13"/>
        <v>100</v>
      </c>
      <c r="V38" s="674" t="s">
        <v>17</v>
      </c>
      <c r="W38" s="675">
        <f t="shared" si="14"/>
        <v>100</v>
      </c>
      <c r="X38" s="1433"/>
      <c r="Y38" s="3099"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37"/>
      <c r="Q39" s="1431" t="str">
        <f t="shared" si="11"/>
        <v>层高</v>
      </c>
      <c r="R39" s="674" t="s">
        <v>17</v>
      </c>
      <c r="S39" s="675">
        <f t="shared" si="12"/>
        <v>100</v>
      </c>
      <c r="T39" s="674" t="s">
        <v>17</v>
      </c>
      <c r="U39" s="675">
        <f t="shared" si="13"/>
        <v>100</v>
      </c>
      <c r="V39" s="674" t="s">
        <v>17</v>
      </c>
      <c r="W39" s="675">
        <f t="shared" si="14"/>
        <v>100</v>
      </c>
      <c r="X39" s="1433"/>
      <c r="Y39" s="3099"/>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37"/>
      <c r="Q40" s="1431" t="str">
        <f t="shared" si="11"/>
        <v>单套建筑面积</v>
      </c>
      <c r="R40" s="674" t="s">
        <v>17</v>
      </c>
      <c r="S40" s="675">
        <f t="shared" si="12"/>
        <v>100</v>
      </c>
      <c r="T40" s="674" t="s">
        <v>17</v>
      </c>
      <c r="U40" s="675">
        <f t="shared" si="13"/>
        <v>100</v>
      </c>
      <c r="V40" s="674" t="s">
        <v>17</v>
      </c>
      <c r="W40" s="675">
        <f t="shared" si="14"/>
        <v>100</v>
      </c>
      <c r="X40" s="1433"/>
      <c r="Y40" s="3099"/>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37"/>
      <c r="Q41" s="537" t="str">
        <f t="shared" si="11"/>
        <v>进深比</v>
      </c>
      <c r="R41" s="676" t="s">
        <v>17</v>
      </c>
      <c r="S41" s="677">
        <f t="shared" si="12"/>
        <v>100</v>
      </c>
      <c r="T41" s="676" t="s">
        <v>17</v>
      </c>
      <c r="U41" s="677">
        <f t="shared" si="13"/>
        <v>100</v>
      </c>
      <c r="V41" s="676" t="s">
        <v>17</v>
      </c>
      <c r="W41" s="677">
        <f t="shared" si="14"/>
        <v>100</v>
      </c>
      <c r="X41" s="678"/>
      <c r="Y41" s="3099"/>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37"/>
      <c r="Q42" s="1431" t="str">
        <f t="shared" si="11"/>
        <v>内部装修</v>
      </c>
      <c r="R42" s="674" t="s">
        <v>17</v>
      </c>
      <c r="S42" s="675">
        <f t="shared" si="12"/>
        <v>100</v>
      </c>
      <c r="T42" s="674" t="s">
        <v>17</v>
      </c>
      <c r="U42" s="675">
        <f t="shared" si="13"/>
        <v>100</v>
      </c>
      <c r="V42" s="674" t="s">
        <v>17</v>
      </c>
      <c r="W42" s="675">
        <f t="shared" si="14"/>
        <v>100</v>
      </c>
      <c r="X42" s="1433"/>
      <c r="Y42" s="3099"/>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37"/>
      <c r="Q43" s="1431" t="str">
        <f t="shared" si="11"/>
        <v>内部装修维护情况</v>
      </c>
      <c r="R43" s="674" t="s">
        <v>17</v>
      </c>
      <c r="S43" s="675">
        <f t="shared" si="12"/>
        <v>100</v>
      </c>
      <c r="T43" s="674" t="s">
        <v>17</v>
      </c>
      <c r="U43" s="675">
        <f t="shared" si="13"/>
        <v>100</v>
      </c>
      <c r="V43" s="674" t="s">
        <v>17</v>
      </c>
      <c r="W43" s="675">
        <f t="shared" si="14"/>
        <v>100</v>
      </c>
      <c r="X43" s="1433"/>
      <c r="Y43" s="3099"/>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37"/>
      <c r="Q44" s="536">
        <f t="shared" si="11"/>
        <v>111</v>
      </c>
      <c r="R44" s="671" t="s">
        <v>17</v>
      </c>
      <c r="S44" s="672">
        <f t="shared" si="12"/>
        <v>100</v>
      </c>
      <c r="T44" s="671" t="s">
        <v>17</v>
      </c>
      <c r="U44" s="672">
        <f t="shared" si="13"/>
        <v>100</v>
      </c>
      <c r="V44" s="671" t="s">
        <v>17</v>
      </c>
      <c r="W44" s="672">
        <f t="shared" si="14"/>
        <v>100</v>
      </c>
      <c r="X44" s="673"/>
      <c r="Y44" s="3099"/>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37"/>
      <c r="Q45" s="1431">
        <f t="shared" si="11"/>
        <v>111</v>
      </c>
      <c r="R45" s="674" t="s">
        <v>17</v>
      </c>
      <c r="S45" s="675">
        <f t="shared" si="12"/>
        <v>100</v>
      </c>
      <c r="T45" s="674" t="s">
        <v>17</v>
      </c>
      <c r="U45" s="675">
        <f t="shared" si="13"/>
        <v>100</v>
      </c>
      <c r="V45" s="674" t="s">
        <v>17</v>
      </c>
      <c r="W45" s="675">
        <f t="shared" si="14"/>
        <v>100</v>
      </c>
      <c r="X45" s="1433"/>
      <c r="Y45" s="3099"/>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38"/>
      <c r="Q46" s="1431">
        <f t="shared" si="11"/>
        <v>111</v>
      </c>
      <c r="R46" s="674" t="s">
        <v>17</v>
      </c>
      <c r="S46" s="675">
        <f t="shared" si="12"/>
        <v>100</v>
      </c>
      <c r="T46" s="674" t="s">
        <v>17</v>
      </c>
      <c r="U46" s="675">
        <f t="shared" si="13"/>
        <v>100</v>
      </c>
      <c r="V46" s="674" t="s">
        <v>17</v>
      </c>
      <c r="W46" s="675">
        <f t="shared" si="14"/>
        <v>100</v>
      </c>
      <c r="X46" s="1433"/>
      <c r="Y46" s="3139"/>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094" t="str">
        <f>A47</f>
        <v>成交单价（元/平方米）</v>
      </c>
      <c r="Q47" s="3094"/>
      <c r="R47" s="3100">
        <f>E47</f>
        <v>15000</v>
      </c>
      <c r="S47" s="3100"/>
      <c r="T47" s="3100">
        <f>G47</f>
        <v>14000</v>
      </c>
      <c r="U47" s="3100"/>
      <c r="V47" s="3100">
        <f>I47</f>
        <v>13000</v>
      </c>
      <c r="W47" s="3100"/>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094" t="str">
        <f>A48</f>
        <v>比较价值（元/平方米）</v>
      </c>
      <c r="Q48" s="3094"/>
      <c r="R48" s="3100">
        <f>IF(F1="售价",ROUND(PRODUCT(R47,AA7:AA46),0),ROUND(PRODUCT(R47,AA7:AA46),1))</f>
        <v>15464</v>
      </c>
      <c r="S48" s="3100"/>
      <c r="T48" s="3100">
        <f>IF(F1="售价",ROUND(PRODUCT(T47,AB7:AB46),0),ROUND(PRODUCT(T47,AB7:AB46),1))</f>
        <v>14433</v>
      </c>
      <c r="U48" s="3100"/>
      <c r="V48" s="3100">
        <f>IF(F1="售价",ROUND(PRODUCT(V47,AC7:AC46),0),ROUND(PRODUCT(V47,AC7:AC46),1))</f>
        <v>13402</v>
      </c>
      <c r="W48" s="3100"/>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088" t="str">
        <f>A49</f>
        <v>估价对象XX用房的比较价值（楼面单价，元/平方米）</v>
      </c>
      <c r="Q49" s="3089"/>
      <c r="R49" s="3140">
        <f>IF(F1="售价",ROUND(IF(D48="简单平均",AVERAGE(R48:V48),R48*F48+T48*H48+V48*J48),0),ROUND(IF(D48="简单平均",AVERAGE(R48:V48),R48*F48+T48*H48+V48*J48),1))</f>
        <v>14433</v>
      </c>
      <c r="S49" s="3140"/>
      <c r="T49" s="3140"/>
      <c r="U49" s="3140"/>
      <c r="V49" s="3140"/>
      <c r="W49" s="3140"/>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8" t="s">
        <v>3073</v>
      </c>
      <c r="D100" s="2778"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7"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7"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7"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75" t="s">
        <v>2453</v>
      </c>
      <c r="Q4" s="3176"/>
      <c r="R4" s="3179" t="s">
        <v>2449</v>
      </c>
      <c r="S4" s="3180"/>
      <c r="T4" s="3179" t="s">
        <v>2450</v>
      </c>
      <c r="U4" s="3180"/>
      <c r="V4" s="3181" t="s">
        <v>2451</v>
      </c>
      <c r="W4" s="3181"/>
      <c r="X4" s="1975"/>
      <c r="Y4" s="3179" t="s">
        <v>2453</v>
      </c>
      <c r="Z4" s="3180"/>
      <c r="AA4" s="3183" t="s">
        <v>2449</v>
      </c>
      <c r="AB4" s="3183" t="s">
        <v>2450</v>
      </c>
      <c r="AC4" s="3172" t="s">
        <v>2451</v>
      </c>
    </row>
    <row r="5" spans="1:29" ht="15">
      <c r="A5" s="352"/>
      <c r="B5" s="353"/>
      <c r="C5" s="3121" t="s">
        <v>2346</v>
      </c>
      <c r="D5" s="3122"/>
      <c r="E5" s="3128" t="s">
        <v>2347</v>
      </c>
      <c r="F5" s="3129"/>
      <c r="G5" s="3121" t="s">
        <v>2348</v>
      </c>
      <c r="H5" s="3122"/>
      <c r="I5" s="3121" t="s">
        <v>2349</v>
      </c>
      <c r="J5" s="3122"/>
      <c r="K5" s="543"/>
      <c r="L5" s="2670"/>
      <c r="M5" s="2671"/>
      <c r="N5" s="2671"/>
      <c r="O5" s="2671"/>
      <c r="P5" s="3177"/>
      <c r="Q5" s="3110"/>
      <c r="R5" s="3115"/>
      <c r="S5" s="3116"/>
      <c r="T5" s="3115"/>
      <c r="U5" s="3116"/>
      <c r="V5" s="3100"/>
      <c r="W5" s="3100"/>
      <c r="X5" s="1433"/>
      <c r="Y5" s="3115"/>
      <c r="Z5" s="3116"/>
      <c r="AA5" s="3102"/>
      <c r="AB5" s="3102"/>
      <c r="AC5" s="3173"/>
    </row>
    <row r="6" spans="1:29" ht="15.75" thickBot="1">
      <c r="A6" s="354"/>
      <c r="B6" s="355"/>
      <c r="C6" s="3119" t="s">
        <v>2350</v>
      </c>
      <c r="D6" s="3120"/>
      <c r="E6" s="3126" t="s">
        <v>2350</v>
      </c>
      <c r="F6" s="3127"/>
      <c r="G6" s="3119" t="s">
        <v>2350</v>
      </c>
      <c r="H6" s="3120"/>
      <c r="I6" s="3119" t="s">
        <v>2350</v>
      </c>
      <c r="J6" s="3120"/>
      <c r="K6" s="543" t="s">
        <v>2351</v>
      </c>
      <c r="L6" s="2670"/>
      <c r="M6" s="2671"/>
      <c r="N6" s="2671"/>
      <c r="O6" s="2671"/>
      <c r="P6" s="3178"/>
      <c r="Q6" s="3112"/>
      <c r="R6" s="3115"/>
      <c r="S6" s="3116"/>
      <c r="T6" s="3117"/>
      <c r="U6" s="3118"/>
      <c r="V6" s="3100"/>
      <c r="W6" s="3100"/>
      <c r="X6" s="1433"/>
      <c r="Y6" s="3117"/>
      <c r="Z6" s="3118"/>
      <c r="AA6" s="3103"/>
      <c r="AB6" s="3103"/>
      <c r="AC6" s="3174"/>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82" t="s">
        <v>2353</v>
      </c>
      <c r="Q7" s="3125"/>
      <c r="R7" s="671" t="s">
        <v>17</v>
      </c>
      <c r="S7" s="672">
        <f t="shared" ref="S7:S15" si="0">F7</f>
        <v>0</v>
      </c>
      <c r="T7" s="671" t="s">
        <v>17</v>
      </c>
      <c r="U7" s="672">
        <f t="shared" ref="U7:U15" si="1">H7</f>
        <v>0</v>
      </c>
      <c r="V7" s="671" t="s">
        <v>17</v>
      </c>
      <c r="W7" s="672">
        <f t="shared" ref="W7:W15" si="2">J7</f>
        <v>0</v>
      </c>
      <c r="X7" s="673"/>
      <c r="Y7" s="3123" t="s">
        <v>2353</v>
      </c>
      <c r="Z7" s="3124"/>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82" t="s">
        <v>2356</v>
      </c>
      <c r="Q8" s="3124"/>
      <c r="R8" s="671" t="s">
        <v>17</v>
      </c>
      <c r="S8" s="672">
        <f t="shared" si="0"/>
        <v>0</v>
      </c>
      <c r="T8" s="671" t="s">
        <v>17</v>
      </c>
      <c r="U8" s="672">
        <f t="shared" si="1"/>
        <v>0</v>
      </c>
      <c r="V8" s="671" t="s">
        <v>17</v>
      </c>
      <c r="W8" s="672">
        <f t="shared" si="2"/>
        <v>0</v>
      </c>
      <c r="X8" s="673"/>
      <c r="Y8" s="3123" t="s">
        <v>2356</v>
      </c>
      <c r="Z8" s="3124"/>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093"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093"/>
      <c r="Q10" s="536" t="str">
        <f t="shared" si="6"/>
        <v>土地使用年限（年）</v>
      </c>
      <c r="R10" s="671" t="s">
        <v>17</v>
      </c>
      <c r="S10" s="672">
        <f t="shared" si="0"/>
        <v>100</v>
      </c>
      <c r="T10" s="671" t="s">
        <v>17</v>
      </c>
      <c r="U10" s="672">
        <f t="shared" si="1"/>
        <v>100</v>
      </c>
      <c r="V10" s="671" t="s">
        <v>17</v>
      </c>
      <c r="W10" s="672">
        <f t="shared" si="2"/>
        <v>100</v>
      </c>
      <c r="X10" s="673"/>
      <c r="Y10" s="2986"/>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093"/>
      <c r="Q11" s="536" t="str">
        <f t="shared" si="6"/>
        <v>容积率</v>
      </c>
      <c r="R11" s="671" t="s">
        <v>17</v>
      </c>
      <c r="S11" s="672" t="e">
        <f t="shared" si="0"/>
        <v>#N/A</v>
      </c>
      <c r="T11" s="671" t="s">
        <v>17</v>
      </c>
      <c r="U11" s="672" t="e">
        <f t="shared" si="1"/>
        <v>#N/A</v>
      </c>
      <c r="V11" s="671" t="s">
        <v>17</v>
      </c>
      <c r="W11" s="672" t="e">
        <f t="shared" si="2"/>
        <v>#N/A</v>
      </c>
      <c r="X11" s="673"/>
      <c r="Y11" s="2986"/>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093"/>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093"/>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093"/>
      <c r="Q14" s="536">
        <f t="shared" si="6"/>
        <v>111</v>
      </c>
      <c r="R14" s="671" t="s">
        <v>17</v>
      </c>
      <c r="S14" s="672">
        <f t="shared" si="0"/>
        <v>100</v>
      </c>
      <c r="T14" s="671" t="s">
        <v>17</v>
      </c>
      <c r="U14" s="672">
        <f t="shared" si="1"/>
        <v>100</v>
      </c>
      <c r="V14" s="671" t="s">
        <v>17</v>
      </c>
      <c r="W14" s="672">
        <f t="shared" si="2"/>
        <v>100</v>
      </c>
      <c r="X14" s="673"/>
      <c r="Y14" s="2986"/>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34" t="s">
        <v>2364</v>
      </c>
      <c r="Q15" s="1431" t="str">
        <f t="shared" si="6"/>
        <v>办公集聚程度</v>
      </c>
      <c r="R15" s="674" t="s">
        <v>17</v>
      </c>
      <c r="S15" s="675">
        <f t="shared" si="0"/>
        <v>100</v>
      </c>
      <c r="T15" s="674" t="s">
        <v>17</v>
      </c>
      <c r="U15" s="675">
        <f t="shared" si="1"/>
        <v>100</v>
      </c>
      <c r="V15" s="674" t="s">
        <v>17</v>
      </c>
      <c r="W15" s="675">
        <f t="shared" si="2"/>
        <v>100</v>
      </c>
      <c r="X15" s="1433"/>
      <c r="Y15" s="3096"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35"/>
      <c r="Q16" s="1431"/>
      <c r="R16" s="674"/>
      <c r="S16" s="675"/>
      <c r="T16" s="674"/>
      <c r="U16" s="675"/>
      <c r="V16" s="674"/>
      <c r="W16" s="675"/>
      <c r="X16" s="1433"/>
      <c r="Y16" s="3097"/>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35"/>
      <c r="Q17" s="1431" t="str">
        <f>B17</f>
        <v>交通便捷度</v>
      </c>
      <c r="R17" s="674" t="s">
        <v>17</v>
      </c>
      <c r="S17" s="675">
        <f>F17</f>
        <v>100</v>
      </c>
      <c r="T17" s="674" t="s">
        <v>17</v>
      </c>
      <c r="U17" s="675">
        <f>H17</f>
        <v>100</v>
      </c>
      <c r="V17" s="674" t="s">
        <v>17</v>
      </c>
      <c r="W17" s="675">
        <f>J17</f>
        <v>100</v>
      </c>
      <c r="X17" s="1433"/>
      <c r="Y17" s="3097"/>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35"/>
      <c r="Q18" s="1431"/>
      <c r="R18" s="674"/>
      <c r="S18" s="675"/>
      <c r="T18" s="674"/>
      <c r="U18" s="675"/>
      <c r="V18" s="674"/>
      <c r="W18" s="675"/>
      <c r="X18" s="1433"/>
      <c r="Y18" s="3097"/>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35"/>
      <c r="Q19" s="1431" t="str">
        <f>B19</f>
        <v>公共配套设施</v>
      </c>
      <c r="R19" s="674" t="s">
        <v>17</v>
      </c>
      <c r="S19" s="675">
        <f>F19</f>
        <v>100</v>
      </c>
      <c r="T19" s="674" t="s">
        <v>17</v>
      </c>
      <c r="U19" s="675">
        <f>H19</f>
        <v>100</v>
      </c>
      <c r="V19" s="674" t="s">
        <v>17</v>
      </c>
      <c r="W19" s="675">
        <f>J19</f>
        <v>100</v>
      </c>
      <c r="X19" s="1433"/>
      <c r="Y19" s="3097"/>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35"/>
      <c r="Q20" s="1431"/>
      <c r="R20" s="674"/>
      <c r="S20" s="675"/>
      <c r="T20" s="674"/>
      <c r="U20" s="675"/>
      <c r="V20" s="674"/>
      <c r="W20" s="675"/>
      <c r="X20" s="1433"/>
      <c r="Y20" s="3097"/>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35"/>
      <c r="Q21" s="1431" t="str">
        <f>B21</f>
        <v>基础设施水平</v>
      </c>
      <c r="R21" s="674" t="s">
        <v>17</v>
      </c>
      <c r="S21" s="675">
        <f>F21</f>
        <v>100</v>
      </c>
      <c r="T21" s="674" t="s">
        <v>17</v>
      </c>
      <c r="U21" s="675">
        <f>H21</f>
        <v>100</v>
      </c>
      <c r="V21" s="674" t="s">
        <v>17</v>
      </c>
      <c r="W21" s="675">
        <f>J21</f>
        <v>100</v>
      </c>
      <c r="X21" s="1433"/>
      <c r="Y21" s="3097"/>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35"/>
      <c r="Q22" s="1431"/>
      <c r="R22" s="674"/>
      <c r="S22" s="675"/>
      <c r="T22" s="674"/>
      <c r="U22" s="675"/>
      <c r="V22" s="674"/>
      <c r="W22" s="675"/>
      <c r="X22" s="1433"/>
      <c r="Y22" s="3097"/>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35"/>
      <c r="Q23" s="1431" t="str">
        <f>B23</f>
        <v>环境质量</v>
      </c>
      <c r="R23" s="674" t="s">
        <v>17</v>
      </c>
      <c r="S23" s="675">
        <f>F23</f>
        <v>100</v>
      </c>
      <c r="T23" s="674" t="s">
        <v>17</v>
      </c>
      <c r="U23" s="675">
        <f>H23</f>
        <v>100</v>
      </c>
      <c r="V23" s="674" t="s">
        <v>17</v>
      </c>
      <c r="W23" s="675">
        <f>J23</f>
        <v>100</v>
      </c>
      <c r="X23" s="1433"/>
      <c r="Y23" s="3097"/>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35"/>
      <c r="Q24" s="1431"/>
      <c r="R24" s="674"/>
      <c r="S24" s="675"/>
      <c r="T24" s="674"/>
      <c r="U24" s="675"/>
      <c r="V24" s="674"/>
      <c r="W24" s="675"/>
      <c r="X24" s="1433"/>
      <c r="Y24" s="3097"/>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35"/>
      <c r="Q25" s="1431" t="str">
        <f>B25</f>
        <v>毗邻道路的类型与等级</v>
      </c>
      <c r="R25" s="674" t="s">
        <v>17</v>
      </c>
      <c r="S25" s="675">
        <f>F25</f>
        <v>100</v>
      </c>
      <c r="T25" s="674" t="s">
        <v>17</v>
      </c>
      <c r="U25" s="675">
        <f>H25</f>
        <v>100</v>
      </c>
      <c r="V25" s="674" t="s">
        <v>17</v>
      </c>
      <c r="W25" s="675">
        <f>J25</f>
        <v>100</v>
      </c>
      <c r="X25" s="1433"/>
      <c r="Y25" s="3097"/>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35"/>
      <c r="Q26" s="1431"/>
      <c r="R26" s="674"/>
      <c r="S26" s="675"/>
      <c r="T26" s="674"/>
      <c r="U26" s="675"/>
      <c r="V26" s="674"/>
      <c r="W26" s="675"/>
      <c r="X26" s="1433"/>
      <c r="Y26" s="3097"/>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35"/>
      <c r="Q27" s="1431" t="str">
        <f t="shared" ref="Q27:Q47" si="11">B27</f>
        <v>楼层</v>
      </c>
      <c r="R27" s="674" t="s">
        <v>17</v>
      </c>
      <c r="S27" s="675">
        <f>F27</f>
        <v>100</v>
      </c>
      <c r="T27" s="674" t="s">
        <v>17</v>
      </c>
      <c r="U27" s="675">
        <f>H27</f>
        <v>100</v>
      </c>
      <c r="V27" s="674" t="s">
        <v>17</v>
      </c>
      <c r="W27" s="675">
        <f>J27</f>
        <v>100</v>
      </c>
      <c r="X27" s="1433"/>
      <c r="Y27" s="3097"/>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35"/>
      <c r="Q28" s="536" t="str">
        <f t="shared" si="11"/>
        <v>朝向</v>
      </c>
      <c r="R28" s="671" t="s">
        <v>17</v>
      </c>
      <c r="S28" s="672">
        <f>F28</f>
        <v>100</v>
      </c>
      <c r="T28" s="671" t="s">
        <v>17</v>
      </c>
      <c r="U28" s="672">
        <f>H28</f>
        <v>100</v>
      </c>
      <c r="V28" s="671" t="s">
        <v>17</v>
      </c>
      <c r="W28" s="672">
        <f>J28</f>
        <v>100</v>
      </c>
      <c r="X28" s="673"/>
      <c r="Y28" s="3097"/>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35"/>
      <c r="Q29" s="1431">
        <f t="shared" si="11"/>
        <v>111</v>
      </c>
      <c r="R29" s="674" t="s">
        <v>17</v>
      </c>
      <c r="S29" s="675">
        <f t="shared" ref="S29:S47" si="12">F29</f>
        <v>100</v>
      </c>
      <c r="T29" s="674" t="s">
        <v>17</v>
      </c>
      <c r="U29" s="675">
        <f t="shared" ref="U29:U47" si="13">H29</f>
        <v>100</v>
      </c>
      <c r="V29" s="674" t="s">
        <v>17</v>
      </c>
      <c r="W29" s="675">
        <f t="shared" ref="W29:W47" si="14">J29</f>
        <v>100</v>
      </c>
      <c r="X29" s="1433"/>
      <c r="Y29" s="3097"/>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35"/>
      <c r="Q30" s="1431">
        <f t="shared" si="11"/>
        <v>111</v>
      </c>
      <c r="R30" s="674" t="s">
        <v>17</v>
      </c>
      <c r="S30" s="675">
        <f t="shared" si="12"/>
        <v>100</v>
      </c>
      <c r="T30" s="674" t="s">
        <v>17</v>
      </c>
      <c r="U30" s="675">
        <f t="shared" si="13"/>
        <v>100</v>
      </c>
      <c r="V30" s="674" t="s">
        <v>17</v>
      </c>
      <c r="W30" s="675">
        <f t="shared" si="14"/>
        <v>100</v>
      </c>
      <c r="X30" s="1433"/>
      <c r="Y30" s="3097"/>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35"/>
      <c r="Q31" s="1431">
        <f t="shared" si="11"/>
        <v>111</v>
      </c>
      <c r="R31" s="674" t="s">
        <v>17</v>
      </c>
      <c r="S31" s="675">
        <f t="shared" si="12"/>
        <v>100</v>
      </c>
      <c r="T31" s="674" t="s">
        <v>17</v>
      </c>
      <c r="U31" s="675">
        <f t="shared" si="13"/>
        <v>100</v>
      </c>
      <c r="V31" s="674" t="s">
        <v>17</v>
      </c>
      <c r="W31" s="675">
        <f t="shared" si="14"/>
        <v>100</v>
      </c>
      <c r="X31" s="1433"/>
      <c r="Y31" s="3097"/>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35"/>
      <c r="Q32" s="1431">
        <f t="shared" si="11"/>
        <v>111</v>
      </c>
      <c r="R32" s="674" t="s">
        <v>17</v>
      </c>
      <c r="S32" s="675">
        <f t="shared" si="12"/>
        <v>100</v>
      </c>
      <c r="T32" s="674" t="s">
        <v>17</v>
      </c>
      <c r="U32" s="675">
        <f t="shared" si="13"/>
        <v>100</v>
      </c>
      <c r="V32" s="674" t="s">
        <v>17</v>
      </c>
      <c r="W32" s="675">
        <f t="shared" si="14"/>
        <v>100</v>
      </c>
      <c r="X32" s="1433"/>
      <c r="Y32" s="3097"/>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36" t="s">
        <v>2369</v>
      </c>
      <c r="Q33" s="1431" t="str">
        <f t="shared" si="11"/>
        <v>建筑类型</v>
      </c>
      <c r="R33" s="674" t="s">
        <v>17</v>
      </c>
      <c r="S33" s="675">
        <f t="shared" si="12"/>
        <v>100</v>
      </c>
      <c r="T33" s="674" t="s">
        <v>17</v>
      </c>
      <c r="U33" s="675">
        <f t="shared" si="13"/>
        <v>100</v>
      </c>
      <c r="V33" s="674" t="s">
        <v>17</v>
      </c>
      <c r="W33" s="675">
        <f t="shared" si="14"/>
        <v>100</v>
      </c>
      <c r="X33" s="1433"/>
      <c r="Y33" s="3099"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37"/>
      <c r="Q34" s="537" t="str">
        <f t="shared" si="11"/>
        <v>项目建筑规模</v>
      </c>
      <c r="R34" s="676" t="s">
        <v>17</v>
      </c>
      <c r="S34" s="677" t="e">
        <f t="shared" si="12"/>
        <v>#N/A</v>
      </c>
      <c r="T34" s="676" t="s">
        <v>17</v>
      </c>
      <c r="U34" s="677" t="e">
        <f t="shared" si="13"/>
        <v>#N/A</v>
      </c>
      <c r="V34" s="676" t="s">
        <v>17</v>
      </c>
      <c r="W34" s="677" t="e">
        <f t="shared" si="14"/>
        <v>#N/A</v>
      </c>
      <c r="X34" s="678"/>
      <c r="Y34" s="3099"/>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37"/>
      <c r="Q35" s="1431" t="str">
        <f t="shared" si="11"/>
        <v>建筑结构</v>
      </c>
      <c r="R35" s="674" t="s">
        <v>17</v>
      </c>
      <c r="S35" s="675">
        <f t="shared" si="12"/>
        <v>100</v>
      </c>
      <c r="T35" s="674" t="s">
        <v>17</v>
      </c>
      <c r="U35" s="675">
        <f t="shared" si="13"/>
        <v>100</v>
      </c>
      <c r="V35" s="674" t="s">
        <v>17</v>
      </c>
      <c r="W35" s="675">
        <f t="shared" si="14"/>
        <v>100</v>
      </c>
      <c r="X35" s="1433"/>
      <c r="Y35" s="3099"/>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37"/>
      <c r="Q36" s="1431" t="str">
        <f t="shared" si="11"/>
        <v>公共部分装修</v>
      </c>
      <c r="R36" s="674" t="s">
        <v>17</v>
      </c>
      <c r="S36" s="675">
        <f t="shared" si="12"/>
        <v>100</v>
      </c>
      <c r="T36" s="674" t="s">
        <v>17</v>
      </c>
      <c r="U36" s="675">
        <f t="shared" si="13"/>
        <v>100</v>
      </c>
      <c r="V36" s="674" t="s">
        <v>17</v>
      </c>
      <c r="W36" s="675">
        <f t="shared" si="14"/>
        <v>100</v>
      </c>
      <c r="X36" s="1433"/>
      <c r="Y36" s="3099"/>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37"/>
      <c r="Q37" s="1431" t="str">
        <f t="shared" si="11"/>
        <v>成新度</v>
      </c>
      <c r="R37" s="674" t="s">
        <v>17</v>
      </c>
      <c r="S37" s="675" t="e">
        <f t="shared" si="12"/>
        <v>#N/A</v>
      </c>
      <c r="T37" s="674" t="s">
        <v>17</v>
      </c>
      <c r="U37" s="675" t="e">
        <f t="shared" si="13"/>
        <v>#N/A</v>
      </c>
      <c r="V37" s="674" t="s">
        <v>17</v>
      </c>
      <c r="W37" s="675" t="e">
        <f t="shared" si="14"/>
        <v>#N/A</v>
      </c>
      <c r="X37" s="1433"/>
      <c r="Y37" s="3099"/>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37"/>
      <c r="Q38" s="536" t="str">
        <f t="shared" si="11"/>
        <v>写字楼等级</v>
      </c>
      <c r="R38" s="671" t="s">
        <v>17</v>
      </c>
      <c r="S38" s="672">
        <f t="shared" si="12"/>
        <v>100</v>
      </c>
      <c r="T38" s="671" t="s">
        <v>17</v>
      </c>
      <c r="U38" s="672">
        <f t="shared" si="13"/>
        <v>100</v>
      </c>
      <c r="V38" s="671" t="s">
        <v>17</v>
      </c>
      <c r="W38" s="672">
        <f t="shared" si="14"/>
        <v>100</v>
      </c>
      <c r="X38" s="673"/>
      <c r="Y38" s="3099"/>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37" t="s">
        <v>2369</v>
      </c>
      <c r="Q39" s="1431" t="str">
        <f t="shared" si="11"/>
        <v>物业管理</v>
      </c>
      <c r="R39" s="674" t="s">
        <v>17</v>
      </c>
      <c r="S39" s="675">
        <f t="shared" si="12"/>
        <v>100</v>
      </c>
      <c r="T39" s="674" t="s">
        <v>17</v>
      </c>
      <c r="U39" s="675">
        <f t="shared" si="13"/>
        <v>100</v>
      </c>
      <c r="V39" s="674" t="s">
        <v>17</v>
      </c>
      <c r="W39" s="675">
        <f t="shared" si="14"/>
        <v>100</v>
      </c>
      <c r="X39" s="1433"/>
      <c r="Y39" s="3099"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37"/>
      <c r="Q40" s="1431" t="str">
        <f t="shared" si="11"/>
        <v>市政基础设施</v>
      </c>
      <c r="R40" s="674" t="s">
        <v>17</v>
      </c>
      <c r="S40" s="675">
        <f t="shared" si="12"/>
        <v>100</v>
      </c>
      <c r="T40" s="674" t="s">
        <v>17</v>
      </c>
      <c r="U40" s="675">
        <f t="shared" si="13"/>
        <v>100</v>
      </c>
      <c r="V40" s="674" t="s">
        <v>17</v>
      </c>
      <c r="W40" s="675">
        <f t="shared" si="14"/>
        <v>100</v>
      </c>
      <c r="X40" s="1433"/>
      <c r="Y40" s="3099"/>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37"/>
      <c r="Q41" s="1431" t="str">
        <f t="shared" si="11"/>
        <v>层高</v>
      </c>
      <c r="R41" s="674" t="s">
        <v>17</v>
      </c>
      <c r="S41" s="675">
        <f t="shared" si="12"/>
        <v>100</v>
      </c>
      <c r="T41" s="674" t="s">
        <v>17</v>
      </c>
      <c r="U41" s="675">
        <f t="shared" si="13"/>
        <v>100</v>
      </c>
      <c r="V41" s="674" t="s">
        <v>17</v>
      </c>
      <c r="W41" s="675">
        <f t="shared" si="14"/>
        <v>100</v>
      </c>
      <c r="X41" s="1433"/>
      <c r="Y41" s="3099"/>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37"/>
      <c r="Q42" s="537" t="str">
        <f t="shared" si="11"/>
        <v>单套建筑面积</v>
      </c>
      <c r="R42" s="676" t="s">
        <v>17</v>
      </c>
      <c r="S42" s="677">
        <f t="shared" si="12"/>
        <v>100</v>
      </c>
      <c r="T42" s="676" t="s">
        <v>17</v>
      </c>
      <c r="U42" s="677">
        <f t="shared" si="13"/>
        <v>100</v>
      </c>
      <c r="V42" s="676" t="s">
        <v>17</v>
      </c>
      <c r="W42" s="677">
        <f t="shared" si="14"/>
        <v>100</v>
      </c>
      <c r="X42" s="678"/>
      <c r="Y42" s="3099"/>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37"/>
      <c r="Q43" s="1431" t="str">
        <f t="shared" si="11"/>
        <v>内部装修</v>
      </c>
      <c r="R43" s="674" t="s">
        <v>17</v>
      </c>
      <c r="S43" s="675">
        <f t="shared" si="12"/>
        <v>100</v>
      </c>
      <c r="T43" s="674" t="s">
        <v>17</v>
      </c>
      <c r="U43" s="675">
        <f t="shared" si="13"/>
        <v>100</v>
      </c>
      <c r="V43" s="674" t="s">
        <v>17</v>
      </c>
      <c r="W43" s="675">
        <f t="shared" si="14"/>
        <v>100</v>
      </c>
      <c r="X43" s="1433"/>
      <c r="Y43" s="3099"/>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37"/>
      <c r="Q44" s="1431" t="str">
        <f t="shared" si="11"/>
        <v>内部装修维护情况</v>
      </c>
      <c r="R44" s="674" t="s">
        <v>17</v>
      </c>
      <c r="S44" s="675">
        <f t="shared" si="12"/>
        <v>100</v>
      </c>
      <c r="T44" s="674" t="s">
        <v>17</v>
      </c>
      <c r="U44" s="675">
        <f t="shared" si="13"/>
        <v>100</v>
      </c>
      <c r="V44" s="674" t="s">
        <v>17</v>
      </c>
      <c r="W44" s="675">
        <f t="shared" si="14"/>
        <v>100</v>
      </c>
      <c r="X44" s="1433"/>
      <c r="Y44" s="3099"/>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37"/>
      <c r="Q45" s="536">
        <f t="shared" si="11"/>
        <v>111</v>
      </c>
      <c r="R45" s="671" t="s">
        <v>17</v>
      </c>
      <c r="S45" s="672">
        <f t="shared" si="12"/>
        <v>100</v>
      </c>
      <c r="T45" s="671" t="s">
        <v>17</v>
      </c>
      <c r="U45" s="672">
        <f t="shared" si="13"/>
        <v>100</v>
      </c>
      <c r="V45" s="671" t="s">
        <v>17</v>
      </c>
      <c r="W45" s="672">
        <f t="shared" si="14"/>
        <v>100</v>
      </c>
      <c r="X45" s="673"/>
      <c r="Y45" s="3099"/>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37"/>
      <c r="Q46" s="1431">
        <f t="shared" si="11"/>
        <v>111</v>
      </c>
      <c r="R46" s="674" t="s">
        <v>17</v>
      </c>
      <c r="S46" s="675">
        <f t="shared" si="12"/>
        <v>100</v>
      </c>
      <c r="T46" s="674" t="s">
        <v>17</v>
      </c>
      <c r="U46" s="675">
        <f t="shared" si="13"/>
        <v>100</v>
      </c>
      <c r="V46" s="674" t="s">
        <v>17</v>
      </c>
      <c r="W46" s="675">
        <f t="shared" si="14"/>
        <v>100</v>
      </c>
      <c r="X46" s="1433"/>
      <c r="Y46" s="3099"/>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38"/>
      <c r="Q47" s="1431">
        <f t="shared" si="11"/>
        <v>111</v>
      </c>
      <c r="R47" s="674" t="s">
        <v>17</v>
      </c>
      <c r="S47" s="675">
        <f t="shared" si="12"/>
        <v>100</v>
      </c>
      <c r="T47" s="674" t="s">
        <v>17</v>
      </c>
      <c r="U47" s="675">
        <f t="shared" si="13"/>
        <v>100</v>
      </c>
      <c r="V47" s="674" t="s">
        <v>17</v>
      </c>
      <c r="W47" s="675">
        <f t="shared" si="14"/>
        <v>100</v>
      </c>
      <c r="X47" s="1433"/>
      <c r="Y47" s="3139"/>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093" t="str">
        <f>A48</f>
        <v>成交单价（元/平方米）</v>
      </c>
      <c r="Q48" s="3094"/>
      <c r="R48" s="3100">
        <f>E48</f>
        <v>0</v>
      </c>
      <c r="S48" s="3100"/>
      <c r="T48" s="3100">
        <f>G48</f>
        <v>0</v>
      </c>
      <c r="U48" s="3100"/>
      <c r="V48" s="3100">
        <f>I48</f>
        <v>0</v>
      </c>
      <c r="W48" s="3100"/>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093" t="str">
        <f>A49</f>
        <v>比较价值（元/平方米）</v>
      </c>
      <c r="Q49" s="3094"/>
      <c r="R49" s="3100" t="e">
        <f>IF(F1="售价",ROUND(PRODUCT(R48,AA7:AA47),0),ROUND(PRODUCT(R48,AA7:AA47),1))</f>
        <v>#DIV/0!</v>
      </c>
      <c r="S49" s="3100"/>
      <c r="T49" s="3100" t="e">
        <f>IF(F1="售价",ROUND(PRODUCT(T48,AB7:AB47),0),ROUND(PRODUCT(T48,AB7:AB47),1))</f>
        <v>#DIV/0!</v>
      </c>
      <c r="U49" s="3100"/>
      <c r="V49" s="3100" t="e">
        <f>IF(F1="售价",ROUND(PRODUCT(V48,AC7:AC47),0),ROUND(PRODUCT(V48,AC7:AC47),1))</f>
        <v>#DIV/0!</v>
      </c>
      <c r="W49" s="3100"/>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69" t="str">
        <f>A50</f>
        <v>估价对象XX用房的比较价值（楼面单价，元/平方米）</v>
      </c>
      <c r="Q50" s="3170"/>
      <c r="R50" s="3171" t="e">
        <f>IF(F1="售价",ROUND(IF(D49="简单平均",AVERAGE(R49:V49),R49*F49+T49*H49+V49*J49),0),ROUND(IF(D49="简单平均",AVERAGE(R49:V49),R49*F49+T49*H49+V49*J49),1))</f>
        <v>#DIV/0!</v>
      </c>
      <c r="S50" s="3171"/>
      <c r="T50" s="3171"/>
      <c r="U50" s="3171"/>
      <c r="V50" s="3171"/>
      <c r="W50" s="3171"/>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091" t="s">
        <v>2448</v>
      </c>
      <c r="D4" s="3104"/>
      <c r="E4" s="3105" t="s">
        <v>2449</v>
      </c>
      <c r="F4" s="3106"/>
      <c r="G4" s="3091" t="s">
        <v>2450</v>
      </c>
      <c r="H4" s="3104"/>
      <c r="I4" s="3091" t="s">
        <v>2451</v>
      </c>
      <c r="J4" s="3104"/>
      <c r="K4" s="543" t="s">
        <v>2452</v>
      </c>
      <c r="L4" s="980"/>
      <c r="M4" s="981"/>
      <c r="N4" s="981"/>
      <c r="O4" s="981"/>
      <c r="P4" s="3107" t="s">
        <v>2453</v>
      </c>
      <c r="Q4" s="3108"/>
      <c r="R4" s="3113" t="s">
        <v>2449</v>
      </c>
      <c r="S4" s="3114"/>
      <c r="T4" s="3113" t="s">
        <v>2450</v>
      </c>
      <c r="U4" s="3114"/>
      <c r="V4" s="3100" t="s">
        <v>2451</v>
      </c>
      <c r="W4" s="3100"/>
      <c r="X4" s="1433"/>
      <c r="Y4" s="3113" t="s">
        <v>2453</v>
      </c>
      <c r="Z4" s="3114"/>
      <c r="AA4" s="3101" t="s">
        <v>2449</v>
      </c>
      <c r="AB4" s="3102" t="s">
        <v>2450</v>
      </c>
      <c r="AC4" s="3101" t="s">
        <v>2451</v>
      </c>
    </row>
    <row r="5" spans="1:29" ht="15">
      <c r="A5" s="352"/>
      <c r="B5" s="353"/>
      <c r="C5" s="3121" t="s">
        <v>2346</v>
      </c>
      <c r="D5" s="3122"/>
      <c r="E5" s="3128" t="s">
        <v>2347</v>
      </c>
      <c r="F5" s="3129"/>
      <c r="G5" s="3121" t="s">
        <v>2348</v>
      </c>
      <c r="H5" s="3122"/>
      <c r="I5" s="3121" t="s">
        <v>2349</v>
      </c>
      <c r="J5" s="3122"/>
      <c r="K5" s="543"/>
      <c r="L5" s="980"/>
      <c r="M5" s="981"/>
      <c r="N5" s="981"/>
      <c r="O5" s="981"/>
      <c r="P5" s="3109"/>
      <c r="Q5" s="3110"/>
      <c r="R5" s="3115"/>
      <c r="S5" s="3116"/>
      <c r="T5" s="3115"/>
      <c r="U5" s="3116"/>
      <c r="V5" s="3100"/>
      <c r="W5" s="3100"/>
      <c r="X5" s="1433"/>
      <c r="Y5" s="3115"/>
      <c r="Z5" s="3116"/>
      <c r="AA5" s="3102"/>
      <c r="AB5" s="3102"/>
      <c r="AC5" s="3102"/>
    </row>
    <row r="6" spans="1:29" ht="15.75" thickBot="1">
      <c r="A6" s="354"/>
      <c r="B6" s="355"/>
      <c r="C6" s="3119" t="s">
        <v>2350</v>
      </c>
      <c r="D6" s="3120"/>
      <c r="E6" s="3126" t="s">
        <v>2350</v>
      </c>
      <c r="F6" s="3127"/>
      <c r="G6" s="3119" t="s">
        <v>2350</v>
      </c>
      <c r="H6" s="3120"/>
      <c r="I6" s="3119" t="s">
        <v>2350</v>
      </c>
      <c r="J6" s="3120"/>
      <c r="K6" s="543" t="s">
        <v>2351</v>
      </c>
      <c r="L6" s="980"/>
      <c r="M6" s="981"/>
      <c r="N6" s="981"/>
      <c r="O6" s="98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123" t="s">
        <v>2353</v>
      </c>
      <c r="Q7" s="3125"/>
      <c r="R7" s="671" t="s">
        <v>17</v>
      </c>
      <c r="S7" s="672">
        <f t="shared" ref="S7:S15" si="0">F7</f>
        <v>0</v>
      </c>
      <c r="T7" s="671" t="s">
        <v>17</v>
      </c>
      <c r="U7" s="672">
        <f t="shared" ref="U7:U15" si="1">H7</f>
        <v>0</v>
      </c>
      <c r="V7" s="671" t="s">
        <v>17</v>
      </c>
      <c r="W7" s="672">
        <f t="shared" ref="W7:W15" si="2">J7</f>
        <v>0</v>
      </c>
      <c r="X7" s="673"/>
      <c r="Y7" s="3123" t="s">
        <v>2353</v>
      </c>
      <c r="Z7" s="3124"/>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123" t="s">
        <v>2356</v>
      </c>
      <c r="Q8" s="3124"/>
      <c r="R8" s="671" t="s">
        <v>17</v>
      </c>
      <c r="S8" s="672">
        <f t="shared" si="0"/>
        <v>0</v>
      </c>
      <c r="T8" s="671" t="s">
        <v>17</v>
      </c>
      <c r="U8" s="672">
        <f t="shared" si="1"/>
        <v>0</v>
      </c>
      <c r="V8" s="671" t="s">
        <v>17</v>
      </c>
      <c r="W8" s="672">
        <f t="shared" si="2"/>
        <v>0</v>
      </c>
      <c r="X8" s="673"/>
      <c r="Y8" s="3123" t="s">
        <v>2356</v>
      </c>
      <c r="Z8" s="3124"/>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094"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094"/>
      <c r="Q10" s="536" t="str">
        <f t="shared" si="6"/>
        <v>土地使用年限（年）</v>
      </c>
      <c r="R10" s="671" t="s">
        <v>17</v>
      </c>
      <c r="S10" s="672">
        <f t="shared" si="0"/>
        <v>100</v>
      </c>
      <c r="T10" s="671" t="s">
        <v>17</v>
      </c>
      <c r="U10" s="672">
        <f t="shared" si="1"/>
        <v>100</v>
      </c>
      <c r="V10" s="671" t="s">
        <v>17</v>
      </c>
      <c r="W10" s="672">
        <f t="shared" si="2"/>
        <v>100</v>
      </c>
      <c r="X10" s="673"/>
      <c r="Y10" s="2986"/>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094"/>
      <c r="Q11" s="536" t="str">
        <f t="shared" si="6"/>
        <v>容积率</v>
      </c>
      <c r="R11" s="671" t="s">
        <v>17</v>
      </c>
      <c r="S11" s="672" t="e">
        <f t="shared" si="0"/>
        <v>#N/A</v>
      </c>
      <c r="T11" s="671" t="s">
        <v>17</v>
      </c>
      <c r="U11" s="672" t="e">
        <f t="shared" si="1"/>
        <v>#N/A</v>
      </c>
      <c r="V11" s="671" t="s">
        <v>17</v>
      </c>
      <c r="W11" s="672" t="e">
        <f t="shared" si="2"/>
        <v>#N/A</v>
      </c>
      <c r="X11" s="673"/>
      <c r="Y11" s="2986"/>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094"/>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094"/>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094"/>
      <c r="Q14" s="536">
        <f t="shared" si="6"/>
        <v>111</v>
      </c>
      <c r="R14" s="671" t="s">
        <v>17</v>
      </c>
      <c r="S14" s="672">
        <f t="shared" si="0"/>
        <v>100</v>
      </c>
      <c r="T14" s="671" t="s">
        <v>17</v>
      </c>
      <c r="U14" s="672">
        <f t="shared" si="1"/>
        <v>100</v>
      </c>
      <c r="V14" s="671" t="s">
        <v>17</v>
      </c>
      <c r="W14" s="672">
        <f t="shared" si="2"/>
        <v>100</v>
      </c>
      <c r="X14" s="673"/>
      <c r="Y14" s="2986"/>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096" t="s">
        <v>2364</v>
      </c>
      <c r="Q15" s="1431" t="str">
        <f t="shared" si="6"/>
        <v>产业集聚程度</v>
      </c>
      <c r="R15" s="674" t="s">
        <v>17</v>
      </c>
      <c r="S15" s="675">
        <f t="shared" si="0"/>
        <v>100</v>
      </c>
      <c r="T15" s="674" t="s">
        <v>17</v>
      </c>
      <c r="U15" s="675">
        <f t="shared" si="1"/>
        <v>100</v>
      </c>
      <c r="V15" s="674" t="s">
        <v>17</v>
      </c>
      <c r="W15" s="675">
        <f t="shared" si="2"/>
        <v>100</v>
      </c>
      <c r="X15" s="1433"/>
      <c r="Y15" s="3096"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097"/>
      <c r="Q16" s="1431"/>
      <c r="R16" s="674"/>
      <c r="S16" s="675"/>
      <c r="T16" s="674"/>
      <c r="U16" s="675"/>
      <c r="V16" s="674"/>
      <c r="W16" s="675"/>
      <c r="X16" s="1433"/>
      <c r="Y16" s="3097"/>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097"/>
      <c r="Q17" s="1431" t="str">
        <f>B17</f>
        <v>交通便捷度</v>
      </c>
      <c r="R17" s="674" t="s">
        <v>17</v>
      </c>
      <c r="S17" s="675">
        <f>F17</f>
        <v>100</v>
      </c>
      <c r="T17" s="674" t="s">
        <v>17</v>
      </c>
      <c r="U17" s="675">
        <f>H17</f>
        <v>100</v>
      </c>
      <c r="V17" s="674" t="s">
        <v>17</v>
      </c>
      <c r="W17" s="675">
        <f>J17</f>
        <v>100</v>
      </c>
      <c r="X17" s="1433"/>
      <c r="Y17" s="3097"/>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097"/>
      <c r="Q18" s="1431"/>
      <c r="R18" s="674"/>
      <c r="S18" s="675"/>
      <c r="T18" s="674"/>
      <c r="U18" s="675"/>
      <c r="V18" s="674"/>
      <c r="W18" s="675"/>
      <c r="X18" s="1433"/>
      <c r="Y18" s="3097"/>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097"/>
      <c r="Q19" s="1431" t="str">
        <f>B19</f>
        <v>公共配套设施</v>
      </c>
      <c r="R19" s="674" t="s">
        <v>17</v>
      </c>
      <c r="S19" s="675">
        <f>F19</f>
        <v>100</v>
      </c>
      <c r="T19" s="674" t="s">
        <v>17</v>
      </c>
      <c r="U19" s="675">
        <f>H19</f>
        <v>100</v>
      </c>
      <c r="V19" s="674" t="s">
        <v>17</v>
      </c>
      <c r="W19" s="675">
        <f>J19</f>
        <v>100</v>
      </c>
      <c r="X19" s="1433"/>
      <c r="Y19" s="3097"/>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097"/>
      <c r="Q20" s="1431"/>
      <c r="R20" s="674"/>
      <c r="S20" s="675"/>
      <c r="T20" s="674"/>
      <c r="U20" s="675"/>
      <c r="V20" s="674"/>
      <c r="W20" s="675"/>
      <c r="X20" s="1433"/>
      <c r="Y20" s="3097"/>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097"/>
      <c r="Q21" s="1431" t="str">
        <f>B21</f>
        <v>基础设施水平</v>
      </c>
      <c r="R21" s="674" t="s">
        <v>17</v>
      </c>
      <c r="S21" s="675">
        <f>F21</f>
        <v>100</v>
      </c>
      <c r="T21" s="674" t="s">
        <v>17</v>
      </c>
      <c r="U21" s="675">
        <f>H21</f>
        <v>100</v>
      </c>
      <c r="V21" s="674" t="s">
        <v>17</v>
      </c>
      <c r="W21" s="675">
        <f>J21</f>
        <v>100</v>
      </c>
      <c r="X21" s="1433"/>
      <c r="Y21" s="3097"/>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097"/>
      <c r="Q22" s="1431"/>
      <c r="R22" s="674"/>
      <c r="S22" s="675"/>
      <c r="T22" s="674"/>
      <c r="U22" s="675"/>
      <c r="V22" s="674"/>
      <c r="W22" s="675"/>
      <c r="X22" s="1433"/>
      <c r="Y22" s="3097"/>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097"/>
      <c r="Q23" s="1431" t="str">
        <f>B23</f>
        <v>环境质量</v>
      </c>
      <c r="R23" s="674" t="s">
        <v>17</v>
      </c>
      <c r="S23" s="675">
        <f>F23</f>
        <v>100</v>
      </c>
      <c r="T23" s="674" t="s">
        <v>17</v>
      </c>
      <c r="U23" s="675">
        <f>H23</f>
        <v>100</v>
      </c>
      <c r="V23" s="674" t="s">
        <v>17</v>
      </c>
      <c r="W23" s="675">
        <f>J23</f>
        <v>100</v>
      </c>
      <c r="X23" s="1433"/>
      <c r="Y23" s="3097"/>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097"/>
      <c r="Q24" s="1431"/>
      <c r="R24" s="674"/>
      <c r="S24" s="675"/>
      <c r="T24" s="674"/>
      <c r="U24" s="675"/>
      <c r="V24" s="674"/>
      <c r="W24" s="675"/>
      <c r="X24" s="1433"/>
      <c r="Y24" s="3097"/>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097"/>
      <c r="Q25" s="1431">
        <f>B25</f>
        <v>111</v>
      </c>
      <c r="R25" s="674" t="s">
        <v>17</v>
      </c>
      <c r="S25" s="675">
        <f>F25</f>
        <v>100</v>
      </c>
      <c r="T25" s="674" t="s">
        <v>17</v>
      </c>
      <c r="U25" s="675">
        <f>H25</f>
        <v>100</v>
      </c>
      <c r="V25" s="674" t="s">
        <v>17</v>
      </c>
      <c r="W25" s="675">
        <f>J25</f>
        <v>100</v>
      </c>
      <c r="X25" s="1433"/>
      <c r="Y25" s="3097"/>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097"/>
      <c r="Q26" s="1431">
        <f t="shared" ref="Q26:Q40" si="11">B26</f>
        <v>111</v>
      </c>
      <c r="R26" s="674" t="s">
        <v>17</v>
      </c>
      <c r="S26" s="675">
        <f>F26</f>
        <v>100</v>
      </c>
      <c r="T26" s="674" t="s">
        <v>17</v>
      </c>
      <c r="U26" s="675">
        <f>H26</f>
        <v>100</v>
      </c>
      <c r="V26" s="674" t="s">
        <v>17</v>
      </c>
      <c r="W26" s="675">
        <f>J26</f>
        <v>100</v>
      </c>
      <c r="X26" s="1433"/>
      <c r="Y26" s="3097"/>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097"/>
      <c r="Q27" s="536">
        <f t="shared" si="11"/>
        <v>111</v>
      </c>
      <c r="R27" s="671" t="s">
        <v>17</v>
      </c>
      <c r="S27" s="672">
        <f>F27</f>
        <v>100</v>
      </c>
      <c r="T27" s="671" t="s">
        <v>17</v>
      </c>
      <c r="U27" s="672">
        <f>H27</f>
        <v>100</v>
      </c>
      <c r="V27" s="671" t="s">
        <v>17</v>
      </c>
      <c r="W27" s="672">
        <f>J27</f>
        <v>100</v>
      </c>
      <c r="X27" s="673"/>
      <c r="Y27" s="3097"/>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097"/>
      <c r="Q28" s="1431">
        <f t="shared" si="11"/>
        <v>111</v>
      </c>
      <c r="R28" s="674" t="s">
        <v>17</v>
      </c>
      <c r="S28" s="675">
        <f t="shared" ref="S28:S40" si="12">F28</f>
        <v>100</v>
      </c>
      <c r="T28" s="674" t="s">
        <v>17</v>
      </c>
      <c r="U28" s="675">
        <f t="shared" ref="U28:U40" si="13">H28</f>
        <v>100</v>
      </c>
      <c r="V28" s="674" t="s">
        <v>17</v>
      </c>
      <c r="W28" s="675">
        <f t="shared" ref="W28:W40" si="14">J28</f>
        <v>100</v>
      </c>
      <c r="X28" s="1433"/>
      <c r="Y28" s="3097"/>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098" t="s">
        <v>2369</v>
      </c>
      <c r="Q29" s="1431" t="str">
        <f t="shared" si="11"/>
        <v>建筑类型</v>
      </c>
      <c r="R29" s="674" t="s">
        <v>17</v>
      </c>
      <c r="S29" s="675">
        <f t="shared" si="12"/>
        <v>100</v>
      </c>
      <c r="T29" s="674" t="s">
        <v>17</v>
      </c>
      <c r="U29" s="675">
        <f t="shared" si="13"/>
        <v>100</v>
      </c>
      <c r="V29" s="674" t="s">
        <v>17</v>
      </c>
      <c r="W29" s="675">
        <f t="shared" si="14"/>
        <v>100</v>
      </c>
      <c r="X29" s="1433"/>
      <c r="Y29" s="3099"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099"/>
      <c r="Q30" s="537" t="str">
        <f t="shared" si="11"/>
        <v>项目建筑规模</v>
      </c>
      <c r="R30" s="676" t="s">
        <v>17</v>
      </c>
      <c r="S30" s="677" t="e">
        <f t="shared" si="12"/>
        <v>#N/A</v>
      </c>
      <c r="T30" s="676" t="s">
        <v>17</v>
      </c>
      <c r="U30" s="677" t="e">
        <f t="shared" si="13"/>
        <v>#N/A</v>
      </c>
      <c r="V30" s="676" t="s">
        <v>17</v>
      </c>
      <c r="W30" s="677" t="e">
        <f t="shared" si="14"/>
        <v>#N/A</v>
      </c>
      <c r="X30" s="678"/>
      <c r="Y30" s="3099"/>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099"/>
      <c r="Q31" s="1431" t="str">
        <f t="shared" si="11"/>
        <v>建筑结构</v>
      </c>
      <c r="R31" s="674" t="s">
        <v>17</v>
      </c>
      <c r="S31" s="675">
        <f t="shared" si="12"/>
        <v>100</v>
      </c>
      <c r="T31" s="674" t="s">
        <v>17</v>
      </c>
      <c r="U31" s="675">
        <f t="shared" si="13"/>
        <v>100</v>
      </c>
      <c r="V31" s="674" t="s">
        <v>17</v>
      </c>
      <c r="W31" s="675">
        <f t="shared" si="14"/>
        <v>100</v>
      </c>
      <c r="X31" s="1433"/>
      <c r="Y31" s="3099"/>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099"/>
      <c r="Q32" s="1431" t="str">
        <f t="shared" si="11"/>
        <v>公共部分装修</v>
      </c>
      <c r="R32" s="674" t="s">
        <v>17</v>
      </c>
      <c r="S32" s="675">
        <f t="shared" si="12"/>
        <v>100</v>
      </c>
      <c r="T32" s="674" t="s">
        <v>17</v>
      </c>
      <c r="U32" s="675">
        <f t="shared" si="13"/>
        <v>100</v>
      </c>
      <c r="V32" s="674" t="s">
        <v>17</v>
      </c>
      <c r="W32" s="675">
        <f t="shared" si="14"/>
        <v>100</v>
      </c>
      <c r="X32" s="1433"/>
      <c r="Y32" s="3099"/>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099"/>
      <c r="Q33" s="1431" t="str">
        <f t="shared" si="11"/>
        <v>成新度</v>
      </c>
      <c r="R33" s="674" t="s">
        <v>17</v>
      </c>
      <c r="S33" s="675" t="e">
        <f t="shared" si="12"/>
        <v>#N/A</v>
      </c>
      <c r="T33" s="674" t="s">
        <v>17</v>
      </c>
      <c r="U33" s="675" t="e">
        <f t="shared" si="13"/>
        <v>#N/A</v>
      </c>
      <c r="V33" s="674" t="s">
        <v>17</v>
      </c>
      <c r="W33" s="675" t="e">
        <f t="shared" si="14"/>
        <v>#N/A</v>
      </c>
      <c r="X33" s="1433"/>
      <c r="Y33" s="3099"/>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099"/>
      <c r="Q34" s="536" t="str">
        <f t="shared" si="11"/>
        <v>物业管理</v>
      </c>
      <c r="R34" s="671" t="s">
        <v>17</v>
      </c>
      <c r="S34" s="672">
        <f t="shared" si="12"/>
        <v>100</v>
      </c>
      <c r="T34" s="671" t="s">
        <v>17</v>
      </c>
      <c r="U34" s="672">
        <f t="shared" si="13"/>
        <v>100</v>
      </c>
      <c r="V34" s="671" t="s">
        <v>17</v>
      </c>
      <c r="W34" s="672">
        <f t="shared" si="14"/>
        <v>100</v>
      </c>
      <c r="X34" s="673"/>
      <c r="Y34" s="3099"/>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099" t="s">
        <v>2369</v>
      </c>
      <c r="Q35" s="1431" t="str">
        <f t="shared" si="11"/>
        <v>市政基础设施</v>
      </c>
      <c r="R35" s="674" t="s">
        <v>17</v>
      </c>
      <c r="S35" s="675">
        <f t="shared" si="12"/>
        <v>100</v>
      </c>
      <c r="T35" s="674" t="s">
        <v>17</v>
      </c>
      <c r="U35" s="675">
        <f t="shared" si="13"/>
        <v>100</v>
      </c>
      <c r="V35" s="674" t="s">
        <v>17</v>
      </c>
      <c r="W35" s="675">
        <f t="shared" si="14"/>
        <v>100</v>
      </c>
      <c r="X35" s="1433"/>
      <c r="Y35" s="3099"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099"/>
      <c r="Q36" s="1431" t="str">
        <f t="shared" si="11"/>
        <v>内部装修</v>
      </c>
      <c r="R36" s="674" t="s">
        <v>17</v>
      </c>
      <c r="S36" s="675">
        <f t="shared" si="12"/>
        <v>100</v>
      </c>
      <c r="T36" s="674" t="s">
        <v>17</v>
      </c>
      <c r="U36" s="675">
        <f t="shared" si="13"/>
        <v>100</v>
      </c>
      <c r="V36" s="674" t="s">
        <v>17</v>
      </c>
      <c r="W36" s="675">
        <f t="shared" si="14"/>
        <v>100</v>
      </c>
      <c r="X36" s="1433"/>
      <c r="Y36" s="3099"/>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099"/>
      <c r="Q37" s="1431" t="str">
        <f t="shared" si="11"/>
        <v>内部装修状况</v>
      </c>
      <c r="R37" s="674" t="s">
        <v>17</v>
      </c>
      <c r="S37" s="675">
        <f t="shared" si="12"/>
        <v>100</v>
      </c>
      <c r="T37" s="674" t="s">
        <v>17</v>
      </c>
      <c r="U37" s="675">
        <f t="shared" si="13"/>
        <v>100</v>
      </c>
      <c r="V37" s="674" t="s">
        <v>17</v>
      </c>
      <c r="W37" s="675">
        <f t="shared" si="14"/>
        <v>100</v>
      </c>
      <c r="X37" s="1433"/>
      <c r="Y37" s="3099"/>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099"/>
      <c r="Q38" s="537">
        <f t="shared" si="11"/>
        <v>111</v>
      </c>
      <c r="R38" s="676" t="s">
        <v>17</v>
      </c>
      <c r="S38" s="677">
        <f t="shared" si="12"/>
        <v>100</v>
      </c>
      <c r="T38" s="676" t="s">
        <v>17</v>
      </c>
      <c r="U38" s="677">
        <f t="shared" si="13"/>
        <v>100</v>
      </c>
      <c r="V38" s="676" t="s">
        <v>17</v>
      </c>
      <c r="W38" s="677">
        <f t="shared" si="14"/>
        <v>100</v>
      </c>
      <c r="X38" s="678"/>
      <c r="Y38" s="3099"/>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099"/>
      <c r="Q39" s="1431">
        <f t="shared" si="11"/>
        <v>111</v>
      </c>
      <c r="R39" s="674" t="s">
        <v>17</v>
      </c>
      <c r="S39" s="675">
        <f t="shared" si="12"/>
        <v>100</v>
      </c>
      <c r="T39" s="674" t="s">
        <v>17</v>
      </c>
      <c r="U39" s="675">
        <f t="shared" si="13"/>
        <v>100</v>
      </c>
      <c r="V39" s="674" t="s">
        <v>17</v>
      </c>
      <c r="W39" s="675">
        <f t="shared" si="14"/>
        <v>100</v>
      </c>
      <c r="X39" s="1433"/>
      <c r="Y39" s="3099"/>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39"/>
      <c r="Q40" s="1431">
        <f t="shared" si="11"/>
        <v>111</v>
      </c>
      <c r="R40" s="674" t="s">
        <v>17</v>
      </c>
      <c r="S40" s="675">
        <f t="shared" si="12"/>
        <v>100</v>
      </c>
      <c r="T40" s="674" t="s">
        <v>17</v>
      </c>
      <c r="U40" s="675">
        <f t="shared" si="13"/>
        <v>100</v>
      </c>
      <c r="V40" s="674" t="s">
        <v>17</v>
      </c>
      <c r="W40" s="675">
        <f t="shared" si="14"/>
        <v>100</v>
      </c>
      <c r="X40" s="1433"/>
      <c r="Y40" s="3139"/>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094" t="str">
        <f>A41</f>
        <v>成交单价（元/平方米）</v>
      </c>
      <c r="Q41" s="3094"/>
      <c r="R41" s="3100">
        <f>E41</f>
        <v>0</v>
      </c>
      <c r="S41" s="3100"/>
      <c r="T41" s="3100">
        <f>G41</f>
        <v>0</v>
      </c>
      <c r="U41" s="3100"/>
      <c r="V41" s="3100">
        <f>I41</f>
        <v>0</v>
      </c>
      <c r="W41" s="3100"/>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094" t="str">
        <f>A42</f>
        <v>比较价值（元/平方米）</v>
      </c>
      <c r="Q42" s="3094"/>
      <c r="R42" s="3100" t="e">
        <f>IF(F1="售价",ROUND(PRODUCT(R41,AA7:AA40),0),ROUND(PRODUCT(R41,AA7:AA40),1))</f>
        <v>#DIV/0!</v>
      </c>
      <c r="S42" s="3100"/>
      <c r="T42" s="3100" t="e">
        <f>IF(F1="售价",ROUND(PRODUCT(T41,AB7:AB40),0),ROUND(PRODUCT(T41,AB7:AB40),1))</f>
        <v>#DIV/0!</v>
      </c>
      <c r="U42" s="3100"/>
      <c r="V42" s="3100" t="e">
        <f>IF(F1="售价",ROUND(PRODUCT(V41,AC7:AC40),0),ROUND(PRODUCT(V41,AC7:AC40),1))</f>
        <v>#DIV/0!</v>
      </c>
      <c r="W42" s="3100"/>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088" t="str">
        <f>A43</f>
        <v>估价对象XX用房的比较价值（楼面单价，元/平方米）</v>
      </c>
      <c r="Q43" s="3089"/>
      <c r="R43" s="3140" t="e">
        <f>IF(F1="售价",ROUND(IF(D42="简单平均",AVERAGE(R42:V42),R42*F42+T42*H42+V42*J42),0),ROUND(IF(D42="简单平均",AVERAGE(R42:V42),R42*F42+T42*H42+V42*J42),1))</f>
        <v>#DIV/0!</v>
      </c>
      <c r="S43" s="3140"/>
      <c r="T43" s="3140"/>
      <c r="U43" s="3140"/>
      <c r="V43" s="3140"/>
      <c r="W43" s="3140"/>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07" t="s">
        <v>2453</v>
      </c>
      <c r="Q4" s="3108"/>
      <c r="R4" s="3113" t="s">
        <v>2449</v>
      </c>
      <c r="S4" s="3114"/>
      <c r="T4" s="3113" t="s">
        <v>2450</v>
      </c>
      <c r="U4" s="3114"/>
      <c r="V4" s="3100" t="s">
        <v>2451</v>
      </c>
      <c r="W4" s="3100"/>
      <c r="X4" s="1433"/>
      <c r="Y4" s="3113" t="s">
        <v>2453</v>
      </c>
      <c r="Z4" s="3114"/>
      <c r="AA4" s="3101" t="s">
        <v>2449</v>
      </c>
      <c r="AB4" s="3102" t="s">
        <v>2450</v>
      </c>
      <c r="AC4" s="3101" t="s">
        <v>2451</v>
      </c>
    </row>
    <row r="5" spans="1:29" ht="15">
      <c r="A5" s="352"/>
      <c r="B5" s="353"/>
      <c r="C5" s="3121" t="s">
        <v>2346</v>
      </c>
      <c r="D5" s="3122"/>
      <c r="E5" s="3128" t="s">
        <v>2347</v>
      </c>
      <c r="F5" s="3129"/>
      <c r="G5" s="3121" t="s">
        <v>2348</v>
      </c>
      <c r="H5" s="3122"/>
      <c r="I5" s="3121" t="s">
        <v>2349</v>
      </c>
      <c r="J5" s="3122"/>
      <c r="K5" s="543"/>
      <c r="L5" s="2670"/>
      <c r="M5" s="2671"/>
      <c r="N5" s="2671"/>
      <c r="O5" s="2671"/>
      <c r="P5" s="3109"/>
      <c r="Q5" s="3110"/>
      <c r="R5" s="3115"/>
      <c r="S5" s="3116"/>
      <c r="T5" s="3115"/>
      <c r="U5" s="3116"/>
      <c r="V5" s="3100"/>
      <c r="W5" s="3100"/>
      <c r="X5" s="1433"/>
      <c r="Y5" s="3115"/>
      <c r="Z5" s="3116"/>
      <c r="AA5" s="3102"/>
      <c r="AB5" s="3102"/>
      <c r="AC5" s="3102"/>
    </row>
    <row r="6" spans="1:29" ht="15.75" thickBot="1">
      <c r="A6" s="354"/>
      <c r="B6" s="355"/>
      <c r="C6" s="3119" t="s">
        <v>2350</v>
      </c>
      <c r="D6" s="3120"/>
      <c r="E6" s="3126" t="s">
        <v>2350</v>
      </c>
      <c r="F6" s="3127"/>
      <c r="G6" s="3119" t="s">
        <v>2350</v>
      </c>
      <c r="H6" s="3120"/>
      <c r="I6" s="3119" t="s">
        <v>2350</v>
      </c>
      <c r="J6" s="3120"/>
      <c r="K6" s="543" t="s">
        <v>2351</v>
      </c>
      <c r="L6" s="2670"/>
      <c r="M6" s="2671"/>
      <c r="N6" s="2671"/>
      <c r="O6" s="267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123" t="s">
        <v>2353</v>
      </c>
      <c r="Q7" s="3125"/>
      <c r="R7" s="671" t="s">
        <v>17</v>
      </c>
      <c r="S7" s="672">
        <f t="shared" ref="S7:S14" si="0">F7</f>
        <v>0</v>
      </c>
      <c r="T7" s="671" t="s">
        <v>17</v>
      </c>
      <c r="U7" s="672">
        <f t="shared" ref="U7:U14" si="1">H7</f>
        <v>0</v>
      </c>
      <c r="V7" s="671" t="s">
        <v>17</v>
      </c>
      <c r="W7" s="672">
        <f t="shared" ref="W7:W14" si="2">J7</f>
        <v>0</v>
      </c>
      <c r="X7" s="673"/>
      <c r="Y7" s="3123" t="s">
        <v>2353</v>
      </c>
      <c r="Z7" s="3124"/>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123" t="s">
        <v>2356</v>
      </c>
      <c r="Q8" s="3124"/>
      <c r="R8" s="671" t="s">
        <v>17</v>
      </c>
      <c r="S8" s="672">
        <f t="shared" si="0"/>
        <v>0</v>
      </c>
      <c r="T8" s="671" t="s">
        <v>17</v>
      </c>
      <c r="U8" s="672">
        <f t="shared" si="1"/>
        <v>0</v>
      </c>
      <c r="V8" s="671" t="s">
        <v>17</v>
      </c>
      <c r="W8" s="672">
        <f t="shared" si="2"/>
        <v>0</v>
      </c>
      <c r="X8" s="673"/>
      <c r="Y8" s="3123" t="s">
        <v>2356</v>
      </c>
      <c r="Z8" s="3124"/>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094" t="s">
        <v>2359</v>
      </c>
      <c r="Q9" s="536" t="str">
        <f t="shared" ref="Q9:Q14" si="6">B9</f>
        <v>用途</v>
      </c>
      <c r="R9" s="671" t="s">
        <v>17</v>
      </c>
      <c r="S9" s="672">
        <f t="shared" si="0"/>
        <v>100</v>
      </c>
      <c r="T9" s="671" t="s">
        <v>17</v>
      </c>
      <c r="U9" s="672">
        <f t="shared" si="1"/>
        <v>100</v>
      </c>
      <c r="V9" s="671" t="s">
        <v>17</v>
      </c>
      <c r="W9" s="672">
        <f t="shared" si="2"/>
        <v>100</v>
      </c>
      <c r="X9" s="673"/>
      <c r="Y9" s="2986"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094"/>
      <c r="Q10" s="536" t="str">
        <f t="shared" si="6"/>
        <v>土地使用年限（年）</v>
      </c>
      <c r="R10" s="671" t="s">
        <v>17</v>
      </c>
      <c r="S10" s="672">
        <f t="shared" si="0"/>
        <v>100</v>
      </c>
      <c r="T10" s="671" t="s">
        <v>17</v>
      </c>
      <c r="U10" s="672">
        <f t="shared" si="1"/>
        <v>100</v>
      </c>
      <c r="V10" s="671" t="s">
        <v>17</v>
      </c>
      <c r="W10" s="672">
        <f t="shared" si="2"/>
        <v>100</v>
      </c>
      <c r="X10" s="673"/>
      <c r="Y10" s="2986"/>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094"/>
      <c r="Q11" s="536">
        <f t="shared" si="6"/>
        <v>111</v>
      </c>
      <c r="R11" s="671" t="s">
        <v>17</v>
      </c>
      <c r="S11" s="672">
        <f t="shared" si="0"/>
        <v>100</v>
      </c>
      <c r="T11" s="671" t="s">
        <v>17</v>
      </c>
      <c r="U11" s="672">
        <f t="shared" si="1"/>
        <v>100</v>
      </c>
      <c r="V11" s="671" t="s">
        <v>17</v>
      </c>
      <c r="W11" s="672">
        <f t="shared" si="2"/>
        <v>100</v>
      </c>
      <c r="X11" s="673"/>
      <c r="Y11" s="2986"/>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094"/>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094"/>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096" t="s">
        <v>2364</v>
      </c>
      <c r="Q14" s="1431" t="str">
        <f t="shared" si="6"/>
        <v>交通便捷度</v>
      </c>
      <c r="R14" s="674" t="s">
        <v>17</v>
      </c>
      <c r="S14" s="675">
        <f t="shared" si="0"/>
        <v>100</v>
      </c>
      <c r="T14" s="674" t="s">
        <v>17</v>
      </c>
      <c r="U14" s="675">
        <f t="shared" si="1"/>
        <v>100</v>
      </c>
      <c r="V14" s="674" t="s">
        <v>17</v>
      </c>
      <c r="W14" s="675">
        <f t="shared" si="2"/>
        <v>100</v>
      </c>
      <c r="X14" s="1433"/>
      <c r="Y14" s="3096"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097"/>
      <c r="Q15" s="1431"/>
      <c r="R15" s="674"/>
      <c r="S15" s="675"/>
      <c r="T15" s="674"/>
      <c r="U15" s="675"/>
      <c r="V15" s="674"/>
      <c r="W15" s="675"/>
      <c r="X15" s="1433"/>
      <c r="Y15" s="3097"/>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097"/>
      <c r="Q16" s="1431" t="str">
        <f>B16</f>
        <v>公共配套设施</v>
      </c>
      <c r="R16" s="674" t="s">
        <v>17</v>
      </c>
      <c r="S16" s="675">
        <f>F16</f>
        <v>100</v>
      </c>
      <c r="T16" s="674" t="s">
        <v>17</v>
      </c>
      <c r="U16" s="675">
        <f>H16</f>
        <v>100</v>
      </c>
      <c r="V16" s="674" t="s">
        <v>17</v>
      </c>
      <c r="W16" s="675">
        <f>J16</f>
        <v>100</v>
      </c>
      <c r="X16" s="1433"/>
      <c r="Y16" s="3097"/>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097"/>
      <c r="Q17" s="1431"/>
      <c r="R17" s="674"/>
      <c r="S17" s="675"/>
      <c r="T17" s="674"/>
      <c r="U17" s="675"/>
      <c r="V17" s="674"/>
      <c r="W17" s="675"/>
      <c r="X17" s="1433"/>
      <c r="Y17" s="3097"/>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097"/>
      <c r="Q18" s="1431" t="str">
        <f>B18</f>
        <v>基础设施水平</v>
      </c>
      <c r="R18" s="674" t="s">
        <v>17</v>
      </c>
      <c r="S18" s="675">
        <f>F18</f>
        <v>100</v>
      </c>
      <c r="T18" s="674" t="s">
        <v>17</v>
      </c>
      <c r="U18" s="675">
        <f>H18</f>
        <v>100</v>
      </c>
      <c r="V18" s="674" t="s">
        <v>17</v>
      </c>
      <c r="W18" s="675">
        <f>J18</f>
        <v>100</v>
      </c>
      <c r="X18" s="1433"/>
      <c r="Y18" s="3097"/>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097"/>
      <c r="Q19" s="1431"/>
      <c r="R19" s="674"/>
      <c r="S19" s="675"/>
      <c r="T19" s="674"/>
      <c r="U19" s="675"/>
      <c r="V19" s="674"/>
      <c r="W19" s="675"/>
      <c r="X19" s="1433"/>
      <c r="Y19" s="3097"/>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097"/>
      <c r="Q20" s="1431" t="str">
        <f>B20</f>
        <v>自然及人文环境</v>
      </c>
      <c r="R20" s="674" t="s">
        <v>17</v>
      </c>
      <c r="S20" s="675">
        <f>F20</f>
        <v>100</v>
      </c>
      <c r="T20" s="674" t="s">
        <v>17</v>
      </c>
      <c r="U20" s="675">
        <f>H20</f>
        <v>100</v>
      </c>
      <c r="V20" s="674" t="s">
        <v>17</v>
      </c>
      <c r="W20" s="675">
        <f>J20</f>
        <v>100</v>
      </c>
      <c r="X20" s="1433"/>
      <c r="Y20" s="3097"/>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097"/>
      <c r="Q21" s="1431"/>
      <c r="R21" s="674"/>
      <c r="S21" s="675"/>
      <c r="T21" s="674"/>
      <c r="U21" s="675"/>
      <c r="V21" s="674"/>
      <c r="W21" s="675"/>
      <c r="X21" s="1433"/>
      <c r="Y21" s="3097"/>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097"/>
      <c r="Q22" s="1431" t="str">
        <f>B22</f>
        <v>楼层</v>
      </c>
      <c r="R22" s="674" t="s">
        <v>17</v>
      </c>
      <c r="S22" s="675">
        <f>F22</f>
        <v>100</v>
      </c>
      <c r="T22" s="674" t="s">
        <v>17</v>
      </c>
      <c r="U22" s="675">
        <f>H22</f>
        <v>100</v>
      </c>
      <c r="V22" s="674" t="s">
        <v>17</v>
      </c>
      <c r="W22" s="675">
        <f>J22</f>
        <v>100</v>
      </c>
      <c r="X22" s="1433"/>
      <c r="Y22" s="3097"/>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097"/>
      <c r="Q23" s="1431">
        <f>B23</f>
        <v>111</v>
      </c>
      <c r="R23" s="674" t="s">
        <v>17</v>
      </c>
      <c r="S23" s="675">
        <f>F23</f>
        <v>100</v>
      </c>
      <c r="T23" s="674" t="s">
        <v>17</v>
      </c>
      <c r="U23" s="675">
        <f>H23</f>
        <v>100</v>
      </c>
      <c r="V23" s="674" t="s">
        <v>17</v>
      </c>
      <c r="W23" s="675">
        <f>J23</f>
        <v>100</v>
      </c>
      <c r="X23" s="1433"/>
      <c r="Y23" s="3097"/>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097"/>
      <c r="Q24" s="1431">
        <f t="shared" ref="Q24:Q36" si="11">B24</f>
        <v>111</v>
      </c>
      <c r="R24" s="674" t="s">
        <v>17</v>
      </c>
      <c r="S24" s="675">
        <f>F24</f>
        <v>100</v>
      </c>
      <c r="T24" s="674" t="s">
        <v>17</v>
      </c>
      <c r="U24" s="675">
        <f>H24</f>
        <v>100</v>
      </c>
      <c r="V24" s="674" t="s">
        <v>17</v>
      </c>
      <c r="W24" s="675">
        <f>J24</f>
        <v>100</v>
      </c>
      <c r="X24" s="1433"/>
      <c r="Y24" s="3097"/>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097"/>
      <c r="Q25" s="536">
        <f t="shared" si="11"/>
        <v>111</v>
      </c>
      <c r="R25" s="671" t="s">
        <v>17</v>
      </c>
      <c r="S25" s="672">
        <f>F25</f>
        <v>100</v>
      </c>
      <c r="T25" s="671" t="s">
        <v>17</v>
      </c>
      <c r="U25" s="672">
        <f>H25</f>
        <v>100</v>
      </c>
      <c r="V25" s="671" t="s">
        <v>17</v>
      </c>
      <c r="W25" s="672">
        <f>J25</f>
        <v>100</v>
      </c>
      <c r="X25" s="673"/>
      <c r="Y25" s="3097"/>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098"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099"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099"/>
      <c r="Q27" s="537" t="str">
        <f t="shared" si="11"/>
        <v>项目停车位配比</v>
      </c>
      <c r="R27" s="676" t="s">
        <v>17</v>
      </c>
      <c r="S27" s="677">
        <f t="shared" si="12"/>
        <v>100</v>
      </c>
      <c r="T27" s="676" t="s">
        <v>17</v>
      </c>
      <c r="U27" s="677">
        <f t="shared" si="13"/>
        <v>100</v>
      </c>
      <c r="V27" s="676" t="s">
        <v>17</v>
      </c>
      <c r="W27" s="677">
        <f t="shared" si="14"/>
        <v>100</v>
      </c>
      <c r="X27" s="678"/>
      <c r="Y27" s="3099"/>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099"/>
      <c r="Q28" s="1431" t="str">
        <f t="shared" si="11"/>
        <v>公共部分装修</v>
      </c>
      <c r="R28" s="674" t="s">
        <v>17</v>
      </c>
      <c r="S28" s="675">
        <f t="shared" si="12"/>
        <v>100</v>
      </c>
      <c r="T28" s="674" t="s">
        <v>17</v>
      </c>
      <c r="U28" s="675">
        <f t="shared" si="13"/>
        <v>100</v>
      </c>
      <c r="V28" s="674" t="s">
        <v>17</v>
      </c>
      <c r="W28" s="675">
        <f t="shared" si="14"/>
        <v>100</v>
      </c>
      <c r="X28" s="1433"/>
      <c r="Y28" s="3099"/>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099"/>
      <c r="Q29" s="1431" t="str">
        <f t="shared" si="11"/>
        <v>成新率</v>
      </c>
      <c r="R29" s="674" t="s">
        <v>17</v>
      </c>
      <c r="S29" s="675" t="e">
        <f t="shared" si="12"/>
        <v>#N/A</v>
      </c>
      <c r="T29" s="674" t="s">
        <v>17</v>
      </c>
      <c r="U29" s="675" t="e">
        <f t="shared" si="13"/>
        <v>#N/A</v>
      </c>
      <c r="V29" s="674" t="s">
        <v>17</v>
      </c>
      <c r="W29" s="675" t="e">
        <f t="shared" si="14"/>
        <v>#N/A</v>
      </c>
      <c r="X29" s="1433"/>
      <c r="Y29" s="3099"/>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099"/>
      <c r="Q30" s="1431" t="str">
        <f t="shared" si="11"/>
        <v>物业等级</v>
      </c>
      <c r="R30" s="674" t="s">
        <v>17</v>
      </c>
      <c r="S30" s="675">
        <f t="shared" si="12"/>
        <v>100</v>
      </c>
      <c r="T30" s="674" t="s">
        <v>17</v>
      </c>
      <c r="U30" s="675">
        <f t="shared" si="13"/>
        <v>100</v>
      </c>
      <c r="V30" s="674" t="s">
        <v>17</v>
      </c>
      <c r="W30" s="675">
        <f t="shared" si="14"/>
        <v>100</v>
      </c>
      <c r="X30" s="1433"/>
      <c r="Y30" s="3099"/>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099"/>
      <c r="Q31" s="536" t="str">
        <f t="shared" si="11"/>
        <v>停车位面积</v>
      </c>
      <c r="R31" s="671" t="s">
        <v>17</v>
      </c>
      <c r="S31" s="672" t="e">
        <f t="shared" si="12"/>
        <v>#N/A</v>
      </c>
      <c r="T31" s="671" t="s">
        <v>17</v>
      </c>
      <c r="U31" s="672" t="e">
        <f t="shared" si="13"/>
        <v>#N/A</v>
      </c>
      <c r="V31" s="671" t="s">
        <v>17</v>
      </c>
      <c r="W31" s="672" t="e">
        <f t="shared" si="14"/>
        <v>#N/A</v>
      </c>
      <c r="X31" s="673"/>
      <c r="Y31" s="3099"/>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099" t="s">
        <v>2369</v>
      </c>
      <c r="Q32" s="1431" t="str">
        <f t="shared" si="11"/>
        <v>车位类型</v>
      </c>
      <c r="R32" s="674" t="s">
        <v>17</v>
      </c>
      <c r="S32" s="675">
        <f t="shared" si="12"/>
        <v>100</v>
      </c>
      <c r="T32" s="674" t="s">
        <v>17</v>
      </c>
      <c r="U32" s="675">
        <f t="shared" si="13"/>
        <v>100</v>
      </c>
      <c r="V32" s="674" t="s">
        <v>17</v>
      </c>
      <c r="W32" s="675">
        <f t="shared" si="14"/>
        <v>100</v>
      </c>
      <c r="X32" s="1433"/>
      <c r="Y32" s="3099"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099"/>
      <c r="Q33" s="1431" t="str">
        <f t="shared" si="11"/>
        <v>是否直接入户</v>
      </c>
      <c r="R33" s="674" t="s">
        <v>17</v>
      </c>
      <c r="S33" s="675">
        <f t="shared" si="12"/>
        <v>100</v>
      </c>
      <c r="T33" s="674" t="s">
        <v>17</v>
      </c>
      <c r="U33" s="675">
        <f t="shared" si="13"/>
        <v>100</v>
      </c>
      <c r="V33" s="674" t="s">
        <v>17</v>
      </c>
      <c r="W33" s="675">
        <f t="shared" si="14"/>
        <v>100</v>
      </c>
      <c r="X33" s="1433"/>
      <c r="Y33" s="3099"/>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099"/>
      <c r="Q34" s="1431">
        <f t="shared" si="11"/>
        <v>111</v>
      </c>
      <c r="R34" s="674" t="s">
        <v>17</v>
      </c>
      <c r="S34" s="675">
        <f t="shared" si="12"/>
        <v>100</v>
      </c>
      <c r="T34" s="674" t="s">
        <v>17</v>
      </c>
      <c r="U34" s="675">
        <f t="shared" si="13"/>
        <v>100</v>
      </c>
      <c r="V34" s="674" t="s">
        <v>17</v>
      </c>
      <c r="W34" s="675">
        <f t="shared" si="14"/>
        <v>100</v>
      </c>
      <c r="X34" s="1433"/>
      <c r="Y34" s="3099"/>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099"/>
      <c r="Q35" s="537">
        <f t="shared" si="11"/>
        <v>111</v>
      </c>
      <c r="R35" s="676" t="s">
        <v>17</v>
      </c>
      <c r="S35" s="677">
        <f t="shared" si="12"/>
        <v>100</v>
      </c>
      <c r="T35" s="676" t="s">
        <v>17</v>
      </c>
      <c r="U35" s="677">
        <f t="shared" si="13"/>
        <v>100</v>
      </c>
      <c r="V35" s="676" t="s">
        <v>17</v>
      </c>
      <c r="W35" s="677">
        <f t="shared" si="14"/>
        <v>100</v>
      </c>
      <c r="X35" s="678"/>
      <c r="Y35" s="3099"/>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099"/>
      <c r="Q36" s="1431">
        <f t="shared" si="11"/>
        <v>111</v>
      </c>
      <c r="R36" s="674" t="s">
        <v>17</v>
      </c>
      <c r="S36" s="675">
        <f t="shared" si="12"/>
        <v>100</v>
      </c>
      <c r="T36" s="674" t="s">
        <v>17</v>
      </c>
      <c r="U36" s="675">
        <f t="shared" si="13"/>
        <v>100</v>
      </c>
      <c r="V36" s="674" t="s">
        <v>17</v>
      </c>
      <c r="W36" s="675">
        <f t="shared" si="14"/>
        <v>100</v>
      </c>
      <c r="X36" s="1433"/>
      <c r="Y36" s="3099"/>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094" t="str">
        <f>A37</f>
        <v>成交单价</v>
      </c>
      <c r="Q37" s="3094"/>
      <c r="R37" s="3100">
        <f>E37</f>
        <v>0</v>
      </c>
      <c r="S37" s="3100"/>
      <c r="T37" s="3100">
        <f>G37</f>
        <v>0</v>
      </c>
      <c r="U37" s="3100"/>
      <c r="V37" s="3100">
        <f>I37</f>
        <v>0</v>
      </c>
      <c r="W37" s="3100"/>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094" t="str">
        <f>A38</f>
        <v>比较价值（元/平方米）</v>
      </c>
      <c r="Q38" s="3094"/>
      <c r="R38" s="3100" t="e">
        <f>IF(F1="售价",ROUND(PRODUCT(R37,AA7:AA36),0),ROUND(PRODUCT(R37,AA7:AA36),1))</f>
        <v>#DIV/0!</v>
      </c>
      <c r="S38" s="3100"/>
      <c r="T38" s="3100" t="e">
        <f>IF(F1="售价",ROUND(PRODUCT(T37,AB7:AB36),0),ROUND(PRODUCT(T37,AB7:AB36),1))</f>
        <v>#DIV/0!</v>
      </c>
      <c r="U38" s="3100"/>
      <c r="V38" s="3100" t="e">
        <f>IF(F1="售价",ROUND(PRODUCT(V37,AC7:AC36),0),ROUND(PRODUCT(V37,AC7:AC36),1))</f>
        <v>#DIV/0!</v>
      </c>
      <c r="W38" s="3100"/>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088" t="str">
        <f>A39</f>
        <v>估价对象XX用房的比较价值（楼面单价，元/平方米）</v>
      </c>
      <c r="Q39" s="3089"/>
      <c r="R39" s="3184" t="e">
        <f>IF(F1="售价",ROUND(IF(D38="简单平均",AVERAGE(R38:W38),R38*F38+T38*H38+V38*J38),0),ROUND(IF(D38="简单平均",AVERAGE(R38:V38),R38*F38+T38*H38+V38*J38),1))</f>
        <v>#DIV/0!</v>
      </c>
      <c r="S39" s="3184"/>
      <c r="T39" s="3184"/>
      <c r="U39" s="3184"/>
      <c r="V39" s="3184"/>
      <c r="W39" s="3184"/>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07" t="s">
        <v>2453</v>
      </c>
      <c r="Q4" s="3108"/>
      <c r="R4" s="3113" t="s">
        <v>2449</v>
      </c>
      <c r="S4" s="3114"/>
      <c r="T4" s="3113" t="s">
        <v>2450</v>
      </c>
      <c r="U4" s="3114"/>
      <c r="V4" s="3100" t="s">
        <v>2451</v>
      </c>
      <c r="W4" s="3100"/>
      <c r="X4" s="1433"/>
      <c r="Y4" s="3113" t="s">
        <v>2453</v>
      </c>
      <c r="Z4" s="3114"/>
      <c r="AA4" s="3101" t="s">
        <v>2449</v>
      </c>
      <c r="AB4" s="3102" t="s">
        <v>2450</v>
      </c>
      <c r="AC4" s="3101" t="s">
        <v>2451</v>
      </c>
    </row>
    <row r="5" spans="1:29" ht="15">
      <c r="A5" s="352"/>
      <c r="B5" s="353"/>
      <c r="C5" s="3121" t="s">
        <v>2346</v>
      </c>
      <c r="D5" s="3122"/>
      <c r="E5" s="3128" t="s">
        <v>2347</v>
      </c>
      <c r="F5" s="3129"/>
      <c r="G5" s="3121" t="s">
        <v>2348</v>
      </c>
      <c r="H5" s="3122"/>
      <c r="I5" s="3121" t="s">
        <v>2349</v>
      </c>
      <c r="J5" s="3122"/>
      <c r="K5" s="543"/>
      <c r="L5" s="2670"/>
      <c r="M5" s="2671"/>
      <c r="N5" s="2671"/>
      <c r="O5" s="2671"/>
      <c r="P5" s="3109"/>
      <c r="Q5" s="3110"/>
      <c r="R5" s="3115"/>
      <c r="S5" s="3116"/>
      <c r="T5" s="3115"/>
      <c r="U5" s="3116"/>
      <c r="V5" s="3100"/>
      <c r="W5" s="3100"/>
      <c r="X5" s="1433"/>
      <c r="Y5" s="3115"/>
      <c r="Z5" s="3116"/>
      <c r="AA5" s="3102"/>
      <c r="AB5" s="3102"/>
      <c r="AC5" s="3102"/>
    </row>
    <row r="6" spans="1:29" ht="15.75" thickBot="1">
      <c r="A6" s="354"/>
      <c r="B6" s="355"/>
      <c r="C6" s="3119" t="s">
        <v>2350</v>
      </c>
      <c r="D6" s="3120"/>
      <c r="E6" s="3126" t="s">
        <v>2350</v>
      </c>
      <c r="F6" s="3127"/>
      <c r="G6" s="3119" t="s">
        <v>2350</v>
      </c>
      <c r="H6" s="3120"/>
      <c r="I6" s="3119" t="s">
        <v>2350</v>
      </c>
      <c r="J6" s="3120"/>
      <c r="K6" s="543" t="s">
        <v>2351</v>
      </c>
      <c r="L6" s="2670"/>
      <c r="M6" s="2671"/>
      <c r="N6" s="2671"/>
      <c r="O6" s="267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123" t="s">
        <v>2353</v>
      </c>
      <c r="Q7" s="3125"/>
      <c r="R7" s="671" t="s">
        <v>17</v>
      </c>
      <c r="S7" s="672">
        <f t="shared" ref="S7:S14" si="0">F7</f>
        <v>0</v>
      </c>
      <c r="T7" s="671" t="s">
        <v>17</v>
      </c>
      <c r="U7" s="672">
        <f t="shared" ref="U7:U14" si="1">H7</f>
        <v>0</v>
      </c>
      <c r="V7" s="671" t="s">
        <v>17</v>
      </c>
      <c r="W7" s="672">
        <f t="shared" ref="W7:W14" si="2">J7</f>
        <v>0</v>
      </c>
      <c r="X7" s="673"/>
      <c r="Y7" s="3123" t="s">
        <v>2353</v>
      </c>
      <c r="Z7" s="3124"/>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123" t="s">
        <v>2356</v>
      </c>
      <c r="Q8" s="3124"/>
      <c r="R8" s="671" t="s">
        <v>17</v>
      </c>
      <c r="S8" s="672">
        <f t="shared" si="0"/>
        <v>0</v>
      </c>
      <c r="T8" s="671" t="s">
        <v>17</v>
      </c>
      <c r="U8" s="672">
        <f t="shared" si="1"/>
        <v>0</v>
      </c>
      <c r="V8" s="671" t="s">
        <v>17</v>
      </c>
      <c r="W8" s="672">
        <f t="shared" si="2"/>
        <v>0</v>
      </c>
      <c r="X8" s="673"/>
      <c r="Y8" s="3123" t="s">
        <v>2356</v>
      </c>
      <c r="Z8" s="3124"/>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094" t="s">
        <v>2359</v>
      </c>
      <c r="Q9" s="536" t="str">
        <f t="shared" ref="Q9:Q14" si="6">B9</f>
        <v>用途</v>
      </c>
      <c r="R9" s="671" t="s">
        <v>17</v>
      </c>
      <c r="S9" s="672">
        <f t="shared" si="0"/>
        <v>100</v>
      </c>
      <c r="T9" s="671" t="s">
        <v>17</v>
      </c>
      <c r="U9" s="672">
        <f t="shared" si="1"/>
        <v>100</v>
      </c>
      <c r="V9" s="671" t="s">
        <v>17</v>
      </c>
      <c r="W9" s="672">
        <f t="shared" si="2"/>
        <v>100</v>
      </c>
      <c r="X9" s="673"/>
      <c r="Y9" s="2986"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094"/>
      <c r="Q10" s="536" t="str">
        <f t="shared" si="6"/>
        <v>土地使用年限（年）</v>
      </c>
      <c r="R10" s="671" t="s">
        <v>17</v>
      </c>
      <c r="S10" s="672">
        <f t="shared" si="0"/>
        <v>100</v>
      </c>
      <c r="T10" s="671" t="s">
        <v>17</v>
      </c>
      <c r="U10" s="672">
        <f t="shared" si="1"/>
        <v>100</v>
      </c>
      <c r="V10" s="671" t="s">
        <v>17</v>
      </c>
      <c r="W10" s="672">
        <f t="shared" si="2"/>
        <v>100</v>
      </c>
      <c r="X10" s="673"/>
      <c r="Y10" s="2986"/>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094"/>
      <c r="Q11" s="536">
        <f t="shared" si="6"/>
        <v>111</v>
      </c>
      <c r="R11" s="671" t="s">
        <v>17</v>
      </c>
      <c r="S11" s="672">
        <f t="shared" si="0"/>
        <v>100</v>
      </c>
      <c r="T11" s="671" t="s">
        <v>17</v>
      </c>
      <c r="U11" s="672">
        <f t="shared" si="1"/>
        <v>100</v>
      </c>
      <c r="V11" s="671" t="s">
        <v>17</v>
      </c>
      <c r="W11" s="672">
        <f t="shared" si="2"/>
        <v>100</v>
      </c>
      <c r="X11" s="673"/>
      <c r="Y11" s="2986"/>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094"/>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094"/>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096" t="s">
        <v>2364</v>
      </c>
      <c r="Q14" s="1431" t="str">
        <f t="shared" si="6"/>
        <v>交通便捷度</v>
      </c>
      <c r="R14" s="674" t="s">
        <v>17</v>
      </c>
      <c r="S14" s="675">
        <f t="shared" si="0"/>
        <v>100</v>
      </c>
      <c r="T14" s="674" t="s">
        <v>17</v>
      </c>
      <c r="U14" s="675">
        <f t="shared" si="1"/>
        <v>100</v>
      </c>
      <c r="V14" s="674" t="s">
        <v>17</v>
      </c>
      <c r="W14" s="675">
        <f t="shared" si="2"/>
        <v>100</v>
      </c>
      <c r="X14" s="1433"/>
      <c r="Y14" s="3096"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097"/>
      <c r="Q15" s="1431"/>
      <c r="R15" s="674"/>
      <c r="S15" s="675"/>
      <c r="T15" s="674"/>
      <c r="U15" s="675"/>
      <c r="V15" s="674"/>
      <c r="W15" s="675"/>
      <c r="X15" s="1433"/>
      <c r="Y15" s="3097"/>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097"/>
      <c r="Q16" s="1431" t="str">
        <f>B16</f>
        <v>公共配套设施</v>
      </c>
      <c r="R16" s="674" t="s">
        <v>17</v>
      </c>
      <c r="S16" s="675">
        <f>F16</f>
        <v>100</v>
      </c>
      <c r="T16" s="674" t="s">
        <v>17</v>
      </c>
      <c r="U16" s="675">
        <f>H16</f>
        <v>100</v>
      </c>
      <c r="V16" s="674" t="s">
        <v>17</v>
      </c>
      <c r="W16" s="675">
        <f>J16</f>
        <v>100</v>
      </c>
      <c r="X16" s="1433"/>
      <c r="Y16" s="3097"/>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097"/>
      <c r="Q17" s="1431"/>
      <c r="R17" s="674"/>
      <c r="S17" s="675"/>
      <c r="T17" s="674"/>
      <c r="U17" s="675"/>
      <c r="V17" s="674"/>
      <c r="W17" s="675"/>
      <c r="X17" s="1433"/>
      <c r="Y17" s="3097"/>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097"/>
      <c r="Q18" s="1431" t="str">
        <f>B18</f>
        <v>基础设施水平</v>
      </c>
      <c r="R18" s="674" t="s">
        <v>17</v>
      </c>
      <c r="S18" s="675">
        <f>F18</f>
        <v>100</v>
      </c>
      <c r="T18" s="674" t="s">
        <v>17</v>
      </c>
      <c r="U18" s="675">
        <f>H18</f>
        <v>100</v>
      </c>
      <c r="V18" s="674" t="s">
        <v>17</v>
      </c>
      <c r="W18" s="675">
        <f>J18</f>
        <v>100</v>
      </c>
      <c r="X18" s="1433"/>
      <c r="Y18" s="3097"/>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097"/>
      <c r="Q19" s="1431"/>
      <c r="R19" s="674"/>
      <c r="S19" s="675"/>
      <c r="T19" s="674"/>
      <c r="U19" s="675"/>
      <c r="V19" s="674"/>
      <c r="W19" s="675"/>
      <c r="X19" s="1433"/>
      <c r="Y19" s="3097"/>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097"/>
      <c r="Q20" s="1431" t="str">
        <f>B20</f>
        <v>自然及人文环境</v>
      </c>
      <c r="R20" s="674" t="s">
        <v>17</v>
      </c>
      <c r="S20" s="675">
        <f>F20</f>
        <v>100</v>
      </c>
      <c r="T20" s="674" t="s">
        <v>17</v>
      </c>
      <c r="U20" s="675">
        <f>H20</f>
        <v>100</v>
      </c>
      <c r="V20" s="674" t="s">
        <v>17</v>
      </c>
      <c r="W20" s="675">
        <f>J20</f>
        <v>100</v>
      </c>
      <c r="X20" s="1433"/>
      <c r="Y20" s="3097"/>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097"/>
      <c r="Q21" s="1431"/>
      <c r="R21" s="674"/>
      <c r="S21" s="675"/>
      <c r="T21" s="674"/>
      <c r="U21" s="675"/>
      <c r="V21" s="674"/>
      <c r="W21" s="675"/>
      <c r="X21" s="1433"/>
      <c r="Y21" s="3097"/>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097"/>
      <c r="Q22" s="1431" t="str">
        <f>B22</f>
        <v>楼层</v>
      </c>
      <c r="R22" s="674" t="s">
        <v>17</v>
      </c>
      <c r="S22" s="675">
        <f>F22</f>
        <v>100</v>
      </c>
      <c r="T22" s="674" t="s">
        <v>17</v>
      </c>
      <c r="U22" s="675">
        <f>H22</f>
        <v>100</v>
      </c>
      <c r="V22" s="674" t="s">
        <v>17</v>
      </c>
      <c r="W22" s="675">
        <f>J22</f>
        <v>100</v>
      </c>
      <c r="X22" s="1433"/>
      <c r="Y22" s="3097"/>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097"/>
      <c r="Q23" s="1431">
        <f>B23</f>
        <v>111</v>
      </c>
      <c r="R23" s="674" t="s">
        <v>17</v>
      </c>
      <c r="S23" s="675">
        <f>F23</f>
        <v>100</v>
      </c>
      <c r="T23" s="674" t="s">
        <v>17</v>
      </c>
      <c r="U23" s="675">
        <f>H23</f>
        <v>100</v>
      </c>
      <c r="V23" s="674" t="s">
        <v>17</v>
      </c>
      <c r="W23" s="675">
        <f>J23</f>
        <v>100</v>
      </c>
      <c r="X23" s="1433"/>
      <c r="Y23" s="3097"/>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097"/>
      <c r="Q24" s="1431">
        <f t="shared" ref="Q24:Q34" si="11">B24</f>
        <v>111</v>
      </c>
      <c r="R24" s="674" t="s">
        <v>17</v>
      </c>
      <c r="S24" s="675">
        <f>F24</f>
        <v>100</v>
      </c>
      <c r="T24" s="674" t="s">
        <v>17</v>
      </c>
      <c r="U24" s="675">
        <f>H24</f>
        <v>100</v>
      </c>
      <c r="V24" s="674" t="s">
        <v>17</v>
      </c>
      <c r="W24" s="675">
        <f>J24</f>
        <v>100</v>
      </c>
      <c r="X24" s="1433"/>
      <c r="Y24" s="3097"/>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097"/>
      <c r="Q25" s="536">
        <f t="shared" si="11"/>
        <v>111</v>
      </c>
      <c r="R25" s="671" t="s">
        <v>17</v>
      </c>
      <c r="S25" s="672">
        <f>F25</f>
        <v>100</v>
      </c>
      <c r="T25" s="671" t="s">
        <v>17</v>
      </c>
      <c r="U25" s="672">
        <f>H25</f>
        <v>100</v>
      </c>
      <c r="V25" s="671" t="s">
        <v>17</v>
      </c>
      <c r="W25" s="672">
        <f>J25</f>
        <v>100</v>
      </c>
      <c r="X25" s="673"/>
      <c r="Y25" s="3097"/>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098"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099"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099"/>
      <c r="Q27" s="537" t="str">
        <f t="shared" si="11"/>
        <v>成新率</v>
      </c>
      <c r="R27" s="676" t="s">
        <v>17</v>
      </c>
      <c r="S27" s="677" t="e">
        <f t="shared" si="12"/>
        <v>#N/A</v>
      </c>
      <c r="T27" s="676" t="s">
        <v>17</v>
      </c>
      <c r="U27" s="677" t="e">
        <f t="shared" si="13"/>
        <v>#N/A</v>
      </c>
      <c r="V27" s="676" t="s">
        <v>17</v>
      </c>
      <c r="W27" s="677" t="e">
        <f t="shared" si="14"/>
        <v>#N/A</v>
      </c>
      <c r="X27" s="678"/>
      <c r="Y27" s="3099"/>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099"/>
      <c r="Q28" s="1431" t="str">
        <f t="shared" si="11"/>
        <v>物业等级</v>
      </c>
      <c r="R28" s="674" t="s">
        <v>17</v>
      </c>
      <c r="S28" s="675">
        <f t="shared" si="12"/>
        <v>100</v>
      </c>
      <c r="T28" s="674" t="s">
        <v>17</v>
      </c>
      <c r="U28" s="675">
        <f t="shared" si="13"/>
        <v>100</v>
      </c>
      <c r="V28" s="674" t="s">
        <v>17</v>
      </c>
      <c r="W28" s="675">
        <f t="shared" si="14"/>
        <v>100</v>
      </c>
      <c r="X28" s="1433"/>
      <c r="Y28" s="3099"/>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099"/>
      <c r="Q29" s="1431" t="str">
        <f t="shared" si="11"/>
        <v>有无电梯</v>
      </c>
      <c r="R29" s="674" t="s">
        <v>17</v>
      </c>
      <c r="S29" s="675">
        <f t="shared" si="12"/>
        <v>100</v>
      </c>
      <c r="T29" s="674" t="s">
        <v>17</v>
      </c>
      <c r="U29" s="675">
        <f t="shared" si="13"/>
        <v>100</v>
      </c>
      <c r="V29" s="674" t="s">
        <v>17</v>
      </c>
      <c r="W29" s="675">
        <f t="shared" si="14"/>
        <v>100</v>
      </c>
      <c r="X29" s="1433"/>
      <c r="Y29" s="3099"/>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099"/>
      <c r="Q30" s="1431" t="str">
        <f t="shared" si="11"/>
        <v>建筑面积</v>
      </c>
      <c r="R30" s="674" t="s">
        <v>17</v>
      </c>
      <c r="S30" s="675" t="e">
        <f t="shared" si="12"/>
        <v>#N/A</v>
      </c>
      <c r="T30" s="674" t="s">
        <v>17</v>
      </c>
      <c r="U30" s="675" t="e">
        <f t="shared" si="13"/>
        <v>#N/A</v>
      </c>
      <c r="V30" s="674" t="s">
        <v>17</v>
      </c>
      <c r="W30" s="675" t="e">
        <f t="shared" si="14"/>
        <v>#N/A</v>
      </c>
      <c r="X30" s="1433"/>
      <c r="Y30" s="3099"/>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099"/>
      <c r="Q31" s="536" t="str">
        <f t="shared" si="11"/>
        <v>是否封闭</v>
      </c>
      <c r="R31" s="671" t="s">
        <v>17</v>
      </c>
      <c r="S31" s="672">
        <f t="shared" si="12"/>
        <v>100</v>
      </c>
      <c r="T31" s="671" t="s">
        <v>17</v>
      </c>
      <c r="U31" s="672">
        <f t="shared" si="13"/>
        <v>100</v>
      </c>
      <c r="V31" s="671" t="s">
        <v>17</v>
      </c>
      <c r="W31" s="672">
        <f t="shared" si="14"/>
        <v>100</v>
      </c>
      <c r="X31" s="673"/>
      <c r="Y31" s="3099"/>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099" t="s">
        <v>2369</v>
      </c>
      <c r="Q32" s="1431">
        <f t="shared" si="11"/>
        <v>111</v>
      </c>
      <c r="R32" s="674" t="s">
        <v>17</v>
      </c>
      <c r="S32" s="675">
        <f t="shared" si="12"/>
        <v>100</v>
      </c>
      <c r="T32" s="674" t="s">
        <v>17</v>
      </c>
      <c r="U32" s="675">
        <f t="shared" si="13"/>
        <v>100</v>
      </c>
      <c r="V32" s="674" t="s">
        <v>17</v>
      </c>
      <c r="W32" s="675">
        <f t="shared" si="14"/>
        <v>100</v>
      </c>
      <c r="X32" s="1433"/>
      <c r="Y32" s="3099"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099"/>
      <c r="Q33" s="1431">
        <f t="shared" si="11"/>
        <v>111</v>
      </c>
      <c r="R33" s="674" t="s">
        <v>17</v>
      </c>
      <c r="S33" s="675">
        <f t="shared" si="12"/>
        <v>100</v>
      </c>
      <c r="T33" s="674" t="s">
        <v>17</v>
      </c>
      <c r="U33" s="675">
        <f t="shared" si="13"/>
        <v>100</v>
      </c>
      <c r="V33" s="674" t="s">
        <v>17</v>
      </c>
      <c r="W33" s="675">
        <f t="shared" si="14"/>
        <v>100</v>
      </c>
      <c r="X33" s="1433"/>
      <c r="Y33" s="3099"/>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099"/>
      <c r="Q34" s="1431">
        <f t="shared" si="11"/>
        <v>111</v>
      </c>
      <c r="R34" s="674" t="s">
        <v>17</v>
      </c>
      <c r="S34" s="675">
        <f t="shared" si="12"/>
        <v>100</v>
      </c>
      <c r="T34" s="674" t="s">
        <v>17</v>
      </c>
      <c r="U34" s="675">
        <f t="shared" si="13"/>
        <v>100</v>
      </c>
      <c r="V34" s="674" t="s">
        <v>17</v>
      </c>
      <c r="W34" s="675">
        <f t="shared" si="14"/>
        <v>100</v>
      </c>
      <c r="X34" s="1433"/>
      <c r="Y34" s="3099"/>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094" t="str">
        <f>A35</f>
        <v>成交单价（元/平方米）</v>
      </c>
      <c r="Q35" s="3094"/>
      <c r="R35" s="3100">
        <f>E35</f>
        <v>0</v>
      </c>
      <c r="S35" s="3100"/>
      <c r="T35" s="3100">
        <f>G35</f>
        <v>0</v>
      </c>
      <c r="U35" s="3100"/>
      <c r="V35" s="3100">
        <f>I35</f>
        <v>0</v>
      </c>
      <c r="W35" s="3100"/>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094" t="str">
        <f>A36</f>
        <v>比较价值（元/平方米）</v>
      </c>
      <c r="Q36" s="3094"/>
      <c r="R36" s="3100" t="e">
        <f>IF(F1="售价",ROUND(PRODUCT(R35,AA7:AA34),0),ROUND(PRODUCT(R35,AA7:AA34),1))</f>
        <v>#DIV/0!</v>
      </c>
      <c r="S36" s="3100"/>
      <c r="T36" s="3100" t="e">
        <f>IF(F1="售价",ROUND(PRODUCT(T35,AB7:AB34),0),ROUND(PRODUCT(T35,AB7:AB34),1))</f>
        <v>#DIV/0!</v>
      </c>
      <c r="U36" s="3100"/>
      <c r="V36" s="3100" t="e">
        <f>IF(F1="售价",ROUND(PRODUCT(V35,AC7:AC34),0),ROUND(PRODUCT(V35,AC7:AC34),1))</f>
        <v>#DIV/0!</v>
      </c>
      <c r="W36" s="3100"/>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088" t="str">
        <f>A37</f>
        <v>估价对象XX用房的比较价值（楼面单价，元/平方米）</v>
      </c>
      <c r="Q37" s="3089"/>
      <c r="R37" s="3184" t="e">
        <f>IF(F1="售价",ROUND(IF(D36="简单平均",AVERAGE(R36:W36),R36*F36+T36*H36+V36*J36),0),ROUND(IF(D36="简单平均",AVERAGE(R36:V36),R36*F36+T36*H36+V36*J36),1))</f>
        <v>#DIV/0!</v>
      </c>
      <c r="S37" s="3184"/>
      <c r="T37" s="3184"/>
      <c r="U37" s="3184"/>
      <c r="V37" s="3184"/>
      <c r="W37" s="3184"/>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C2" xr:uid="{00000000-0002-0000-2500-00000F000000}">
      <formula1>"需扣减承租人权益,——"</formula1>
    </dataValidation>
    <dataValidation type="list" allowBlank="1" showInputMessage="1" showErrorMessage="1" sqref="F2" xr:uid="{00000000-0002-0000-2500-000010000000}">
      <formula1>估价方法</formula1>
    </dataValidation>
    <dataValidation type="list" allowBlank="1" showInputMessage="1" showErrorMessage="1" sqref="D36"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091" t="s">
        <v>2448</v>
      </c>
      <c r="D4" s="3104"/>
      <c r="E4" s="3105" t="s">
        <v>2449</v>
      </c>
      <c r="F4" s="3106"/>
      <c r="G4" s="3091" t="s">
        <v>2450</v>
      </c>
      <c r="H4" s="3104"/>
      <c r="I4" s="3091" t="s">
        <v>2451</v>
      </c>
      <c r="J4" s="3104"/>
      <c r="K4" s="543" t="s">
        <v>2452</v>
      </c>
      <c r="L4" s="2670"/>
      <c r="M4" s="2671"/>
      <c r="N4" s="2671"/>
      <c r="O4" s="2671"/>
      <c r="P4" s="3107" t="s">
        <v>2453</v>
      </c>
      <c r="Q4" s="3108"/>
      <c r="R4" s="3113" t="s">
        <v>2449</v>
      </c>
      <c r="S4" s="3114"/>
      <c r="T4" s="3113" t="s">
        <v>2450</v>
      </c>
      <c r="U4" s="3114"/>
      <c r="V4" s="3100" t="s">
        <v>2451</v>
      </c>
      <c r="W4" s="3100"/>
      <c r="X4" s="1433"/>
      <c r="Y4" s="3113" t="s">
        <v>2453</v>
      </c>
      <c r="Z4" s="3114"/>
      <c r="AA4" s="3101" t="s">
        <v>2449</v>
      </c>
      <c r="AB4" s="3102" t="s">
        <v>2450</v>
      </c>
      <c r="AC4" s="3101" t="s">
        <v>2451</v>
      </c>
    </row>
    <row r="5" spans="1:29" ht="15">
      <c r="A5" s="352"/>
      <c r="B5" s="353"/>
      <c r="C5" s="3121" t="s">
        <v>2346</v>
      </c>
      <c r="D5" s="3122"/>
      <c r="E5" s="3128" t="s">
        <v>2347</v>
      </c>
      <c r="F5" s="3129"/>
      <c r="G5" s="3121" t="s">
        <v>2348</v>
      </c>
      <c r="H5" s="3122"/>
      <c r="I5" s="3121" t="s">
        <v>2349</v>
      </c>
      <c r="J5" s="3122"/>
      <c r="K5" s="543"/>
      <c r="L5" s="2670"/>
      <c r="M5" s="2671"/>
      <c r="N5" s="2671"/>
      <c r="O5" s="2671"/>
      <c r="P5" s="3109"/>
      <c r="Q5" s="3110"/>
      <c r="R5" s="3115"/>
      <c r="S5" s="3116"/>
      <c r="T5" s="3115"/>
      <c r="U5" s="3116"/>
      <c r="V5" s="3100"/>
      <c r="W5" s="3100"/>
      <c r="X5" s="1433"/>
      <c r="Y5" s="3115"/>
      <c r="Z5" s="3116"/>
      <c r="AA5" s="3102"/>
      <c r="AB5" s="3102"/>
      <c r="AC5" s="3102"/>
    </row>
    <row r="6" spans="1:29" ht="15.75" thickBot="1">
      <c r="A6" s="354"/>
      <c r="B6" s="355"/>
      <c r="C6" s="3185" t="s">
        <v>2599</v>
      </c>
      <c r="D6" s="3186"/>
      <c r="E6" s="3187" t="s">
        <v>2599</v>
      </c>
      <c r="F6" s="3188"/>
      <c r="G6" s="3185" t="s">
        <v>2599</v>
      </c>
      <c r="H6" s="3186"/>
      <c r="I6" s="3185" t="s">
        <v>2599</v>
      </c>
      <c r="J6" s="3186"/>
      <c r="K6" s="543" t="s">
        <v>2351</v>
      </c>
      <c r="L6" s="2670"/>
      <c r="M6" s="2671"/>
      <c r="N6" s="2671"/>
      <c r="O6" s="2671"/>
      <c r="P6" s="3111"/>
      <c r="Q6" s="3112"/>
      <c r="R6" s="3115"/>
      <c r="S6" s="3116"/>
      <c r="T6" s="3117"/>
      <c r="U6" s="3118"/>
      <c r="V6" s="3100"/>
      <c r="W6" s="3100"/>
      <c r="X6" s="1433"/>
      <c r="Y6" s="3117"/>
      <c r="Z6" s="3118"/>
      <c r="AA6" s="3103"/>
      <c r="AB6" s="3103"/>
      <c r="AC6" s="3103"/>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123" t="s">
        <v>2353</v>
      </c>
      <c r="Q7" s="3125"/>
      <c r="R7" s="671" t="s">
        <v>17</v>
      </c>
      <c r="S7" s="672">
        <f t="shared" ref="S7:S15" si="0">F7</f>
        <v>0</v>
      </c>
      <c r="T7" s="671" t="s">
        <v>17</v>
      </c>
      <c r="U7" s="672">
        <f t="shared" ref="U7:U15" si="1">H7</f>
        <v>0</v>
      </c>
      <c r="V7" s="671" t="s">
        <v>17</v>
      </c>
      <c r="W7" s="672">
        <f t="shared" ref="W7:W15" si="2">J7</f>
        <v>0</v>
      </c>
      <c r="X7" s="673"/>
      <c r="Y7" s="3123" t="s">
        <v>2353</v>
      </c>
      <c r="Z7" s="3124"/>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123" t="s">
        <v>2356</v>
      </c>
      <c r="Q8" s="3124"/>
      <c r="R8" s="671" t="s">
        <v>17</v>
      </c>
      <c r="S8" s="672">
        <f t="shared" si="0"/>
        <v>0</v>
      </c>
      <c r="T8" s="671" t="s">
        <v>17</v>
      </c>
      <c r="U8" s="672">
        <f t="shared" si="1"/>
        <v>0</v>
      </c>
      <c r="V8" s="671" t="s">
        <v>17</v>
      </c>
      <c r="W8" s="672">
        <f t="shared" si="2"/>
        <v>0</v>
      </c>
      <c r="X8" s="673"/>
      <c r="Y8" s="3123" t="s">
        <v>2356</v>
      </c>
      <c r="Z8" s="3124"/>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094" t="s">
        <v>2359</v>
      </c>
      <c r="Q9" s="536" t="str">
        <f t="shared" ref="Q9:Q15" si="6">B9</f>
        <v>用途</v>
      </c>
      <c r="R9" s="671" t="s">
        <v>17</v>
      </c>
      <c r="S9" s="672">
        <f t="shared" si="0"/>
        <v>100</v>
      </c>
      <c r="T9" s="671" t="s">
        <v>17</v>
      </c>
      <c r="U9" s="672">
        <f t="shared" si="1"/>
        <v>100</v>
      </c>
      <c r="V9" s="671" t="s">
        <v>17</v>
      </c>
      <c r="W9" s="672">
        <f t="shared" si="2"/>
        <v>100</v>
      </c>
      <c r="X9" s="673"/>
      <c r="Y9" s="2986"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094"/>
      <c r="Q10" s="536" t="str">
        <f t="shared" si="6"/>
        <v>土地使用年限（年）</v>
      </c>
      <c r="R10" s="671" t="s">
        <v>17</v>
      </c>
      <c r="S10" s="672">
        <f t="shared" si="0"/>
        <v>123</v>
      </c>
      <c r="T10" s="671" t="s">
        <v>17</v>
      </c>
      <c r="U10" s="672">
        <f t="shared" si="1"/>
        <v>123</v>
      </c>
      <c r="V10" s="671" t="s">
        <v>17</v>
      </c>
      <c r="W10" s="672">
        <f t="shared" si="2"/>
        <v>123</v>
      </c>
      <c r="X10" s="673"/>
      <c r="Y10" s="2986"/>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094"/>
      <c r="Q11" s="536" t="str">
        <f t="shared" si="6"/>
        <v>容积率</v>
      </c>
      <c r="R11" s="671" t="s">
        <v>17</v>
      </c>
      <c r="S11" s="672" t="e">
        <f t="shared" si="0"/>
        <v>#N/A</v>
      </c>
      <c r="T11" s="671" t="s">
        <v>17</v>
      </c>
      <c r="U11" s="672" t="e">
        <f t="shared" si="1"/>
        <v>#N/A</v>
      </c>
      <c r="V11" s="671" t="s">
        <v>17</v>
      </c>
      <c r="W11" s="672" t="e">
        <f t="shared" si="2"/>
        <v>#N/A</v>
      </c>
      <c r="X11" s="673"/>
      <c r="Y11" s="2986"/>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094"/>
      <c r="Q12" s="536">
        <f t="shared" si="6"/>
        <v>111</v>
      </c>
      <c r="R12" s="671" t="s">
        <v>17</v>
      </c>
      <c r="S12" s="672">
        <f t="shared" si="0"/>
        <v>100</v>
      </c>
      <c r="T12" s="671" t="s">
        <v>17</v>
      </c>
      <c r="U12" s="672">
        <f t="shared" si="1"/>
        <v>100</v>
      </c>
      <c r="V12" s="671" t="s">
        <v>17</v>
      </c>
      <c r="W12" s="672">
        <f t="shared" si="2"/>
        <v>100</v>
      </c>
      <c r="X12" s="673"/>
      <c r="Y12" s="2986"/>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094"/>
      <c r="Q13" s="536">
        <f t="shared" si="6"/>
        <v>111</v>
      </c>
      <c r="R13" s="671" t="s">
        <v>17</v>
      </c>
      <c r="S13" s="672">
        <f t="shared" si="0"/>
        <v>100</v>
      </c>
      <c r="T13" s="671" t="s">
        <v>17</v>
      </c>
      <c r="U13" s="672">
        <f t="shared" si="1"/>
        <v>100</v>
      </c>
      <c r="V13" s="671" t="s">
        <v>17</v>
      </c>
      <c r="W13" s="672">
        <f t="shared" si="2"/>
        <v>100</v>
      </c>
      <c r="X13" s="673"/>
      <c r="Y13" s="2986"/>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094"/>
      <c r="Q14" s="536">
        <f t="shared" si="6"/>
        <v>111</v>
      </c>
      <c r="R14" s="671" t="s">
        <v>17</v>
      </c>
      <c r="S14" s="672">
        <f t="shared" si="0"/>
        <v>100</v>
      </c>
      <c r="T14" s="671" t="s">
        <v>17</v>
      </c>
      <c r="U14" s="672">
        <f t="shared" si="1"/>
        <v>100</v>
      </c>
      <c r="V14" s="671" t="s">
        <v>17</v>
      </c>
      <c r="W14" s="672">
        <f t="shared" si="2"/>
        <v>100</v>
      </c>
      <c r="X14" s="673"/>
      <c r="Y14" s="2986"/>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096" t="s">
        <v>2364</v>
      </c>
      <c r="Q15" s="1431" t="str">
        <f t="shared" si="6"/>
        <v>产业集聚程度</v>
      </c>
      <c r="R15" s="674" t="s">
        <v>17</v>
      </c>
      <c r="S15" s="675">
        <f t="shared" si="0"/>
        <v>100</v>
      </c>
      <c r="T15" s="674" t="s">
        <v>17</v>
      </c>
      <c r="U15" s="675">
        <f t="shared" si="1"/>
        <v>100</v>
      </c>
      <c r="V15" s="674" t="s">
        <v>17</v>
      </c>
      <c r="W15" s="675">
        <f t="shared" si="2"/>
        <v>100</v>
      </c>
      <c r="X15" s="1433"/>
      <c r="Y15" s="3096"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097"/>
      <c r="Q16" s="1431"/>
      <c r="R16" s="674"/>
      <c r="S16" s="675"/>
      <c r="T16" s="674"/>
      <c r="U16" s="675"/>
      <c r="V16" s="674"/>
      <c r="W16" s="675"/>
      <c r="X16" s="1433"/>
      <c r="Y16" s="3097"/>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097"/>
      <c r="Q17" s="1431" t="str">
        <f>B17</f>
        <v>交通便捷度</v>
      </c>
      <c r="R17" s="674" t="s">
        <v>17</v>
      </c>
      <c r="S17" s="675">
        <f>F17</f>
        <v>100</v>
      </c>
      <c r="T17" s="674" t="s">
        <v>17</v>
      </c>
      <c r="U17" s="675">
        <f>H17</f>
        <v>100</v>
      </c>
      <c r="V17" s="674" t="s">
        <v>17</v>
      </c>
      <c r="W17" s="675">
        <f>J17</f>
        <v>100</v>
      </c>
      <c r="X17" s="1433"/>
      <c r="Y17" s="3097"/>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097"/>
      <c r="Q18" s="1431"/>
      <c r="R18" s="674"/>
      <c r="S18" s="675"/>
      <c r="T18" s="674"/>
      <c r="U18" s="675"/>
      <c r="V18" s="674"/>
      <c r="W18" s="675"/>
      <c r="X18" s="1433"/>
      <c r="Y18" s="3097"/>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097"/>
      <c r="Q19" s="1431" t="str">
        <f t="shared" ref="Q19:Q33" si="8">B19</f>
        <v>区域土地利用方向</v>
      </c>
      <c r="R19" s="674" t="s">
        <v>17</v>
      </c>
      <c r="S19" s="675">
        <f>F19</f>
        <v>100</v>
      </c>
      <c r="T19" s="674" t="s">
        <v>17</v>
      </c>
      <c r="U19" s="675">
        <f>H19</f>
        <v>100</v>
      </c>
      <c r="V19" s="674" t="s">
        <v>17</v>
      </c>
      <c r="W19" s="675">
        <f>J19</f>
        <v>100</v>
      </c>
      <c r="X19" s="1433"/>
      <c r="Y19" s="3097"/>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097"/>
      <c r="Q20" s="1431"/>
      <c r="R20" s="674"/>
      <c r="S20" s="675"/>
      <c r="T20" s="674"/>
      <c r="U20" s="675"/>
      <c r="V20" s="674"/>
      <c r="W20" s="675"/>
      <c r="X20" s="1433"/>
      <c r="Y20" s="3097"/>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097"/>
      <c r="Q21" s="1431" t="str">
        <f t="shared" si="8"/>
        <v>环境状况</v>
      </c>
      <c r="R21" s="674" t="s">
        <v>17</v>
      </c>
      <c r="S21" s="675">
        <f>F21</f>
        <v>100</v>
      </c>
      <c r="T21" s="674" t="s">
        <v>17</v>
      </c>
      <c r="U21" s="675">
        <f>H21</f>
        <v>100</v>
      </c>
      <c r="V21" s="674" t="s">
        <v>17</v>
      </c>
      <c r="W21" s="675">
        <f>J21</f>
        <v>100</v>
      </c>
      <c r="X21" s="1433"/>
      <c r="Y21" s="3097"/>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097"/>
      <c r="Q22" s="1431"/>
      <c r="R22" s="674"/>
      <c r="S22" s="675"/>
      <c r="T22" s="674"/>
      <c r="U22" s="675"/>
      <c r="V22" s="674"/>
      <c r="W22" s="675"/>
      <c r="X22" s="1433"/>
      <c r="Y22" s="3097"/>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097"/>
      <c r="Q23" s="536" t="str">
        <f t="shared" si="8"/>
        <v>公共配套设施</v>
      </c>
      <c r="R23" s="671" t="s">
        <v>17</v>
      </c>
      <c r="S23" s="672">
        <f>F23</f>
        <v>100</v>
      </c>
      <c r="T23" s="671" t="s">
        <v>17</v>
      </c>
      <c r="U23" s="672">
        <f>H23</f>
        <v>100</v>
      </c>
      <c r="V23" s="671" t="s">
        <v>17</v>
      </c>
      <c r="W23" s="672">
        <f>J23</f>
        <v>100</v>
      </c>
      <c r="X23" s="673"/>
      <c r="Y23" s="3097"/>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097"/>
      <c r="Q24" s="536"/>
      <c r="R24" s="671"/>
      <c r="S24" s="672"/>
      <c r="T24" s="671"/>
      <c r="U24" s="672"/>
      <c r="V24" s="671"/>
      <c r="W24" s="672"/>
      <c r="X24" s="673"/>
      <c r="Y24" s="3097"/>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097"/>
      <c r="Q25" s="536" t="str">
        <f t="shared" ref="Q25" si="9">B25</f>
        <v>基础设施水平</v>
      </c>
      <c r="R25" s="671" t="s">
        <v>17</v>
      </c>
      <c r="S25" s="672">
        <f>F25</f>
        <v>100</v>
      </c>
      <c r="T25" s="671" t="s">
        <v>17</v>
      </c>
      <c r="U25" s="672">
        <f>H25</f>
        <v>100</v>
      </c>
      <c r="V25" s="671" t="s">
        <v>17</v>
      </c>
      <c r="W25" s="672">
        <f>J25</f>
        <v>100</v>
      </c>
      <c r="X25" s="673"/>
      <c r="Y25" s="3097"/>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097"/>
      <c r="Q26" s="536"/>
      <c r="R26" s="671"/>
      <c r="S26" s="672"/>
      <c r="T26" s="671"/>
      <c r="U26" s="672"/>
      <c r="V26" s="671"/>
      <c r="W26" s="672"/>
      <c r="X26" s="673"/>
      <c r="Y26" s="3097"/>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097"/>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097"/>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097"/>
      <c r="Q28" s="1431" t="str">
        <f t="shared" si="8"/>
        <v>毗邻道路的类型与等级</v>
      </c>
      <c r="R28" s="674" t="s">
        <v>17</v>
      </c>
      <c r="S28" s="675">
        <f t="shared" si="10"/>
        <v>100</v>
      </c>
      <c r="T28" s="674" t="s">
        <v>17</v>
      </c>
      <c r="U28" s="675">
        <f t="shared" si="11"/>
        <v>100</v>
      </c>
      <c r="V28" s="674" t="s">
        <v>17</v>
      </c>
      <c r="W28" s="675">
        <f t="shared" si="12"/>
        <v>100</v>
      </c>
      <c r="X28" s="1433"/>
      <c r="Y28" s="3097"/>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097"/>
      <c r="Q29" s="1431"/>
      <c r="R29" s="674"/>
      <c r="S29" s="675"/>
      <c r="T29" s="674"/>
      <c r="U29" s="675"/>
      <c r="V29" s="674"/>
      <c r="W29" s="675"/>
      <c r="X29" s="1433"/>
      <c r="Y29" s="3097"/>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097"/>
      <c r="Q30" s="1431" t="str">
        <f t="shared" si="8"/>
        <v>土地级别</v>
      </c>
      <c r="R30" s="674" t="s">
        <v>17</v>
      </c>
      <c r="S30" s="675">
        <f t="shared" si="10"/>
        <v>100</v>
      </c>
      <c r="T30" s="674" t="s">
        <v>17</v>
      </c>
      <c r="U30" s="675">
        <f t="shared" si="11"/>
        <v>100</v>
      </c>
      <c r="V30" s="674" t="s">
        <v>17</v>
      </c>
      <c r="W30" s="675">
        <f t="shared" si="12"/>
        <v>100</v>
      </c>
      <c r="X30" s="1433"/>
      <c r="Y30" s="3097"/>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097"/>
      <c r="Q31" s="1431">
        <f t="shared" si="8"/>
        <v>111</v>
      </c>
      <c r="R31" s="674" t="s">
        <v>17</v>
      </c>
      <c r="S31" s="675">
        <f t="shared" si="10"/>
        <v>100</v>
      </c>
      <c r="T31" s="674" t="s">
        <v>17</v>
      </c>
      <c r="U31" s="675">
        <f t="shared" si="11"/>
        <v>100</v>
      </c>
      <c r="V31" s="674" t="s">
        <v>17</v>
      </c>
      <c r="W31" s="675">
        <f t="shared" si="12"/>
        <v>100</v>
      </c>
      <c r="X31" s="1433"/>
      <c r="Y31" s="3097"/>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098" t="s">
        <v>2369</v>
      </c>
      <c r="Q32" s="1431">
        <f t="shared" si="8"/>
        <v>111</v>
      </c>
      <c r="R32" s="674" t="s">
        <v>17</v>
      </c>
      <c r="S32" s="675">
        <f t="shared" si="10"/>
        <v>100</v>
      </c>
      <c r="T32" s="674" t="s">
        <v>17</v>
      </c>
      <c r="U32" s="675">
        <f t="shared" si="11"/>
        <v>100</v>
      </c>
      <c r="V32" s="674" t="s">
        <v>17</v>
      </c>
      <c r="W32" s="675">
        <f t="shared" si="12"/>
        <v>100</v>
      </c>
      <c r="X32" s="1433"/>
      <c r="Y32" s="3099"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099"/>
      <c r="Q33" s="1431">
        <f t="shared" si="8"/>
        <v>111</v>
      </c>
      <c r="R33" s="676" t="s">
        <v>17</v>
      </c>
      <c r="S33" s="677">
        <f t="shared" si="10"/>
        <v>100</v>
      </c>
      <c r="T33" s="676" t="s">
        <v>17</v>
      </c>
      <c r="U33" s="677">
        <f t="shared" si="11"/>
        <v>100</v>
      </c>
      <c r="V33" s="676" t="s">
        <v>17</v>
      </c>
      <c r="W33" s="677">
        <f t="shared" si="12"/>
        <v>100</v>
      </c>
      <c r="X33" s="678"/>
      <c r="Y33" s="3099"/>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099"/>
      <c r="Q34" s="1431" t="str">
        <f>B34</f>
        <v>宗地面积</v>
      </c>
      <c r="R34" s="674" t="s">
        <v>17</v>
      </c>
      <c r="S34" s="675" t="e">
        <f t="shared" si="10"/>
        <v>#N/A</v>
      </c>
      <c r="T34" s="674" t="s">
        <v>17</v>
      </c>
      <c r="U34" s="675" t="e">
        <f t="shared" si="11"/>
        <v>#N/A</v>
      </c>
      <c r="V34" s="674" t="s">
        <v>17</v>
      </c>
      <c r="W34" s="675" t="e">
        <f t="shared" si="12"/>
        <v>#N/A</v>
      </c>
      <c r="X34" s="1433"/>
      <c r="Y34" s="3099"/>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099"/>
      <c r="Q35" s="1431" t="str">
        <f t="shared" ref="Q35:Q40" si="14">B35</f>
        <v>宗地形状</v>
      </c>
      <c r="R35" s="674" t="s">
        <v>17</v>
      </c>
      <c r="S35" s="675">
        <f t="shared" si="10"/>
        <v>100</v>
      </c>
      <c r="T35" s="674" t="s">
        <v>17</v>
      </c>
      <c r="U35" s="675">
        <f t="shared" si="11"/>
        <v>100</v>
      </c>
      <c r="V35" s="674" t="s">
        <v>17</v>
      </c>
      <c r="W35" s="675">
        <f t="shared" si="12"/>
        <v>100</v>
      </c>
      <c r="X35" s="1433"/>
      <c r="Y35" s="3099"/>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099"/>
      <c r="Q36" s="1431" t="str">
        <f t="shared" si="14"/>
        <v>宗地开发程度</v>
      </c>
      <c r="R36" s="671" t="s">
        <v>17</v>
      </c>
      <c r="S36" s="672">
        <f t="shared" si="10"/>
        <v>100</v>
      </c>
      <c r="T36" s="671" t="s">
        <v>17</v>
      </c>
      <c r="U36" s="672">
        <f t="shared" si="11"/>
        <v>100</v>
      </c>
      <c r="V36" s="671" t="s">
        <v>17</v>
      </c>
      <c r="W36" s="672">
        <f t="shared" si="12"/>
        <v>100</v>
      </c>
      <c r="X36" s="673"/>
      <c r="Y36" s="3099"/>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099" t="s">
        <v>2369</v>
      </c>
      <c r="Q37" s="1431" t="str">
        <f t="shared" si="14"/>
        <v>工程地质条件</v>
      </c>
      <c r="R37" s="674" t="s">
        <v>17</v>
      </c>
      <c r="S37" s="675">
        <f t="shared" si="10"/>
        <v>100</v>
      </c>
      <c r="T37" s="674" t="s">
        <v>17</v>
      </c>
      <c r="U37" s="675">
        <f t="shared" si="11"/>
        <v>100</v>
      </c>
      <c r="V37" s="674" t="s">
        <v>17</v>
      </c>
      <c r="W37" s="675">
        <f t="shared" si="12"/>
        <v>100</v>
      </c>
      <c r="X37" s="1433"/>
      <c r="Y37" s="3099"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099"/>
      <c r="Q38" s="1431">
        <f t="shared" si="14"/>
        <v>111</v>
      </c>
      <c r="R38" s="674" t="s">
        <v>17</v>
      </c>
      <c r="S38" s="675">
        <f t="shared" si="10"/>
        <v>100</v>
      </c>
      <c r="T38" s="674" t="s">
        <v>17</v>
      </c>
      <c r="U38" s="675">
        <f t="shared" si="11"/>
        <v>100</v>
      </c>
      <c r="V38" s="674" t="s">
        <v>17</v>
      </c>
      <c r="W38" s="675">
        <f t="shared" si="12"/>
        <v>100</v>
      </c>
      <c r="X38" s="1433"/>
      <c r="Y38" s="3099"/>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099"/>
      <c r="Q39" s="1431">
        <f t="shared" si="14"/>
        <v>111</v>
      </c>
      <c r="R39" s="674" t="s">
        <v>17</v>
      </c>
      <c r="S39" s="675">
        <f t="shared" si="10"/>
        <v>100</v>
      </c>
      <c r="T39" s="674" t="s">
        <v>17</v>
      </c>
      <c r="U39" s="675">
        <f t="shared" si="11"/>
        <v>100</v>
      </c>
      <c r="V39" s="674" t="s">
        <v>17</v>
      </c>
      <c r="W39" s="675">
        <f t="shared" si="12"/>
        <v>100</v>
      </c>
      <c r="X39" s="1433"/>
      <c r="Y39" s="3099"/>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099"/>
      <c r="Q40" s="1431">
        <f t="shared" si="14"/>
        <v>111</v>
      </c>
      <c r="R40" s="676" t="s">
        <v>17</v>
      </c>
      <c r="S40" s="677">
        <f t="shared" si="10"/>
        <v>100</v>
      </c>
      <c r="T40" s="676" t="s">
        <v>17</v>
      </c>
      <c r="U40" s="677">
        <f t="shared" si="11"/>
        <v>100</v>
      </c>
      <c r="V40" s="676" t="s">
        <v>17</v>
      </c>
      <c r="W40" s="677">
        <f t="shared" si="12"/>
        <v>100</v>
      </c>
      <c r="X40" s="678"/>
      <c r="Y40" s="3099"/>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094" t="str">
        <f>A41</f>
        <v>成交单价</v>
      </c>
      <c r="Q41" s="3094"/>
      <c r="R41" s="3100">
        <f>E41</f>
        <v>0</v>
      </c>
      <c r="S41" s="3100"/>
      <c r="T41" s="3100">
        <f>G41</f>
        <v>0</v>
      </c>
      <c r="U41" s="3100"/>
      <c r="V41" s="3100">
        <f>I41</f>
        <v>0</v>
      </c>
      <c r="W41" s="3100"/>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094" t="str">
        <f>A42</f>
        <v>比较价值（元/平方米）</v>
      </c>
      <c r="Q42" s="3094"/>
      <c r="R42" s="3087" t="e">
        <f>ROUND(PRODUCT(R41,AA7:AA40),0)</f>
        <v>#DIV/0!</v>
      </c>
      <c r="S42" s="3087"/>
      <c r="T42" s="3087" t="e">
        <f>ROUND(PRODUCT(T41,AB7:AB40),0)</f>
        <v>#DIV/0!</v>
      </c>
      <c r="U42" s="3087"/>
      <c r="V42" s="3087" t="e">
        <f>ROUND(PRODUCT(V41,AC7:AC40),0)</f>
        <v>#DIV/0!</v>
      </c>
      <c r="W42" s="3087"/>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088" t="str">
        <f>A43</f>
        <v>估价对象XX用房的比较价值（楼面单价，元/平方米）</v>
      </c>
      <c r="Q43" s="3089"/>
      <c r="R43" s="3090" t="e">
        <f>ROUND(IF(D42="简单平均",AVERAGE(R42:W42),R42*F42+T42*H42+V42*J42),0)</f>
        <v>#DIV/0!</v>
      </c>
      <c r="S43" s="3090"/>
      <c r="T43" s="3090"/>
      <c r="U43" s="3090"/>
      <c r="V43" s="3090"/>
      <c r="W43" s="3090"/>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091" t="s">
        <v>2566</v>
      </c>
      <c r="H50" s="3092"/>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093"/>
      <c r="H51" s="3094"/>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095"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095"/>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095"/>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095"/>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192"/>
      <c r="B4" s="3193"/>
      <c r="C4" s="3193"/>
      <c r="D4" s="3194"/>
      <c r="E4" s="3194"/>
      <c r="F4" s="3194"/>
      <c r="G4" s="3194"/>
      <c r="H4" s="3194"/>
      <c r="I4" s="3194"/>
      <c r="J4" s="3195"/>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196"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197"/>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189" t="s">
        <v>2642</v>
      </c>
      <c r="X8" s="3190"/>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197"/>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191"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197"/>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191"/>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197"/>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191"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196"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191"/>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198"/>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191"/>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198"/>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199"/>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196" t="s">
        <v>2685</v>
      </c>
      <c r="B16" s="2033" t="s">
        <v>2686</v>
      </c>
      <c r="C16" s="2184" t="e">
        <f>ROUND(IF(F17="与级别开发程度一致",0,(G17-E17)/C17),0)</f>
        <v>#DIV/0!</v>
      </c>
      <c r="D16" s="3212" t="s">
        <v>2690</v>
      </c>
      <c r="E16" s="3213"/>
      <c r="F16" s="3212" t="s">
        <v>2687</v>
      </c>
      <c r="G16" s="3213"/>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200"/>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09"/>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14"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10"/>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10"/>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10"/>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10"/>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11"/>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11"/>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201" t="s">
        <v>2773</v>
      </c>
      <c r="B90" s="3201"/>
      <c r="C90" s="3201"/>
      <c r="D90" s="3201"/>
      <c r="E90" s="3201"/>
      <c r="F90" s="3201"/>
      <c r="G90" s="3201"/>
      <c r="H90" s="3201"/>
      <c r="I90" s="3201"/>
      <c r="J90" s="3201"/>
      <c r="K90" s="2158"/>
      <c r="L90" s="2158"/>
      <c r="M90" s="2158"/>
      <c r="N90" s="2158"/>
    </row>
    <row r="91" spans="1:37">
      <c r="A91" s="3203" t="s">
        <v>2774</v>
      </c>
      <c r="B91" s="3203" t="s">
        <v>2775</v>
      </c>
      <c r="C91" s="2116" t="s">
        <v>2776</v>
      </c>
      <c r="D91" s="2117"/>
      <c r="E91" s="2117"/>
      <c r="F91" s="2117"/>
      <c r="G91" s="2117"/>
      <c r="H91" s="2117"/>
      <c r="I91" s="2117"/>
      <c r="J91" s="2159"/>
      <c r="K91" s="2160"/>
      <c r="L91" s="2160"/>
      <c r="M91" s="2160"/>
      <c r="N91" s="2160"/>
    </row>
    <row r="92" spans="1:37">
      <c r="A92" s="3203"/>
      <c r="B92" s="3203"/>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204"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205"/>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205"/>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205"/>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205"/>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205"/>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205"/>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206"/>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204"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205"/>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205"/>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205"/>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205"/>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205"/>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205"/>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205"/>
      <c r="B108" s="3207"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206"/>
      <c r="B109" s="3208"/>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202" t="s">
        <v>2781</v>
      </c>
      <c r="B110" s="3202"/>
      <c r="C110" s="3202"/>
      <c r="D110" s="3202"/>
      <c r="E110" s="3202"/>
      <c r="F110" s="3202"/>
      <c r="G110" s="3202"/>
      <c r="H110" s="3202"/>
      <c r="I110" s="3202"/>
      <c r="J110" s="3202"/>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15" t="s">
        <v>183</v>
      </c>
      <c r="B18" s="772" t="s">
        <v>560</v>
      </c>
      <c r="C18" s="773" t="s">
        <v>561</v>
      </c>
      <c r="D18" s="774"/>
      <c r="E18" s="772">
        <v>1</v>
      </c>
      <c r="F18" s="775" t="s">
        <v>562</v>
      </c>
      <c r="G18" s="776"/>
    </row>
    <row r="19" spans="1:7" ht="19.5" customHeight="1">
      <c r="A19" s="3215"/>
      <c r="B19" s="3215" t="s">
        <v>563</v>
      </c>
      <c r="C19" s="773" t="s">
        <v>564</v>
      </c>
      <c r="D19" s="774"/>
      <c r="E19" s="772">
        <v>0.9</v>
      </c>
      <c r="F19" s="775" t="s">
        <v>565</v>
      </c>
      <c r="G19" s="776"/>
    </row>
    <row r="20" spans="1:7" ht="19.5" customHeight="1">
      <c r="A20" s="3215"/>
      <c r="B20" s="3215"/>
      <c r="C20" s="773" t="s">
        <v>566</v>
      </c>
      <c r="D20" s="774"/>
      <c r="E20" s="772">
        <v>1.1000000000000001</v>
      </c>
      <c r="F20" s="775" t="s">
        <v>567</v>
      </c>
      <c r="G20" s="776"/>
    </row>
    <row r="21" spans="1:7" ht="19.5" customHeight="1">
      <c r="A21" s="3215"/>
      <c r="B21" s="3215"/>
      <c r="C21" s="773" t="s">
        <v>568</v>
      </c>
      <c r="D21" s="774"/>
      <c r="E21" s="772">
        <v>0.8</v>
      </c>
      <c r="F21" s="775" t="s">
        <v>569</v>
      </c>
      <c r="G21" s="776"/>
    </row>
    <row r="22" spans="1:7" ht="19.5" customHeight="1">
      <c r="A22" s="3215"/>
      <c r="B22" s="3215"/>
      <c r="C22" s="773" t="s">
        <v>570</v>
      </c>
      <c r="D22" s="774"/>
      <c r="E22" s="772">
        <v>0.5</v>
      </c>
      <c r="F22" s="775"/>
      <c r="G22" s="776"/>
    </row>
    <row r="23" spans="1:7" ht="19.5" customHeight="1">
      <c r="A23" s="3215" t="s">
        <v>184</v>
      </c>
      <c r="B23" s="772" t="s">
        <v>560</v>
      </c>
      <c r="C23" s="773" t="s">
        <v>571</v>
      </c>
      <c r="D23" s="774"/>
      <c r="E23" s="772">
        <v>1</v>
      </c>
      <c r="F23" s="775" t="s">
        <v>572</v>
      </c>
      <c r="G23" s="776"/>
    </row>
    <row r="24" spans="1:7" ht="19.5" customHeight="1">
      <c r="A24" s="3215"/>
      <c r="B24" s="3215" t="s">
        <v>563</v>
      </c>
      <c r="C24" s="773" t="s">
        <v>573</v>
      </c>
      <c r="D24" s="774"/>
      <c r="E24" s="772">
        <v>0.5</v>
      </c>
      <c r="F24" s="775"/>
      <c r="G24" s="776"/>
    </row>
    <row r="25" spans="1:7" ht="19.5" customHeight="1">
      <c r="A25" s="3215"/>
      <c r="B25" s="3215"/>
      <c r="C25" s="773" t="s">
        <v>574</v>
      </c>
      <c r="D25" s="774"/>
      <c r="E25" s="772">
        <v>1.1000000000000001</v>
      </c>
      <c r="F25" s="775"/>
      <c r="G25" s="776"/>
    </row>
    <row r="26" spans="1:7" ht="19.5" customHeight="1">
      <c r="A26" s="3215"/>
      <c r="B26" s="3215"/>
      <c r="C26" s="773" t="s">
        <v>575</v>
      </c>
      <c r="D26" s="774"/>
      <c r="E26" s="772">
        <v>1.1000000000000001</v>
      </c>
      <c r="F26" s="775"/>
      <c r="G26" s="776"/>
    </row>
    <row r="27" spans="1:7" ht="19.5" customHeight="1">
      <c r="A27" s="3215"/>
      <c r="B27" s="3215"/>
      <c r="C27" s="773" t="s">
        <v>576</v>
      </c>
      <c r="D27" s="774"/>
      <c r="E27" s="772">
        <v>0.9</v>
      </c>
      <c r="F27" s="775" t="s">
        <v>577</v>
      </c>
      <c r="G27" s="776"/>
    </row>
    <row r="28" spans="1:7" ht="19.5" customHeight="1">
      <c r="A28" s="3215"/>
      <c r="B28" s="3215"/>
      <c r="C28" s="773" t="s">
        <v>578</v>
      </c>
      <c r="D28" s="774"/>
      <c r="E28" s="772">
        <v>0.9</v>
      </c>
      <c r="F28" s="775" t="s">
        <v>579</v>
      </c>
      <c r="G28" s="776"/>
    </row>
    <row r="29" spans="1:7" ht="19.5" customHeight="1">
      <c r="A29" s="3215"/>
      <c r="B29" s="3215"/>
      <c r="C29" s="773" t="s">
        <v>580</v>
      </c>
      <c r="D29" s="774"/>
      <c r="E29" s="772">
        <v>0.9</v>
      </c>
      <c r="F29" s="775" t="s">
        <v>581</v>
      </c>
      <c r="G29" s="776"/>
    </row>
    <row r="30" spans="1:7" ht="19.5" customHeight="1">
      <c r="A30" s="3215"/>
      <c r="B30" s="3215"/>
      <c r="C30" s="773" t="s">
        <v>582</v>
      </c>
      <c r="D30" s="774"/>
      <c r="E30" s="772">
        <v>0.9</v>
      </c>
      <c r="F30" s="775" t="s">
        <v>583</v>
      </c>
      <c r="G30" s="776"/>
    </row>
    <row r="31" spans="1:7" ht="19.5" customHeight="1">
      <c r="A31" s="3215"/>
      <c r="B31" s="3215"/>
      <c r="C31" s="773" t="s">
        <v>584</v>
      </c>
      <c r="D31" s="774"/>
      <c r="E31" s="772">
        <v>0.8</v>
      </c>
      <c r="F31" s="775" t="s">
        <v>585</v>
      </c>
      <c r="G31" s="776"/>
    </row>
    <row r="32" spans="1:7" ht="19.5" customHeight="1">
      <c r="A32" s="3215"/>
      <c r="B32" s="3215"/>
      <c r="C32" s="773" t="s">
        <v>586</v>
      </c>
      <c r="D32" s="774"/>
      <c r="E32" s="772">
        <v>0.8</v>
      </c>
      <c r="F32" s="775" t="s">
        <v>587</v>
      </c>
      <c r="G32" s="776"/>
    </row>
    <row r="33" spans="1:8" ht="19.5" customHeight="1">
      <c r="A33" s="3215" t="s">
        <v>185</v>
      </c>
      <c r="B33" s="772" t="s">
        <v>560</v>
      </c>
      <c r="C33" s="773" t="s">
        <v>588</v>
      </c>
      <c r="D33" s="774"/>
      <c r="E33" s="772">
        <v>1</v>
      </c>
      <c r="F33" s="775" t="s">
        <v>589</v>
      </c>
      <c r="G33" s="776"/>
    </row>
    <row r="34" spans="1:8" ht="19.5" customHeight="1">
      <c r="A34" s="3215"/>
      <c r="B34" s="772" t="s">
        <v>563</v>
      </c>
      <c r="C34" s="773" t="s">
        <v>590</v>
      </c>
      <c r="D34" s="774"/>
      <c r="E34" s="772">
        <v>1.5</v>
      </c>
      <c r="F34" s="775" t="s">
        <v>591</v>
      </c>
      <c r="G34" s="776"/>
    </row>
    <row r="35" spans="1:8" ht="19.5" customHeight="1">
      <c r="A35" s="3215" t="s">
        <v>186</v>
      </c>
      <c r="B35" s="772" t="s">
        <v>560</v>
      </c>
      <c r="C35" s="773" t="s">
        <v>592</v>
      </c>
      <c r="D35" s="774"/>
      <c r="E35" s="772">
        <v>1</v>
      </c>
      <c r="F35" s="775" t="s">
        <v>593</v>
      </c>
      <c r="G35" s="776"/>
    </row>
    <row r="36" spans="1:8" ht="19.5" customHeight="1">
      <c r="A36" s="3215"/>
      <c r="B36" s="3215" t="s">
        <v>563</v>
      </c>
      <c r="C36" s="773" t="s">
        <v>594</v>
      </c>
      <c r="D36" s="774"/>
      <c r="E36" s="772">
        <v>1</v>
      </c>
      <c r="F36" s="775" t="s">
        <v>595</v>
      </c>
      <c r="G36" s="776"/>
    </row>
    <row r="37" spans="1:8" ht="19.5" customHeight="1">
      <c r="A37" s="3215"/>
      <c r="B37" s="3215"/>
      <c r="C37" s="773" t="s">
        <v>596</v>
      </c>
      <c r="D37" s="774"/>
      <c r="E37" s="772">
        <v>1.5</v>
      </c>
      <c r="F37" s="775" t="s">
        <v>597</v>
      </c>
      <c r="G37" s="776"/>
    </row>
    <row r="38" spans="1:8" ht="19.5" customHeight="1">
      <c r="A38" s="3215"/>
      <c r="B38" s="3215"/>
      <c r="C38" s="773" t="s">
        <v>598</v>
      </c>
      <c r="D38" s="774"/>
      <c r="E38" s="772">
        <v>1</v>
      </c>
      <c r="F38" s="775" t="s">
        <v>599</v>
      </c>
      <c r="G38" s="776"/>
    </row>
    <row r="39" spans="1:8" ht="19.5" customHeight="1">
      <c r="A39" s="3215"/>
      <c r="B39" s="3215"/>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15" t="s">
        <v>614</v>
      </c>
      <c r="C61" s="708" t="s">
        <v>615</v>
      </c>
      <c r="D61" s="708" t="s">
        <v>616</v>
      </c>
      <c r="E61" s="783">
        <v>0.5</v>
      </c>
      <c r="F61" s="772">
        <v>80</v>
      </c>
    </row>
    <row r="62" spans="1:8" s="768" customFormat="1" ht="24">
      <c r="A62" s="772">
        <v>2</v>
      </c>
      <c r="B62" s="3215"/>
      <c r="C62" s="708" t="s">
        <v>617</v>
      </c>
      <c r="D62" s="708" t="s">
        <v>618</v>
      </c>
      <c r="E62" s="783">
        <v>0.5</v>
      </c>
      <c r="F62" s="772">
        <v>80</v>
      </c>
    </row>
    <row r="63" spans="1:8" s="768" customFormat="1" ht="36">
      <c r="A63" s="772">
        <v>3</v>
      </c>
      <c r="B63" s="3215"/>
      <c r="C63" s="708" t="s">
        <v>619</v>
      </c>
      <c r="D63" s="708" t="s">
        <v>620</v>
      </c>
      <c r="E63" s="783">
        <v>0.5</v>
      </c>
      <c r="F63" s="772">
        <v>80</v>
      </c>
    </row>
    <row r="64" spans="1:8" s="768" customFormat="1" ht="36">
      <c r="A64" s="772">
        <v>4</v>
      </c>
      <c r="B64" s="3215"/>
      <c r="C64" s="708" t="s">
        <v>621</v>
      </c>
      <c r="D64" s="708" t="s">
        <v>622</v>
      </c>
      <c r="E64" s="783">
        <v>0.4</v>
      </c>
      <c r="F64" s="772">
        <v>60</v>
      </c>
    </row>
    <row r="65" spans="1:6" s="768" customFormat="1" ht="36">
      <c r="A65" s="772">
        <v>5</v>
      </c>
      <c r="B65" s="3215"/>
      <c r="C65" s="708" t="s">
        <v>623</v>
      </c>
      <c r="D65" s="708" t="s">
        <v>624</v>
      </c>
      <c r="E65" s="783">
        <v>0.2</v>
      </c>
      <c r="F65" s="772">
        <v>30</v>
      </c>
    </row>
    <row r="66" spans="1:6" s="768" customFormat="1" ht="36">
      <c r="A66" s="772">
        <v>6</v>
      </c>
      <c r="B66" s="3215"/>
      <c r="C66" s="708" t="s">
        <v>625</v>
      </c>
      <c r="D66" s="708" t="s">
        <v>626</v>
      </c>
      <c r="E66" s="783">
        <v>0.3</v>
      </c>
      <c r="F66" s="772">
        <v>50</v>
      </c>
    </row>
    <row r="67" spans="1:6" s="768" customFormat="1" ht="36">
      <c r="A67" s="772">
        <v>7</v>
      </c>
      <c r="B67" s="3215"/>
      <c r="C67" s="708" t="s">
        <v>627</v>
      </c>
      <c r="D67" s="708" t="s">
        <v>628</v>
      </c>
      <c r="E67" s="783">
        <v>0.2</v>
      </c>
      <c r="F67" s="772">
        <v>30</v>
      </c>
    </row>
    <row r="68" spans="1:6" s="768" customFormat="1" ht="36">
      <c r="A68" s="772">
        <v>8</v>
      </c>
      <c r="B68" s="3215"/>
      <c r="C68" s="708" t="s">
        <v>629</v>
      </c>
      <c r="D68" s="708" t="s">
        <v>630</v>
      </c>
      <c r="E68" s="783">
        <v>0.2</v>
      </c>
      <c r="F68" s="772">
        <v>30</v>
      </c>
    </row>
    <row r="69" spans="1:6" s="768" customFormat="1" ht="36">
      <c r="A69" s="772">
        <v>9</v>
      </c>
      <c r="B69" s="3215"/>
      <c r="C69" s="708" t="s">
        <v>631</v>
      </c>
      <c r="D69" s="708" t="s">
        <v>632</v>
      </c>
      <c r="E69" s="783">
        <v>0.2</v>
      </c>
      <c r="F69" s="772">
        <v>30</v>
      </c>
    </row>
    <row r="70" spans="1:6" s="768" customFormat="1" ht="48">
      <c r="A70" s="772">
        <v>10</v>
      </c>
      <c r="B70" s="3215"/>
      <c r="C70" s="708" t="s">
        <v>633</v>
      </c>
      <c r="D70" s="708" t="s">
        <v>634</v>
      </c>
      <c r="E70" s="783">
        <v>0.2</v>
      </c>
      <c r="F70" s="772">
        <v>30</v>
      </c>
    </row>
    <row r="71" spans="1:6" s="768" customFormat="1" ht="48">
      <c r="A71" s="772">
        <v>11</v>
      </c>
      <c r="B71" s="3215"/>
      <c r="C71" s="708" t="s">
        <v>635</v>
      </c>
      <c r="D71" s="708" t="s">
        <v>636</v>
      </c>
      <c r="E71" s="783">
        <v>0.2</v>
      </c>
      <c r="F71" s="772">
        <v>30</v>
      </c>
    </row>
    <row r="72" spans="1:6" s="768" customFormat="1" ht="36">
      <c r="A72" s="772">
        <v>12</v>
      </c>
      <c r="B72" s="3215"/>
      <c r="C72" s="708" t="s">
        <v>637</v>
      </c>
      <c r="D72" s="708" t="s">
        <v>638</v>
      </c>
      <c r="E72" s="783">
        <v>0.5</v>
      </c>
      <c r="F72" s="772">
        <v>80</v>
      </c>
    </row>
    <row r="73" spans="1:6" s="768" customFormat="1" ht="24">
      <c r="A73" s="772">
        <v>13</v>
      </c>
      <c r="B73" s="3215"/>
      <c r="C73" s="708" t="s">
        <v>639</v>
      </c>
      <c r="D73" s="708" t="s">
        <v>640</v>
      </c>
      <c r="E73" s="783">
        <v>0.4</v>
      </c>
      <c r="F73" s="772">
        <v>60</v>
      </c>
    </row>
    <row r="74" spans="1:6" s="768" customFormat="1" ht="24">
      <c r="A74" s="772">
        <v>14</v>
      </c>
      <c r="B74" s="3215"/>
      <c r="C74" s="708" t="s">
        <v>641</v>
      </c>
      <c r="D74" s="708" t="s">
        <v>642</v>
      </c>
      <c r="E74" s="783">
        <v>0.2</v>
      </c>
      <c r="F74" s="772">
        <v>30</v>
      </c>
    </row>
    <row r="75" spans="1:6" s="768" customFormat="1" ht="24">
      <c r="A75" s="772">
        <v>15</v>
      </c>
      <c r="B75" s="3215"/>
      <c r="C75" s="708" t="s">
        <v>643</v>
      </c>
      <c r="D75" s="708" t="s">
        <v>644</v>
      </c>
      <c r="E75" s="783">
        <v>0.2</v>
      </c>
      <c r="F75" s="772">
        <v>30</v>
      </c>
    </row>
    <row r="76" spans="1:6" s="768" customFormat="1" ht="24">
      <c r="A76" s="772">
        <v>16</v>
      </c>
      <c r="B76" s="3215" t="s">
        <v>645</v>
      </c>
      <c r="C76" s="708" t="s">
        <v>646</v>
      </c>
      <c r="D76" s="708" t="s">
        <v>647</v>
      </c>
      <c r="E76" s="783">
        <v>0.5</v>
      </c>
      <c r="F76" s="772">
        <v>80</v>
      </c>
    </row>
    <row r="77" spans="1:6" s="768" customFormat="1" ht="24">
      <c r="A77" s="772">
        <v>17</v>
      </c>
      <c r="B77" s="3215"/>
      <c r="C77" s="708" t="s">
        <v>648</v>
      </c>
      <c r="D77" s="708" t="s">
        <v>649</v>
      </c>
      <c r="E77" s="783">
        <v>0.5</v>
      </c>
      <c r="F77" s="772">
        <v>80</v>
      </c>
    </row>
    <row r="78" spans="1:6" s="768" customFormat="1" ht="24">
      <c r="A78" s="772">
        <v>18</v>
      </c>
      <c r="B78" s="3215"/>
      <c r="C78" s="708" t="s">
        <v>650</v>
      </c>
      <c r="D78" s="708" t="s">
        <v>651</v>
      </c>
      <c r="E78" s="783">
        <v>0.2</v>
      </c>
      <c r="F78" s="772">
        <v>30</v>
      </c>
    </row>
    <row r="79" spans="1:6" s="768" customFormat="1" ht="24">
      <c r="A79" s="772">
        <v>19</v>
      </c>
      <c r="B79" s="3215"/>
      <c r="C79" s="708" t="s">
        <v>652</v>
      </c>
      <c r="D79" s="708" t="s">
        <v>653</v>
      </c>
      <c r="E79" s="783">
        <v>0.5</v>
      </c>
      <c r="F79" s="772">
        <v>80</v>
      </c>
    </row>
    <row r="80" spans="1:6" s="768" customFormat="1" ht="36">
      <c r="A80" s="772">
        <v>20</v>
      </c>
      <c r="B80" s="3215"/>
      <c r="C80" s="708" t="s">
        <v>654</v>
      </c>
      <c r="D80" s="708" t="s">
        <v>655</v>
      </c>
      <c r="E80" s="783">
        <v>0.2</v>
      </c>
      <c r="F80" s="772">
        <v>30</v>
      </c>
    </row>
    <row r="81" spans="1:6" s="768" customFormat="1" ht="36">
      <c r="A81" s="772">
        <v>21</v>
      </c>
      <c r="B81" s="3215"/>
      <c r="C81" s="708" t="s">
        <v>656</v>
      </c>
      <c r="D81" s="708" t="s">
        <v>657</v>
      </c>
      <c r="E81" s="783">
        <v>0.2</v>
      </c>
      <c r="F81" s="772">
        <v>30</v>
      </c>
    </row>
    <row r="82" spans="1:6" s="768" customFormat="1" ht="48">
      <c r="A82" s="772">
        <v>22</v>
      </c>
      <c r="B82" s="3215"/>
      <c r="C82" s="708" t="s">
        <v>658</v>
      </c>
      <c r="D82" s="708" t="s">
        <v>659</v>
      </c>
      <c r="E82" s="783">
        <v>0.2</v>
      </c>
      <c r="F82" s="772">
        <v>30</v>
      </c>
    </row>
    <row r="83" spans="1:6" s="768" customFormat="1" ht="48">
      <c r="A83" s="772">
        <v>23</v>
      </c>
      <c r="B83" s="3215"/>
      <c r="C83" s="708" t="s">
        <v>660</v>
      </c>
      <c r="D83" s="708" t="s">
        <v>661</v>
      </c>
      <c r="E83" s="783">
        <v>0.2</v>
      </c>
      <c r="F83" s="772">
        <v>30</v>
      </c>
    </row>
    <row r="84" spans="1:6" s="768" customFormat="1" ht="36">
      <c r="A84" s="772">
        <v>24</v>
      </c>
      <c r="B84" s="3215"/>
      <c r="C84" s="708" t="s">
        <v>662</v>
      </c>
      <c r="D84" s="708" t="s">
        <v>663</v>
      </c>
      <c r="E84" s="783">
        <v>0.2</v>
      </c>
      <c r="F84" s="772">
        <v>30</v>
      </c>
    </row>
    <row r="85" spans="1:6" s="768" customFormat="1" ht="36">
      <c r="A85" s="772">
        <v>25</v>
      </c>
      <c r="B85" s="3215"/>
      <c r="C85" s="708" t="s">
        <v>664</v>
      </c>
      <c r="D85" s="708" t="s">
        <v>665</v>
      </c>
      <c r="E85" s="783">
        <v>0.5</v>
      </c>
      <c r="F85" s="772">
        <v>80</v>
      </c>
    </row>
    <row r="86" spans="1:6" s="768" customFormat="1" ht="36">
      <c r="A86" s="772">
        <v>26</v>
      </c>
      <c r="B86" s="3215"/>
      <c r="C86" s="708" t="s">
        <v>666</v>
      </c>
      <c r="D86" s="708" t="s">
        <v>667</v>
      </c>
      <c r="E86" s="783">
        <v>0.2</v>
      </c>
      <c r="F86" s="772">
        <v>30</v>
      </c>
    </row>
    <row r="87" spans="1:6" s="768" customFormat="1" ht="36">
      <c r="A87" s="772">
        <v>27</v>
      </c>
      <c r="B87" s="3215"/>
      <c r="C87" s="708" t="s">
        <v>668</v>
      </c>
      <c r="D87" s="708" t="s">
        <v>669</v>
      </c>
      <c r="E87" s="783">
        <v>0.2</v>
      </c>
      <c r="F87" s="772">
        <v>30</v>
      </c>
    </row>
    <row r="88" spans="1:6" s="768" customFormat="1" ht="36">
      <c r="A88" s="772">
        <v>28</v>
      </c>
      <c r="B88" s="3215"/>
      <c r="C88" s="708" t="s">
        <v>670</v>
      </c>
      <c r="D88" s="708" t="s">
        <v>671</v>
      </c>
      <c r="E88" s="783">
        <v>0.2</v>
      </c>
      <c r="F88" s="772">
        <v>30</v>
      </c>
    </row>
    <row r="89" spans="1:6" s="768" customFormat="1" ht="24">
      <c r="A89" s="772">
        <v>29</v>
      </c>
      <c r="B89" s="3215"/>
      <c r="C89" s="708" t="s">
        <v>672</v>
      </c>
      <c r="D89" s="708" t="s">
        <v>673</v>
      </c>
      <c r="E89" s="783">
        <v>0.2</v>
      </c>
      <c r="F89" s="772">
        <v>30</v>
      </c>
    </row>
    <row r="90" spans="1:6" s="768" customFormat="1" ht="24">
      <c r="A90" s="772">
        <v>30</v>
      </c>
      <c r="B90" s="3215"/>
      <c r="C90" s="708" t="s">
        <v>674</v>
      </c>
      <c r="D90" s="708" t="s">
        <v>675</v>
      </c>
      <c r="E90" s="783">
        <v>0.2</v>
      </c>
      <c r="F90" s="772">
        <v>30</v>
      </c>
    </row>
    <row r="91" spans="1:6" s="768" customFormat="1" ht="36">
      <c r="A91" s="772">
        <v>31</v>
      </c>
      <c r="B91" s="3215"/>
      <c r="C91" s="708" t="s">
        <v>676</v>
      </c>
      <c r="D91" s="708" t="s">
        <v>677</v>
      </c>
      <c r="E91" s="783">
        <v>0.2</v>
      </c>
      <c r="F91" s="772">
        <v>30</v>
      </c>
    </row>
    <row r="92" spans="1:6" s="768" customFormat="1" ht="24">
      <c r="A92" s="772">
        <v>32</v>
      </c>
      <c r="B92" s="3215" t="s">
        <v>678</v>
      </c>
      <c r="C92" s="772" t="s">
        <v>679</v>
      </c>
      <c r="D92" s="708" t="s">
        <v>680</v>
      </c>
      <c r="E92" s="783">
        <v>0.2</v>
      </c>
      <c r="F92" s="772">
        <v>30</v>
      </c>
    </row>
    <row r="93" spans="1:6" s="768" customFormat="1" ht="36">
      <c r="A93" s="772">
        <v>33</v>
      </c>
      <c r="B93" s="3215"/>
      <c r="C93" s="772" t="s">
        <v>681</v>
      </c>
      <c r="D93" s="708" t="s">
        <v>682</v>
      </c>
      <c r="E93" s="783">
        <v>0.2</v>
      </c>
      <c r="F93" s="772">
        <v>30</v>
      </c>
    </row>
    <row r="94" spans="1:6" s="768" customFormat="1" ht="48">
      <c r="A94" s="772">
        <v>34</v>
      </c>
      <c r="B94" s="3215"/>
      <c r="C94" s="772" t="s">
        <v>683</v>
      </c>
      <c r="D94" s="708" t="s">
        <v>684</v>
      </c>
      <c r="E94" s="783">
        <v>0.2</v>
      </c>
      <c r="F94" s="772">
        <v>30</v>
      </c>
    </row>
    <row r="95" spans="1:6" s="768" customFormat="1" ht="36">
      <c r="A95" s="772">
        <v>35</v>
      </c>
      <c r="B95" s="3215"/>
      <c r="C95" s="772" t="s">
        <v>685</v>
      </c>
      <c r="D95" s="708" t="s">
        <v>686</v>
      </c>
      <c r="E95" s="783">
        <v>0.2</v>
      </c>
      <c r="F95" s="772">
        <v>30</v>
      </c>
    </row>
    <row r="96" spans="1:6" s="768" customFormat="1" ht="48">
      <c r="A96" s="772">
        <v>36</v>
      </c>
      <c r="B96" s="3215"/>
      <c r="C96" s="708" t="s">
        <v>687</v>
      </c>
      <c r="D96" s="708" t="s">
        <v>688</v>
      </c>
      <c r="E96" s="783">
        <v>0.2</v>
      </c>
      <c r="F96" s="772">
        <v>30</v>
      </c>
    </row>
    <row r="97" spans="1:6" s="768" customFormat="1" ht="36">
      <c r="A97" s="772">
        <v>37</v>
      </c>
      <c r="B97" s="3215"/>
      <c r="C97" s="772" t="s">
        <v>689</v>
      </c>
      <c r="D97" s="708" t="s">
        <v>690</v>
      </c>
      <c r="E97" s="783">
        <v>0.2</v>
      </c>
      <c r="F97" s="772">
        <v>30</v>
      </c>
    </row>
    <row r="98" spans="1:6" s="768" customFormat="1" ht="36">
      <c r="A98" s="772">
        <v>38</v>
      </c>
      <c r="B98" s="3215"/>
      <c r="C98" s="772" t="s">
        <v>691</v>
      </c>
      <c r="D98" s="708" t="s">
        <v>692</v>
      </c>
      <c r="E98" s="783">
        <v>0.2</v>
      </c>
      <c r="F98" s="772">
        <v>30</v>
      </c>
    </row>
    <row r="99" spans="1:6" s="768" customFormat="1" ht="36">
      <c r="A99" s="772">
        <v>39</v>
      </c>
      <c r="B99" s="3215" t="s">
        <v>693</v>
      </c>
      <c r="C99" s="772" t="s">
        <v>694</v>
      </c>
      <c r="D99" s="708" t="s">
        <v>695</v>
      </c>
      <c r="E99" s="783">
        <v>0.3</v>
      </c>
      <c r="F99" s="772">
        <v>50</v>
      </c>
    </row>
    <row r="100" spans="1:6" s="768" customFormat="1" ht="24">
      <c r="A100" s="772">
        <v>40</v>
      </c>
      <c r="B100" s="3215"/>
      <c r="C100" s="772" t="s">
        <v>696</v>
      </c>
      <c r="D100" s="708" t="s">
        <v>697</v>
      </c>
      <c r="E100" s="783">
        <v>0.2</v>
      </c>
      <c r="F100" s="772">
        <v>30</v>
      </c>
    </row>
    <row r="101" spans="1:6" s="768" customFormat="1" ht="36">
      <c r="A101" s="772">
        <v>41</v>
      </c>
      <c r="B101" s="3215"/>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15" t="s">
        <v>708</v>
      </c>
      <c r="C105" s="772" t="s">
        <v>709</v>
      </c>
      <c r="D105" s="708" t="s">
        <v>710</v>
      </c>
      <c r="E105" s="783">
        <v>0.2</v>
      </c>
      <c r="F105" s="772">
        <v>30</v>
      </c>
    </row>
    <row r="106" spans="1:6" s="768" customFormat="1" ht="36">
      <c r="A106" s="772">
        <v>46</v>
      </c>
      <c r="B106" s="3215"/>
      <c r="C106" s="772" t="s">
        <v>711</v>
      </c>
      <c r="D106" s="708" t="s">
        <v>712</v>
      </c>
      <c r="E106" s="783">
        <v>0.2</v>
      </c>
      <c r="F106" s="772">
        <v>30</v>
      </c>
    </row>
    <row r="107" spans="1:6" s="768" customFormat="1" ht="36">
      <c r="A107" s="772">
        <v>47</v>
      </c>
      <c r="B107" s="3215" t="s">
        <v>713</v>
      </c>
      <c r="C107" s="772" t="s">
        <v>714</v>
      </c>
      <c r="D107" s="708" t="s">
        <v>715</v>
      </c>
      <c r="E107" s="783">
        <v>0.3</v>
      </c>
      <c r="F107" s="772">
        <v>50</v>
      </c>
    </row>
    <row r="108" spans="1:6" s="768" customFormat="1" ht="36">
      <c r="A108" s="772">
        <v>48</v>
      </c>
      <c r="B108" s="3215"/>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15" t="s">
        <v>724</v>
      </c>
      <c r="C111" s="772" t="s">
        <v>725</v>
      </c>
      <c r="D111" s="708" t="s">
        <v>726</v>
      </c>
      <c r="E111" s="783">
        <v>0.2</v>
      </c>
      <c r="F111" s="772">
        <v>30</v>
      </c>
    </row>
    <row r="112" spans="1:6" s="768" customFormat="1" ht="24">
      <c r="A112" s="772">
        <v>52</v>
      </c>
      <c r="B112" s="3215"/>
      <c r="C112" s="772" t="s">
        <v>727</v>
      </c>
      <c r="D112" s="708" t="s">
        <v>728</v>
      </c>
      <c r="E112" s="783">
        <v>0.2</v>
      </c>
      <c r="F112" s="772">
        <v>30</v>
      </c>
    </row>
    <row r="113" spans="1:6" s="768" customFormat="1" ht="24">
      <c r="A113" s="772">
        <v>53</v>
      </c>
      <c r="B113" s="3215"/>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15" t="s">
        <v>737</v>
      </c>
      <c r="C116" s="772" t="s">
        <v>738</v>
      </c>
      <c r="D116" s="708" t="s">
        <v>739</v>
      </c>
      <c r="E116" s="783">
        <v>0.2</v>
      </c>
      <c r="F116" s="772">
        <v>30</v>
      </c>
    </row>
    <row r="117" spans="1:6" ht="36">
      <c r="A117" s="772">
        <v>57</v>
      </c>
      <c r="B117" s="3215"/>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1"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8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89"/>
      <c r="C2" s="2889"/>
      <c r="D2" s="2889"/>
      <c r="E2" s="2889"/>
    </row>
    <row r="3" spans="1:5" ht="18">
      <c r="A3" s="2890" t="str">
        <f>IF(项目基本情况!B9="房地产市场价值","估价结果一览表（市场价值不需“结果表-1”）","估价结果一览表")</f>
        <v>估价结果一览表（市场价值不需“结果表-1”）</v>
      </c>
      <c r="B3" s="2890"/>
      <c r="C3" s="2890"/>
      <c r="D3" s="2890"/>
      <c r="E3" s="2890"/>
    </row>
    <row r="4" spans="1:5" ht="19.5" thickBot="1">
      <c r="A4" s="1560"/>
      <c r="B4" s="2888" t="s">
        <v>1595</v>
      </c>
      <c r="C4" s="2888"/>
      <c r="D4" s="2888"/>
      <c r="E4" s="1560"/>
    </row>
    <row r="5" spans="1:5" ht="16.5" thickTop="1">
      <c r="B5" s="2886" t="s">
        <v>1587</v>
      </c>
      <c r="C5" s="1561" t="s">
        <v>1588</v>
      </c>
      <c r="D5" s="895">
        <f ca="1">结果表!H101</f>
        <v>41755</v>
      </c>
    </row>
    <row r="6" spans="1:5" ht="15.75">
      <c r="B6" s="2886"/>
      <c r="C6" s="1561" t="s">
        <v>1589</v>
      </c>
      <c r="D6" s="895" t="str">
        <f ca="1">NUMBERSTRING(INT(D5*10000),2)&amp;"元整"</f>
        <v>肆亿壹仟柒佰伍拾伍万元整</v>
      </c>
    </row>
    <row r="7" spans="1:5" ht="15.75">
      <c r="B7" s="2891"/>
      <c r="C7" s="1562" t="s">
        <v>1590</v>
      </c>
      <c r="D7" s="896">
        <f ca="1">结果表!H102</f>
        <v>27361</v>
      </c>
    </row>
    <row r="8" spans="1:5" ht="15.75">
      <c r="B8" s="2892" t="str">
        <f>结果表!E103</f>
        <v>2.估价师知悉的法定优先受偿款</v>
      </c>
      <c r="C8" s="1563" t="s">
        <v>1591</v>
      </c>
      <c r="D8" s="896">
        <f>结果表!H103</f>
        <v>0</v>
      </c>
    </row>
    <row r="9" spans="1:5" ht="15.75">
      <c r="B9" s="2894"/>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885" t="str">
        <f>结果表!E107</f>
        <v>3.房地产抵押价值</v>
      </c>
      <c r="C13" s="1566" t="s">
        <v>1588</v>
      </c>
      <c r="D13" s="898">
        <f ca="1">结果表!H107</f>
        <v>41755</v>
      </c>
    </row>
    <row r="14" spans="1:5" ht="15.75">
      <c r="B14" s="2886"/>
      <c r="C14" s="1561" t="s">
        <v>1589</v>
      </c>
      <c r="D14" s="895" t="str">
        <f ca="1">NUMBERSTRING(INT(D13*10000),2)&amp;"元整"</f>
        <v>肆亿壹仟柒佰伍拾伍万元整</v>
      </c>
    </row>
    <row r="15" spans="1:5" ht="15">
      <c r="B15" s="2891"/>
      <c r="C15" s="1562" t="s">
        <v>1599</v>
      </c>
      <c r="D15" s="904">
        <f ca="1">结果表!H108</f>
        <v>27361</v>
      </c>
    </row>
    <row r="16" spans="1:5" ht="15">
      <c r="B16" s="2892" t="str">
        <f>结果表!E109</f>
        <v>——</v>
      </c>
      <c r="C16" s="1566" t="s">
        <v>1600</v>
      </c>
      <c r="D16" s="1567" t="str">
        <f>结果表!H109</f>
        <v>——</v>
      </c>
    </row>
    <row r="17" spans="1:5" ht="15.75">
      <c r="B17" s="2893"/>
      <c r="C17" s="1561" t="s">
        <v>1601</v>
      </c>
      <c r="D17" s="895" t="e">
        <f>NUMBERSTRING(INT(D16*10000),2)&amp;"元整"</f>
        <v>#VALUE!</v>
      </c>
    </row>
    <row r="18" spans="1:5" ht="15">
      <c r="B18" s="2894"/>
      <c r="C18" s="1562" t="s">
        <v>1590</v>
      </c>
      <c r="D18" s="904" t="str">
        <f>结果表!H110</f>
        <v>——</v>
      </c>
    </row>
    <row r="19" spans="1:5" ht="15.75">
      <c r="B19" s="2885" t="str">
        <f>结果表!E111</f>
        <v>——</v>
      </c>
      <c r="C19" s="1566" t="s">
        <v>1588</v>
      </c>
      <c r="D19" s="896" t="str">
        <f>结果表!H111</f>
        <v>——</v>
      </c>
    </row>
    <row r="20" spans="1:5" ht="15.75">
      <c r="B20" s="2886"/>
      <c r="C20" s="1561" t="s">
        <v>1601</v>
      </c>
      <c r="D20" s="895" t="e">
        <f>NUMBERSTRING(INT(D19*10000),2)&amp;"元整"</f>
        <v>#VALUE!</v>
      </c>
    </row>
    <row r="21" spans="1:5" ht="15.75" thickBot="1">
      <c r="B21" s="2887"/>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21" t="s">
        <v>1117</v>
      </c>
      <c r="C1" s="3221"/>
      <c r="D1" s="3221"/>
      <c r="E1" s="3221"/>
      <c r="F1" s="3221"/>
      <c r="G1" s="3220" t="s">
        <v>1118</v>
      </c>
      <c r="H1" s="3220"/>
      <c r="I1" s="3220"/>
      <c r="J1" s="3220"/>
      <c r="K1" s="3220"/>
      <c r="L1" s="3220"/>
      <c r="N1" s="3220" t="s">
        <v>1119</v>
      </c>
      <c r="O1" s="3220"/>
      <c r="P1" s="3220"/>
      <c r="Q1" s="3220"/>
      <c r="S1" s="3220" t="s">
        <v>1120</v>
      </c>
      <c r="T1" s="3220"/>
      <c r="U1" s="3220"/>
      <c r="V1" s="3220"/>
      <c r="X1" s="3219" t="s">
        <v>1121</v>
      </c>
      <c r="Y1" s="3220"/>
      <c r="Z1" s="3220"/>
      <c r="AA1" s="3220"/>
      <c r="AB1" s="3220"/>
      <c r="AD1" s="3219" t="s">
        <v>1122</v>
      </c>
      <c r="AE1" s="3220"/>
      <c r="AF1" s="3220"/>
      <c r="AG1" s="3220"/>
      <c r="AH1" s="3220"/>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17">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17"/>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17"/>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26"/>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22">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17"/>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17"/>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26"/>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22">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17"/>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17"/>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18"/>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16">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17"/>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17"/>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18"/>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16">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17"/>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17"/>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18"/>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23">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24"/>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24"/>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25"/>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16">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17"/>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17"/>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18"/>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16">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17">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17">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18">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16">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17">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17">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18">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16">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17">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17">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18">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16">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17">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17">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18">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16">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17">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17">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18">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16">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17">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17">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18">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16">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17">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17">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18">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16">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17">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17">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18">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16">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17">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17">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18">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16">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17">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17">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18">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30" t="s">
        <v>2807</v>
      </c>
      <c r="D1" s="3231"/>
      <c r="E1" s="3231"/>
      <c r="F1" s="3231"/>
      <c r="G1" s="3231"/>
      <c r="H1" s="3231"/>
      <c r="I1" s="3231"/>
      <c r="J1" s="3231"/>
      <c r="K1" s="3231"/>
      <c r="L1" s="3231"/>
      <c r="M1" s="3231"/>
      <c r="N1" s="3231"/>
      <c r="O1" s="3231"/>
      <c r="P1" s="3231"/>
      <c r="Q1" s="3231"/>
      <c r="R1" s="3231"/>
      <c r="S1" s="3232"/>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27" t="s">
        <v>33</v>
      </c>
      <c r="D22" s="3228"/>
      <c r="E22" s="3228"/>
      <c r="F22" s="3228"/>
      <c r="G22" s="3228"/>
      <c r="H22" s="3228"/>
      <c r="I22" s="3228"/>
      <c r="J22" s="3228"/>
      <c r="K22" s="3228"/>
      <c r="L22" s="3228"/>
      <c r="M22" s="3228"/>
      <c r="N22" s="3228"/>
      <c r="O22" s="3228"/>
      <c r="P22" s="3228"/>
      <c r="Q22" s="3229"/>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79"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79"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79"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79"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79"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84" t="s">
        <v>121</v>
      </c>
    </row>
    <row r="43" spans="1:7" ht="13.5" customHeight="1">
      <c r="A43" s="831" t="s">
        <v>792</v>
      </c>
      <c r="B43" s="211" t="s">
        <v>1032</v>
      </c>
      <c r="C43" s="234">
        <f ca="1">ROUND(IF('数据-取费表'!B22&lt;=1,C39*F22*'数据-取费表'!B21/2,C39*(POWER((1+F22),'数据-取费表'!B21/2)-1)),0)</f>
        <v>5</v>
      </c>
      <c r="D43" s="234"/>
      <c r="E43" s="234"/>
      <c r="F43" s="235"/>
      <c r="G43" s="3085"/>
    </row>
    <row r="44" spans="1:7" ht="13.5" customHeight="1">
      <c r="A44" s="831" t="s">
        <v>793</v>
      </c>
      <c r="B44" s="211" t="s">
        <v>1034</v>
      </c>
      <c r="C44" s="234">
        <f ca="1">ROUND(IF('数据-取费表'!B22&lt;=1,C40*F22*'数据-取费表'!B21/2,C40*(POWER((1+F22),'数据-取费表'!B21/2)-1)),4)</f>
        <v>8.9999999999999998E-4</v>
      </c>
      <c r="D44" s="234"/>
      <c r="E44" s="234"/>
      <c r="F44" s="235"/>
      <c r="G44" s="3086"/>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20"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33" t="s">
        <v>156</v>
      </c>
      <c r="B1" s="3233"/>
      <c r="C1" s="3233"/>
      <c r="D1" s="3233"/>
      <c r="E1" s="3233"/>
      <c r="F1" s="3233"/>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34" t="s">
        <v>169</v>
      </c>
      <c r="B2" s="3234"/>
      <c r="C2" s="3234"/>
      <c r="D2" s="3234"/>
      <c r="E2" s="3234"/>
      <c r="F2" s="3234"/>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35"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36"/>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33" t="s">
        <v>839</v>
      </c>
      <c r="B1" s="3233"/>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84" t="s">
        <v>2214</v>
      </c>
    </row>
    <row r="43" spans="1:7" ht="13.5" customHeight="1">
      <c r="A43" s="831" t="s">
        <v>792</v>
      </c>
      <c r="B43" s="211" t="s">
        <v>2215</v>
      </c>
      <c r="C43" s="234">
        <f ca="1">ROUND(IF('数据-取费表'!B22&lt;=1,C39*F22*'数据-取费表'!B21/2,C39*(POWER((1+F22),'数据-取费表'!B21/2)-1)),0)</f>
        <v>5</v>
      </c>
      <c r="D43" s="234"/>
      <c r="E43" s="234"/>
      <c r="F43" s="235"/>
      <c r="G43" s="3085"/>
    </row>
    <row r="44" spans="1:7" ht="13.5" customHeight="1">
      <c r="A44" s="831" t="s">
        <v>793</v>
      </c>
      <c r="B44" s="211" t="s">
        <v>2216</v>
      </c>
      <c r="C44" s="234">
        <f ca="1">ROUND(IF('数据-取费表'!B22&lt;=1,C40*F22*'数据-取费表'!B21/2,C40*(POWER((1+F22),'数据-取费表'!B21/2)-1)),4)</f>
        <v>8.9999999999999998E-4</v>
      </c>
      <c r="D44" s="234"/>
      <c r="E44" s="234"/>
      <c r="F44" s="235"/>
      <c r="G44" s="3086"/>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A104"/>
  <sheetViews>
    <sheetView topLeftCell="M1" workbookViewId="0">
      <selection activeCell="AA2" sqref="AA2:AA4"/>
    </sheetView>
  </sheetViews>
  <sheetFormatPr defaultRowHeight="13.5"/>
  <sheetData>
    <row r="2" spans="3:27">
      <c r="Y2">
        <v>364</v>
      </c>
      <c r="Z2">
        <v>23000</v>
      </c>
      <c r="AA2">
        <f>Z2/30/Y2</f>
        <v>2.1062271062271063</v>
      </c>
    </row>
    <row r="3" spans="3:27">
      <c r="C3" s="1574" t="s">
        <v>3763</v>
      </c>
      <c r="D3" s="1574" t="s">
        <v>3773</v>
      </c>
      <c r="E3" s="1574" t="s">
        <v>3774</v>
      </c>
      <c r="F3">
        <v>42000</v>
      </c>
      <c r="G3" s="1574" t="s">
        <v>3764</v>
      </c>
      <c r="Y3">
        <v>330</v>
      </c>
      <c r="Z3">
        <v>40000</v>
      </c>
      <c r="AA3">
        <f>Z3/30/Y3</f>
        <v>4.0404040404040398</v>
      </c>
    </row>
    <row r="4" spans="3:27">
      <c r="C4" s="1574" t="s">
        <v>3765</v>
      </c>
      <c r="D4" s="1574" t="s">
        <v>3772</v>
      </c>
      <c r="E4" s="1574" t="s">
        <v>3842</v>
      </c>
      <c r="Y4">
        <v>213.82</v>
      </c>
      <c r="Z4">
        <v>20000</v>
      </c>
      <c r="AA4">
        <f t="shared" ref="AA4:AA12" si="0">Z4/30/Y4</f>
        <v>3.1178873195522714</v>
      </c>
    </row>
    <row r="5" spans="3:27">
      <c r="D5" s="1574" t="s">
        <v>3841</v>
      </c>
      <c r="E5" s="1574" t="s">
        <v>3843</v>
      </c>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1"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C2:Q59"/>
  <sheetViews>
    <sheetView workbookViewId="0">
      <selection activeCell="H21" sqref="H21"/>
    </sheetView>
  </sheetViews>
  <sheetFormatPr defaultRowHeight="13.5"/>
  <cols>
    <col min="5" max="5" width="10.5" bestFit="1" customWidth="1"/>
    <col min="6" max="6" width="9.5" bestFit="1" customWidth="1"/>
  </cols>
  <sheetData>
    <row r="2" spans="3:7">
      <c r="C2" s="1574" t="s">
        <v>3716</v>
      </c>
      <c r="D2">
        <v>1247.3800000000001</v>
      </c>
      <c r="E2">
        <v>40000000</v>
      </c>
      <c r="F2">
        <f t="shared" ref="F2:F8" si="0">E2/D2</f>
        <v>32067.212878192688</v>
      </c>
    </row>
    <row r="3" spans="3:7">
      <c r="C3" s="1574" t="s">
        <v>3729</v>
      </c>
      <c r="D3">
        <v>1239.23</v>
      </c>
      <c r="E3">
        <v>40000000</v>
      </c>
      <c r="F3">
        <f t="shared" si="0"/>
        <v>32278.108180079565</v>
      </c>
    </row>
    <row r="4" spans="3:7">
      <c r="C4" s="1574" t="s">
        <v>3745</v>
      </c>
      <c r="D4">
        <v>1239.23</v>
      </c>
      <c r="E4">
        <v>40000000</v>
      </c>
      <c r="F4">
        <f t="shared" si="0"/>
        <v>32278.108180079565</v>
      </c>
    </row>
    <row r="5" spans="3:7">
      <c r="C5" s="1574" t="s">
        <v>3754</v>
      </c>
      <c r="D5">
        <v>1247.3800000000001</v>
      </c>
      <c r="E5">
        <v>53000000</v>
      </c>
      <c r="F5">
        <f t="shared" si="0"/>
        <v>42489.057063605316</v>
      </c>
    </row>
    <row r="6" spans="3:7">
      <c r="C6" s="1574" t="s">
        <v>3757</v>
      </c>
      <c r="D6">
        <v>1029.82</v>
      </c>
      <c r="E6">
        <v>20000000</v>
      </c>
      <c r="F6">
        <f t="shared" si="0"/>
        <v>19420.869666543669</v>
      </c>
    </row>
    <row r="7" spans="3:7">
      <c r="C7" s="2821" t="s">
        <v>3149</v>
      </c>
      <c r="D7" s="2800">
        <v>1029.82</v>
      </c>
      <c r="E7" s="2800">
        <v>47165756</v>
      </c>
      <c r="F7" s="2800">
        <f t="shared" si="0"/>
        <v>45800</v>
      </c>
    </row>
    <row r="8" spans="3:7">
      <c r="C8" s="2821" t="s">
        <v>3152</v>
      </c>
      <c r="D8" s="2800">
        <v>1029.82</v>
      </c>
      <c r="E8" s="2800">
        <v>47165756</v>
      </c>
      <c r="F8" s="2800">
        <f t="shared" si="0"/>
        <v>45800</v>
      </c>
    </row>
    <row r="9" spans="3:7">
      <c r="C9" s="2821" t="s">
        <v>3155</v>
      </c>
      <c r="D9" s="2800">
        <v>1029.82</v>
      </c>
      <c r="E9" s="2800">
        <v>47165756</v>
      </c>
      <c r="F9" s="2800">
        <f t="shared" ref="F9:F10" si="1">E9/D9</f>
        <v>45800</v>
      </c>
    </row>
    <row r="10" spans="3:7">
      <c r="C10" s="1574" t="s">
        <v>3758</v>
      </c>
      <c r="D10">
        <v>361.31</v>
      </c>
      <c r="E10">
        <v>9000000</v>
      </c>
      <c r="F10">
        <f t="shared" si="1"/>
        <v>24909.357615344165</v>
      </c>
    </row>
    <row r="11" spans="3:7">
      <c r="C11" s="2821" t="s">
        <v>3717</v>
      </c>
      <c r="D11" s="2800">
        <v>361.31</v>
      </c>
      <c r="E11" s="2800">
        <v>15825378</v>
      </c>
      <c r="F11" s="2800">
        <f t="shared" ref="F11:F44" si="2">E11/D11</f>
        <v>43800</v>
      </c>
    </row>
    <row r="12" spans="3:7">
      <c r="C12" s="1574" t="s">
        <v>3718</v>
      </c>
      <c r="D12">
        <v>361.31</v>
      </c>
      <c r="E12">
        <v>13300000</v>
      </c>
      <c r="F12">
        <f t="shared" si="2"/>
        <v>36810.495142675267</v>
      </c>
    </row>
    <row r="13" spans="3:7">
      <c r="C13" s="1574" t="s">
        <v>3719</v>
      </c>
      <c r="D13">
        <v>361.31</v>
      </c>
      <c r="E13">
        <v>12000000</v>
      </c>
      <c r="F13">
        <f t="shared" si="2"/>
        <v>33212.476820458884</v>
      </c>
      <c r="G13" s="1574" t="s">
        <v>3728</v>
      </c>
    </row>
    <row r="14" spans="3:7">
      <c r="C14" s="2821" t="s">
        <v>3720</v>
      </c>
      <c r="D14" s="2800">
        <v>361.31</v>
      </c>
      <c r="E14" s="2800">
        <v>15825378</v>
      </c>
      <c r="F14" s="2800">
        <f t="shared" si="2"/>
        <v>43800</v>
      </c>
    </row>
    <row r="15" spans="3:7">
      <c r="C15" s="2821" t="s">
        <v>3721</v>
      </c>
      <c r="D15" s="2800">
        <v>449.56</v>
      </c>
      <c r="E15" s="2800">
        <v>20140288</v>
      </c>
      <c r="F15" s="2800">
        <f t="shared" si="2"/>
        <v>44800</v>
      </c>
    </row>
    <row r="16" spans="3:7">
      <c r="C16" s="2821" t="s">
        <v>3722</v>
      </c>
      <c r="D16" s="2800">
        <v>361.31</v>
      </c>
      <c r="E16" s="2800">
        <v>15825378</v>
      </c>
      <c r="F16" s="2800">
        <f t="shared" si="2"/>
        <v>43800</v>
      </c>
    </row>
    <row r="17" spans="3:6">
      <c r="C17" s="2821" t="s">
        <v>3723</v>
      </c>
      <c r="D17" s="2800">
        <v>449.56</v>
      </c>
      <c r="E17" s="2800">
        <v>19690728</v>
      </c>
      <c r="F17" s="2800">
        <f>E17/D17</f>
        <v>43800</v>
      </c>
    </row>
    <row r="18" spans="3:6">
      <c r="C18" s="2821" t="s">
        <v>3724</v>
      </c>
      <c r="D18" s="2800">
        <v>361.31</v>
      </c>
      <c r="E18" s="2800">
        <v>15825378</v>
      </c>
      <c r="F18" s="2800">
        <f t="shared" si="2"/>
        <v>43800</v>
      </c>
    </row>
    <row r="19" spans="3:6">
      <c r="C19" s="2821" t="s">
        <v>3725</v>
      </c>
      <c r="D19" s="2800">
        <v>449.56</v>
      </c>
      <c r="E19" s="2800">
        <v>20140288</v>
      </c>
      <c r="F19" s="2800">
        <f t="shared" si="2"/>
        <v>44800</v>
      </c>
    </row>
    <row r="20" spans="3:6">
      <c r="C20" s="2821" t="s">
        <v>3726</v>
      </c>
      <c r="D20" s="2800">
        <v>361.31</v>
      </c>
      <c r="E20" s="2800">
        <v>15825378</v>
      </c>
      <c r="F20" s="2800">
        <f t="shared" si="2"/>
        <v>43800</v>
      </c>
    </row>
    <row r="21" spans="3:6">
      <c r="C21" s="2821" t="s">
        <v>3727</v>
      </c>
      <c r="D21" s="2800">
        <v>449.56</v>
      </c>
      <c r="E21" s="2800">
        <v>20140288</v>
      </c>
      <c r="F21" s="2800">
        <f t="shared" si="2"/>
        <v>44800</v>
      </c>
    </row>
    <row r="22" spans="3:6">
      <c r="C22" s="2821" t="s">
        <v>3730</v>
      </c>
      <c r="D22" s="2800">
        <v>361.31</v>
      </c>
      <c r="E22" s="2800">
        <v>15825378</v>
      </c>
      <c r="F22" s="2800">
        <f t="shared" si="2"/>
        <v>43800</v>
      </c>
    </row>
    <row r="23" spans="3:6">
      <c r="C23" s="2821" t="s">
        <v>3731</v>
      </c>
      <c r="D23" s="2800">
        <v>449.56</v>
      </c>
      <c r="E23" s="2800">
        <v>20140288</v>
      </c>
      <c r="F23" s="2800">
        <f t="shared" si="2"/>
        <v>44800</v>
      </c>
    </row>
    <row r="24" spans="3:6">
      <c r="C24" s="2821" t="s">
        <v>3732</v>
      </c>
      <c r="D24" s="2800">
        <v>361.31</v>
      </c>
      <c r="E24" s="2800">
        <v>15825378</v>
      </c>
      <c r="F24" s="2800">
        <f t="shared" si="2"/>
        <v>43800</v>
      </c>
    </row>
    <row r="25" spans="3:6">
      <c r="C25" s="2821" t="s">
        <v>3733</v>
      </c>
      <c r="D25" s="2800">
        <v>449.56</v>
      </c>
      <c r="E25" s="2800">
        <v>20140288</v>
      </c>
      <c r="F25" s="2800">
        <f t="shared" si="2"/>
        <v>44800</v>
      </c>
    </row>
    <row r="26" spans="3:6">
      <c r="C26" s="2821" t="s">
        <v>3734</v>
      </c>
      <c r="D26" s="2800">
        <v>449.56</v>
      </c>
      <c r="E26" s="2800">
        <v>20140288</v>
      </c>
      <c r="F26" s="2800">
        <f t="shared" si="2"/>
        <v>44800</v>
      </c>
    </row>
    <row r="27" spans="3:6">
      <c r="C27" s="2821" t="s">
        <v>3735</v>
      </c>
      <c r="D27" s="2800">
        <v>361.31</v>
      </c>
      <c r="E27" s="2800">
        <v>15825378</v>
      </c>
      <c r="F27" s="2800">
        <f t="shared" si="2"/>
        <v>43800</v>
      </c>
    </row>
    <row r="28" spans="3:6">
      <c r="C28" s="2821" t="s">
        <v>3736</v>
      </c>
      <c r="D28" s="2800">
        <v>449.56</v>
      </c>
      <c r="E28" s="2800">
        <v>20140288</v>
      </c>
      <c r="F28" s="2800">
        <f t="shared" si="2"/>
        <v>44800</v>
      </c>
    </row>
    <row r="29" spans="3:6">
      <c r="C29" s="2821" t="s">
        <v>3737</v>
      </c>
      <c r="D29" s="2800">
        <v>361.31</v>
      </c>
      <c r="E29" s="2800">
        <v>15825378</v>
      </c>
      <c r="F29" s="2800">
        <f t="shared" si="2"/>
        <v>43800</v>
      </c>
    </row>
    <row r="30" spans="3:6">
      <c r="C30" s="2821" t="s">
        <v>3738</v>
      </c>
      <c r="D30" s="2800">
        <v>449.56</v>
      </c>
      <c r="E30" s="2800">
        <v>20140288</v>
      </c>
      <c r="F30" s="2800">
        <f t="shared" si="2"/>
        <v>44800</v>
      </c>
    </row>
    <row r="31" spans="3:6">
      <c r="C31" s="2821" t="s">
        <v>3739</v>
      </c>
      <c r="D31" s="2800">
        <v>361.31</v>
      </c>
      <c r="E31" s="2800">
        <v>15825378</v>
      </c>
      <c r="F31" s="2800">
        <f t="shared" si="2"/>
        <v>43800</v>
      </c>
    </row>
    <row r="32" spans="3:6">
      <c r="C32" s="2821" t="s">
        <v>3740</v>
      </c>
      <c r="D32" s="2800">
        <v>449.56</v>
      </c>
      <c r="E32" s="2800">
        <v>20140288</v>
      </c>
      <c r="F32" s="2800">
        <f t="shared" si="2"/>
        <v>44800</v>
      </c>
    </row>
    <row r="33" spans="3:6">
      <c r="C33" s="2821" t="s">
        <v>3741</v>
      </c>
      <c r="D33" s="2800">
        <v>361.31</v>
      </c>
      <c r="E33" s="2800">
        <v>15825378</v>
      </c>
      <c r="F33" s="2800">
        <f t="shared" si="2"/>
        <v>43800</v>
      </c>
    </row>
    <row r="34" spans="3:6">
      <c r="C34" s="2821" t="s">
        <v>3742</v>
      </c>
      <c r="D34" s="2800">
        <v>449.56</v>
      </c>
      <c r="E34" s="2800">
        <v>20140288</v>
      </c>
      <c r="F34" s="2800">
        <f t="shared" si="2"/>
        <v>44800</v>
      </c>
    </row>
    <row r="35" spans="3:6">
      <c r="C35" s="2821" t="s">
        <v>3743</v>
      </c>
      <c r="D35" s="2800">
        <v>361.31</v>
      </c>
      <c r="E35" s="2800">
        <v>15825378</v>
      </c>
      <c r="F35" s="2800">
        <f t="shared" si="2"/>
        <v>43800</v>
      </c>
    </row>
    <row r="36" spans="3:6">
      <c r="C36" s="1574" t="s">
        <v>3744</v>
      </c>
      <c r="D36">
        <v>449.56</v>
      </c>
      <c r="E36">
        <v>11000000</v>
      </c>
      <c r="F36">
        <f t="shared" si="2"/>
        <v>24468.369071981491</v>
      </c>
    </row>
    <row r="37" spans="3:6">
      <c r="C37" s="2821" t="s">
        <v>3746</v>
      </c>
      <c r="D37" s="2800">
        <v>361.31</v>
      </c>
      <c r="E37" s="2800">
        <v>15825378</v>
      </c>
      <c r="F37" s="2800">
        <f t="shared" si="2"/>
        <v>43800</v>
      </c>
    </row>
    <row r="38" spans="3:6">
      <c r="C38" s="1574" t="s">
        <v>3747</v>
      </c>
      <c r="D38">
        <v>361.31</v>
      </c>
      <c r="E38">
        <v>8500000</v>
      </c>
      <c r="F38">
        <f t="shared" si="2"/>
        <v>23525.504414491712</v>
      </c>
    </row>
    <row r="39" spans="3:6">
      <c r="C39" s="2821" t="s">
        <v>3748</v>
      </c>
      <c r="D39" s="2800">
        <v>361.31</v>
      </c>
      <c r="E39" s="2800">
        <v>15825378</v>
      </c>
      <c r="F39" s="2800">
        <f t="shared" si="2"/>
        <v>43800</v>
      </c>
    </row>
    <row r="40" spans="3:6">
      <c r="C40" s="2821" t="s">
        <v>3749</v>
      </c>
      <c r="D40" s="2800">
        <v>361.31</v>
      </c>
      <c r="E40" s="2800">
        <v>15825378</v>
      </c>
      <c r="F40" s="2800">
        <f t="shared" si="2"/>
        <v>43800</v>
      </c>
    </row>
    <row r="41" spans="3:6">
      <c r="C41" s="2821" t="s">
        <v>3750</v>
      </c>
      <c r="D41" s="2800">
        <v>361.31</v>
      </c>
      <c r="E41" s="2800">
        <v>15825378</v>
      </c>
      <c r="F41" s="2800">
        <f t="shared" si="2"/>
        <v>43800</v>
      </c>
    </row>
    <row r="42" spans="3:6">
      <c r="C42" s="2821" t="s">
        <v>3751</v>
      </c>
      <c r="D42" s="2800">
        <v>361.31</v>
      </c>
      <c r="E42" s="2800">
        <v>15825378</v>
      </c>
      <c r="F42" s="2800">
        <f t="shared" si="2"/>
        <v>43800</v>
      </c>
    </row>
    <row r="43" spans="3:6">
      <c r="C43" s="2821" t="s">
        <v>3752</v>
      </c>
      <c r="D43" s="2800">
        <v>361.31</v>
      </c>
      <c r="E43" s="2800">
        <v>15825378</v>
      </c>
      <c r="F43" s="2800">
        <f t="shared" si="2"/>
        <v>43800</v>
      </c>
    </row>
    <row r="44" spans="3:6">
      <c r="C44" s="1574" t="s">
        <v>3753</v>
      </c>
      <c r="D44">
        <v>2443.21</v>
      </c>
      <c r="F44">
        <f t="shared" si="2"/>
        <v>0</v>
      </c>
    </row>
    <row r="45" spans="3:6">
      <c r="C45" s="2821" t="s">
        <v>3755</v>
      </c>
      <c r="D45" s="2800">
        <v>361.31</v>
      </c>
      <c r="E45" s="2800">
        <v>15825378</v>
      </c>
      <c r="F45" s="2800">
        <f>E45/D45</f>
        <v>43800</v>
      </c>
    </row>
    <row r="46" spans="3:6">
      <c r="C46" s="2821" t="s">
        <v>3756</v>
      </c>
      <c r="D46" s="2800">
        <v>361.31</v>
      </c>
      <c r="E46" s="2800">
        <v>16547998</v>
      </c>
      <c r="F46" s="2800">
        <f>E46/D46</f>
        <v>45800</v>
      </c>
    </row>
    <row r="49" spans="17:17">
      <c r="Q49">
        <f>12000*12/365/190</f>
        <v>2.0764239365537129</v>
      </c>
    </row>
    <row r="59" spans="17:17">
      <c r="Q59">
        <f>22000*12/365/369</f>
        <v>1.9601291903329994</v>
      </c>
    </row>
  </sheetData>
  <phoneticPr fontId="14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904" t="str">
        <f>IF(项目基本情况!B9="房地产市场价值","估价结果一览表","结果表-2")</f>
        <v>估价结果一览表</v>
      </c>
      <c r="B1" s="2904"/>
      <c r="C1" s="2904"/>
      <c r="D1" s="2904"/>
      <c r="E1" s="2904"/>
      <c r="F1" s="2904"/>
      <c r="G1" s="2904"/>
      <c r="H1" s="2904"/>
      <c r="I1" s="2904"/>
    </row>
    <row r="2" spans="1:9" ht="30" customHeight="1" thickTop="1">
      <c r="A2" s="2905" t="s">
        <v>1606</v>
      </c>
      <c r="B2" s="2905" t="s">
        <v>1607</v>
      </c>
      <c r="C2" s="2905" t="s">
        <v>1608</v>
      </c>
      <c r="D2" s="2905" t="str">
        <f>结果表!D116</f>
        <v>出让国有建设用地使用权价值</v>
      </c>
      <c r="E2" s="2905"/>
      <c r="F2" s="2905" t="str">
        <f>结果表!F116</f>
        <v>在建建筑物价值</v>
      </c>
      <c r="G2" s="2905"/>
      <c r="H2" s="2905" t="str">
        <f>IF(项目基本情况!B9="房地产市场价值","房地产市场价值","房地产价值")</f>
        <v>房地产市场价值</v>
      </c>
      <c r="I2" s="2905"/>
    </row>
    <row r="3" spans="1:9" ht="15">
      <c r="A3" s="2899"/>
      <c r="B3" s="2899"/>
      <c r="C3" s="2899"/>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41755</v>
      </c>
      <c r="I4" s="899">
        <f ca="1">结果表!I118</f>
        <v>27361</v>
      </c>
    </row>
    <row r="5" spans="1:9" ht="30" customHeight="1">
      <c r="A5" s="2899" t="s">
        <v>1605</v>
      </c>
      <c r="B5" s="2899"/>
      <c r="C5" s="2899"/>
      <c r="D5" s="2900" t="e">
        <f ca="1">结果表!D119</f>
        <v>#DIV/0!</v>
      </c>
      <c r="E5" s="2900"/>
      <c r="F5" s="2900" t="e">
        <f ca="1">结果表!F119</f>
        <v>#DIV/0!</v>
      </c>
      <c r="G5" s="2900"/>
      <c r="H5" s="2900" t="str">
        <f ca="1">结果表!H119</f>
        <v>肆亿壹仟柒佰伍拾伍万元整</v>
      </c>
      <c r="I5" s="2900"/>
    </row>
    <row r="6" spans="1:9" ht="15.75">
      <c r="A6" s="2898" t="str">
        <f>结果表!A120</f>
        <v/>
      </c>
      <c r="B6" s="2898"/>
      <c r="C6" s="2898"/>
      <c r="D6" s="2898">
        <f>结果表!D120</f>
        <v>0</v>
      </c>
      <c r="E6" s="2898"/>
      <c r="F6" s="2898"/>
      <c r="G6" s="2898"/>
      <c r="H6" s="2898"/>
      <c r="I6" s="2898"/>
    </row>
    <row r="7" spans="1:9" ht="15">
      <c r="A7" s="2899" t="s">
        <v>1605</v>
      </c>
      <c r="B7" s="2899"/>
      <c r="C7" s="2899"/>
      <c r="D7" s="2901" t="str">
        <f>结果表!D121</f>
        <v>零元整</v>
      </c>
      <c r="E7" s="2902"/>
      <c r="F7" s="2902"/>
      <c r="G7" s="2902"/>
      <c r="H7" s="2902"/>
      <c r="I7" s="2903"/>
    </row>
    <row r="8" spans="1:9" ht="15.75">
      <c r="A8" s="2898" t="str">
        <f>结果表!A122</f>
        <v/>
      </c>
      <c r="B8" s="2898"/>
      <c r="C8" s="2898"/>
      <c r="D8" s="2898">
        <f ca="1">结果表!D122</f>
        <v>41755</v>
      </c>
      <c r="E8" s="2898"/>
      <c r="F8" s="2898"/>
      <c r="G8" s="2898"/>
      <c r="H8" s="2898"/>
      <c r="I8" s="2898"/>
    </row>
    <row r="9" spans="1:9" ht="15">
      <c r="A9" s="2899" t="s">
        <v>1605</v>
      </c>
      <c r="B9" s="2899"/>
      <c r="C9" s="2899"/>
      <c r="D9" s="2900" t="str">
        <f ca="1">结果表!D123</f>
        <v>肆亿壹仟柒佰伍拾伍万元整</v>
      </c>
      <c r="E9" s="2900"/>
      <c r="F9" s="2900"/>
      <c r="G9" s="2900"/>
      <c r="H9" s="2900"/>
      <c r="I9" s="2900"/>
    </row>
    <row r="10" spans="1:9" ht="15.75">
      <c r="A10" s="2898" t="str">
        <f>结果表!A124</f>
        <v/>
      </c>
      <c r="B10" s="2898"/>
      <c r="C10" s="2898"/>
      <c r="D10" s="2898" t="str">
        <f>结果表!D124</f>
        <v>——</v>
      </c>
      <c r="E10" s="2898"/>
      <c r="F10" s="2898"/>
      <c r="G10" s="2898"/>
      <c r="H10" s="2898"/>
      <c r="I10" s="2898"/>
    </row>
    <row r="11" spans="1:9" ht="15">
      <c r="A11" s="2899" t="s">
        <v>1605</v>
      </c>
      <c r="B11" s="2899"/>
      <c r="C11" s="2899"/>
      <c r="D11" s="2900" t="e">
        <f>结果表!D125</f>
        <v>#VALUE!</v>
      </c>
      <c r="E11" s="2900"/>
      <c r="F11" s="2900"/>
      <c r="G11" s="2900"/>
      <c r="H11" s="2900"/>
      <c r="I11" s="2900"/>
    </row>
    <row r="12" spans="1:9" ht="15.75">
      <c r="A12" s="2898" t="str">
        <f>结果表!A126</f>
        <v/>
      </c>
      <c r="B12" s="2898"/>
      <c r="C12" s="2898"/>
      <c r="D12" s="2898" t="str">
        <f>结果表!D126</f>
        <v>——</v>
      </c>
      <c r="E12" s="2898"/>
      <c r="F12" s="2898"/>
      <c r="G12" s="2898"/>
      <c r="H12" s="2898"/>
      <c r="I12" s="2898"/>
    </row>
    <row r="13" spans="1:9" ht="15.75" thickBot="1">
      <c r="A13" s="2895" t="s">
        <v>1605</v>
      </c>
      <c r="B13" s="2895"/>
      <c r="C13" s="2895"/>
      <c r="D13" s="2896" t="e">
        <f>结果表!D127</f>
        <v>#VALUE!</v>
      </c>
      <c r="E13" s="2896"/>
      <c r="F13" s="2896"/>
      <c r="G13" s="2896"/>
      <c r="H13" s="2896"/>
      <c r="I13" s="2896"/>
    </row>
    <row r="14" spans="1:9" ht="15" thickTop="1">
      <c r="A14" s="2897" t="s">
        <v>1610</v>
      </c>
      <c r="B14" s="2897"/>
      <c r="C14" s="2897"/>
      <c r="D14" s="2897"/>
      <c r="E14" s="2897"/>
      <c r="F14" s="2897"/>
      <c r="G14" s="2897"/>
      <c r="H14" s="2897"/>
      <c r="I14" s="2897"/>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37" t="s">
        <v>3125</v>
      </c>
      <c r="B1" s="3238"/>
      <c r="C1" s="3238"/>
      <c r="D1" s="3238"/>
      <c r="E1" s="3238"/>
      <c r="F1" s="3238"/>
      <c r="G1" s="3238"/>
      <c r="H1" s="3239"/>
    </row>
    <row r="2" spans="1:8" ht="35.25" customHeight="1" thickBot="1">
      <c r="A2" s="2784" t="s">
        <v>3047</v>
      </c>
      <c r="B2" s="2785" t="s">
        <v>3126</v>
      </c>
      <c r="C2" s="2785" t="s">
        <v>3127</v>
      </c>
      <c r="D2" s="2785" t="s">
        <v>3128</v>
      </c>
      <c r="E2" s="2785" t="s">
        <v>3129</v>
      </c>
      <c r="F2" s="2785" t="s">
        <v>3130</v>
      </c>
      <c r="G2" s="2785" t="s">
        <v>3131</v>
      </c>
      <c r="H2" s="2785" t="s">
        <v>3132</v>
      </c>
    </row>
    <row r="3" spans="1:8" ht="20.100000000000001" customHeight="1" thickBot="1">
      <c r="A3" s="2786" t="s">
        <v>3133</v>
      </c>
      <c r="B3" s="2787" t="s">
        <v>3134</v>
      </c>
      <c r="C3" s="2787">
        <v>1247.3800000000001</v>
      </c>
      <c r="D3" s="2787">
        <v>3</v>
      </c>
      <c r="E3" s="2788" t="s">
        <v>3135</v>
      </c>
      <c r="F3" s="2788" t="s">
        <v>3136</v>
      </c>
      <c r="G3" s="2789" t="s">
        <v>3137</v>
      </c>
      <c r="H3" s="2789" t="s">
        <v>3138</v>
      </c>
    </row>
    <row r="4" spans="1:8" ht="20.100000000000001" customHeight="1" thickBot="1">
      <c r="A4" s="2786" t="s">
        <v>3139</v>
      </c>
      <c r="B4" s="2787" t="s">
        <v>3140</v>
      </c>
      <c r="C4" s="2787">
        <v>1239.23</v>
      </c>
      <c r="D4" s="2787">
        <v>3</v>
      </c>
      <c r="E4" s="2788" t="s">
        <v>3135</v>
      </c>
      <c r="F4" s="2788" t="s">
        <v>3141</v>
      </c>
      <c r="G4" s="2789" t="s">
        <v>3137</v>
      </c>
      <c r="H4" s="2789" t="s">
        <v>3138</v>
      </c>
    </row>
    <row r="5" spans="1:8" ht="20.100000000000001" customHeight="1" thickBot="1">
      <c r="A5" s="2786" t="s">
        <v>3142</v>
      </c>
      <c r="B5" s="2787" t="s">
        <v>3143</v>
      </c>
      <c r="C5" s="2787">
        <v>1239.23</v>
      </c>
      <c r="D5" s="2787">
        <v>3</v>
      </c>
      <c r="E5" s="2788" t="s">
        <v>3135</v>
      </c>
      <c r="F5" s="2789" t="s">
        <v>3144</v>
      </c>
      <c r="G5" s="2789" t="s">
        <v>3137</v>
      </c>
      <c r="H5" s="2789" t="s">
        <v>3138</v>
      </c>
    </row>
    <row r="6" spans="1:8" ht="20.100000000000001" customHeight="1" thickBot="1">
      <c r="A6" s="2786" t="s">
        <v>3145</v>
      </c>
      <c r="B6" s="2787" t="s">
        <v>3146</v>
      </c>
      <c r="C6" s="2787">
        <v>1247.3800000000001</v>
      </c>
      <c r="D6" s="2787">
        <v>3</v>
      </c>
      <c r="E6" s="2788" t="s">
        <v>3135</v>
      </c>
      <c r="F6" s="2788" t="s">
        <v>3147</v>
      </c>
      <c r="G6" s="2789" t="s">
        <v>3137</v>
      </c>
      <c r="H6" s="2789" t="s">
        <v>3138</v>
      </c>
    </row>
    <row r="7" spans="1:8" s="2800" customFormat="1" ht="20.100000000000001" customHeight="1" thickBot="1">
      <c r="A7" s="2796" t="s">
        <v>3148</v>
      </c>
      <c r="B7" s="2797" t="s">
        <v>3149</v>
      </c>
      <c r="C7" s="2797">
        <v>1029.82</v>
      </c>
      <c r="D7" s="2797">
        <v>3</v>
      </c>
      <c r="E7" s="2798" t="s">
        <v>3135</v>
      </c>
      <c r="F7" s="2798" t="s">
        <v>3150</v>
      </c>
      <c r="G7" s="2799" t="s">
        <v>3137</v>
      </c>
      <c r="H7" s="2799" t="s">
        <v>3138</v>
      </c>
    </row>
    <row r="8" spans="1:8" s="2800" customFormat="1" ht="20.100000000000001" customHeight="1" thickBot="1">
      <c r="A8" s="2796" t="s">
        <v>3151</v>
      </c>
      <c r="B8" s="2797" t="s">
        <v>3152</v>
      </c>
      <c r="C8" s="2797">
        <v>1029.82</v>
      </c>
      <c r="D8" s="2797">
        <v>3</v>
      </c>
      <c r="E8" s="2798" t="s">
        <v>3135</v>
      </c>
      <c r="F8" s="2798" t="s">
        <v>3153</v>
      </c>
      <c r="G8" s="2799" t="s">
        <v>3137</v>
      </c>
      <c r="H8" s="2799" t="s">
        <v>3138</v>
      </c>
    </row>
    <row r="9" spans="1:8" s="2800" customFormat="1" ht="20.100000000000001" customHeight="1" thickBot="1">
      <c r="A9" s="2796" t="s">
        <v>3154</v>
      </c>
      <c r="B9" s="2797" t="s">
        <v>3155</v>
      </c>
      <c r="C9" s="2797">
        <v>1029.82</v>
      </c>
      <c r="D9" s="2797">
        <v>3</v>
      </c>
      <c r="E9" s="2798" t="s">
        <v>3135</v>
      </c>
      <c r="F9" s="2798" t="s">
        <v>3156</v>
      </c>
      <c r="G9" s="2799" t="s">
        <v>3137</v>
      </c>
      <c r="H9" s="2799" t="s">
        <v>3138</v>
      </c>
    </row>
    <row r="10" spans="1:8" ht="20.100000000000001" customHeight="1" thickBot="1">
      <c r="A10" s="2786" t="s">
        <v>3157</v>
      </c>
      <c r="B10" s="2787" t="s">
        <v>3158</v>
      </c>
      <c r="C10" s="2787">
        <v>361.31</v>
      </c>
      <c r="D10" s="2787">
        <v>3</v>
      </c>
      <c r="E10" s="2788" t="s">
        <v>3135</v>
      </c>
      <c r="F10" s="2789" t="s">
        <v>3144</v>
      </c>
      <c r="G10" s="2789" t="s">
        <v>3137</v>
      </c>
      <c r="H10" s="2790" t="s">
        <v>3159</v>
      </c>
    </row>
    <row r="11" spans="1:8" ht="20.100000000000001" customHeight="1" thickBot="1">
      <c r="A11" s="2786" t="s">
        <v>3160</v>
      </c>
      <c r="B11" s="2787" t="s">
        <v>3161</v>
      </c>
      <c r="C11" s="2787">
        <v>361.31</v>
      </c>
      <c r="D11" s="2787">
        <v>3</v>
      </c>
      <c r="E11" s="2788" t="s">
        <v>3135</v>
      </c>
      <c r="F11" s="2789" t="s">
        <v>3144</v>
      </c>
      <c r="G11" s="2789" t="s">
        <v>3137</v>
      </c>
      <c r="H11" s="2790" t="s">
        <v>3159</v>
      </c>
    </row>
    <row r="12" spans="1:8" s="2800" customFormat="1" ht="20.100000000000001" customHeight="1" thickBot="1">
      <c r="A12" s="2796" t="s">
        <v>3162</v>
      </c>
      <c r="B12" s="2797" t="s">
        <v>3163</v>
      </c>
      <c r="C12" s="2797">
        <v>361.31</v>
      </c>
      <c r="D12" s="2797">
        <v>3</v>
      </c>
      <c r="E12" s="2798" t="s">
        <v>3135</v>
      </c>
      <c r="F12" s="2799" t="s">
        <v>3144</v>
      </c>
      <c r="G12" s="2799" t="s">
        <v>3137</v>
      </c>
      <c r="H12" s="2801" t="s">
        <v>3159</v>
      </c>
    </row>
    <row r="13" spans="1:8" s="2800" customFormat="1" ht="20.100000000000001" customHeight="1" thickBot="1">
      <c r="A13" s="2796" t="s">
        <v>3164</v>
      </c>
      <c r="B13" s="2797" t="s">
        <v>3165</v>
      </c>
      <c r="C13" s="2797">
        <v>449.56</v>
      </c>
      <c r="D13" s="2797">
        <v>3</v>
      </c>
      <c r="E13" s="2798" t="s">
        <v>3135</v>
      </c>
      <c r="F13" s="2799" t="s">
        <v>3144</v>
      </c>
      <c r="G13" s="2799" t="s">
        <v>3137</v>
      </c>
      <c r="H13" s="2801" t="s">
        <v>3159</v>
      </c>
    </row>
    <row r="14" spans="1:8" s="2800" customFormat="1" ht="20.100000000000001" customHeight="1" thickBot="1">
      <c r="A14" s="2796" t="s">
        <v>3166</v>
      </c>
      <c r="B14" s="2797" t="s">
        <v>3167</v>
      </c>
      <c r="C14" s="2797">
        <v>361.31</v>
      </c>
      <c r="D14" s="2797">
        <v>3</v>
      </c>
      <c r="E14" s="2798" t="s">
        <v>3135</v>
      </c>
      <c r="F14" s="2799" t="s">
        <v>3144</v>
      </c>
      <c r="G14" s="2799" t="s">
        <v>3137</v>
      </c>
      <c r="H14" s="2801" t="s">
        <v>3159</v>
      </c>
    </row>
    <row r="15" spans="1:8" s="2800" customFormat="1" ht="20.100000000000001" customHeight="1" thickBot="1">
      <c r="A15" s="2796" t="s">
        <v>3168</v>
      </c>
      <c r="B15" s="2797" t="s">
        <v>3169</v>
      </c>
      <c r="C15" s="2797">
        <v>449.56</v>
      </c>
      <c r="D15" s="2797">
        <v>3</v>
      </c>
      <c r="E15" s="2798" t="s">
        <v>3135</v>
      </c>
      <c r="F15" s="2799" t="s">
        <v>3144</v>
      </c>
      <c r="G15" s="2799" t="s">
        <v>3137</v>
      </c>
      <c r="H15" s="2801" t="s">
        <v>3159</v>
      </c>
    </row>
    <row r="16" spans="1:8" s="2800" customFormat="1" ht="20.100000000000001" customHeight="1" thickBot="1">
      <c r="A16" s="2796" t="s">
        <v>3170</v>
      </c>
      <c r="B16" s="2797" t="s">
        <v>3171</v>
      </c>
      <c r="C16" s="2797">
        <v>361.31</v>
      </c>
      <c r="D16" s="2797">
        <v>3</v>
      </c>
      <c r="E16" s="2798" t="s">
        <v>3135</v>
      </c>
      <c r="F16" s="2799" t="s">
        <v>3144</v>
      </c>
      <c r="G16" s="2799" t="s">
        <v>3137</v>
      </c>
      <c r="H16" s="2801" t="s">
        <v>3159</v>
      </c>
    </row>
    <row r="17" spans="1:8" s="2800" customFormat="1" ht="20.100000000000001" customHeight="1" thickBot="1">
      <c r="A17" s="2796" t="s">
        <v>3172</v>
      </c>
      <c r="B17" s="2797" t="s">
        <v>3173</v>
      </c>
      <c r="C17" s="2797">
        <v>449.56</v>
      </c>
      <c r="D17" s="2797">
        <v>3</v>
      </c>
      <c r="E17" s="2798" t="s">
        <v>3135</v>
      </c>
      <c r="F17" s="2799" t="s">
        <v>3144</v>
      </c>
      <c r="G17" s="2799" t="s">
        <v>3137</v>
      </c>
      <c r="H17" s="2801" t="s">
        <v>3159</v>
      </c>
    </row>
    <row r="18" spans="1:8" s="2800" customFormat="1" ht="20.100000000000001" customHeight="1" thickBot="1">
      <c r="A18" s="2796" t="s">
        <v>3174</v>
      </c>
      <c r="B18" s="2797" t="s">
        <v>3175</v>
      </c>
      <c r="C18" s="2797">
        <v>361.31</v>
      </c>
      <c r="D18" s="2797">
        <v>3</v>
      </c>
      <c r="E18" s="2798" t="s">
        <v>3135</v>
      </c>
      <c r="F18" s="2799" t="s">
        <v>3144</v>
      </c>
      <c r="G18" s="2799" t="s">
        <v>3137</v>
      </c>
      <c r="H18" s="2799" t="s">
        <v>3138</v>
      </c>
    </row>
    <row r="19" spans="1:8" s="2800" customFormat="1" ht="20.100000000000001" customHeight="1" thickBot="1">
      <c r="A19" s="2796" t="s">
        <v>3176</v>
      </c>
      <c r="B19" s="2797" t="s">
        <v>3177</v>
      </c>
      <c r="C19" s="2797">
        <v>449.56</v>
      </c>
      <c r="D19" s="2797">
        <v>3</v>
      </c>
      <c r="E19" s="2798" t="s">
        <v>3135</v>
      </c>
      <c r="F19" s="2799" t="s">
        <v>3144</v>
      </c>
      <c r="G19" s="2799" t="s">
        <v>3137</v>
      </c>
      <c r="H19" s="2799" t="s">
        <v>3138</v>
      </c>
    </row>
    <row r="20" spans="1:8" s="2800" customFormat="1" ht="20.100000000000001" customHeight="1" thickBot="1">
      <c r="A20" s="2796" t="s">
        <v>3178</v>
      </c>
      <c r="B20" s="2797" t="s">
        <v>3179</v>
      </c>
      <c r="C20" s="2797">
        <v>361.31</v>
      </c>
      <c r="D20" s="2797">
        <v>3</v>
      </c>
      <c r="E20" s="2798" t="s">
        <v>3135</v>
      </c>
      <c r="F20" s="2799" t="s">
        <v>3144</v>
      </c>
      <c r="G20" s="2799" t="s">
        <v>3137</v>
      </c>
      <c r="H20" s="2799" t="s">
        <v>3138</v>
      </c>
    </row>
    <row r="21" spans="1:8" s="2800" customFormat="1" ht="20.100000000000001" customHeight="1" thickBot="1">
      <c r="A21" s="2796" t="s">
        <v>3180</v>
      </c>
      <c r="B21" s="2797" t="s">
        <v>3181</v>
      </c>
      <c r="C21" s="2797">
        <v>449.56</v>
      </c>
      <c r="D21" s="2797">
        <v>3</v>
      </c>
      <c r="E21" s="2798" t="s">
        <v>3135</v>
      </c>
      <c r="F21" s="2799" t="s">
        <v>3144</v>
      </c>
      <c r="G21" s="2799" t="s">
        <v>3137</v>
      </c>
      <c r="H21" s="2799" t="s">
        <v>3138</v>
      </c>
    </row>
    <row r="22" spans="1:8" ht="20.100000000000001" customHeight="1" thickBot="1">
      <c r="A22" s="2786" t="s">
        <v>3182</v>
      </c>
      <c r="B22" s="2787" t="s">
        <v>3183</v>
      </c>
      <c r="C22" s="2787">
        <v>361.31</v>
      </c>
      <c r="D22" s="2787">
        <v>3</v>
      </c>
      <c r="E22" s="2788" t="s">
        <v>3135</v>
      </c>
      <c r="F22" s="2789" t="s">
        <v>3144</v>
      </c>
      <c r="G22" s="2789" t="s">
        <v>3137</v>
      </c>
      <c r="H22" s="2789" t="s">
        <v>3138</v>
      </c>
    </row>
    <row r="23" spans="1:8" ht="20.100000000000001" customHeight="1" thickBot="1">
      <c r="A23" s="2786" t="s">
        <v>3184</v>
      </c>
      <c r="B23" s="2787" t="s">
        <v>3185</v>
      </c>
      <c r="C23" s="2787">
        <v>449.56</v>
      </c>
      <c r="D23" s="2787">
        <v>3</v>
      </c>
      <c r="E23" s="2788" t="s">
        <v>3135</v>
      </c>
      <c r="F23" s="2789" t="s">
        <v>3144</v>
      </c>
      <c r="G23" s="2789" t="s">
        <v>3137</v>
      </c>
      <c r="H23" s="2789" t="s">
        <v>3138</v>
      </c>
    </row>
    <row r="24" spans="1:8" s="2800" customFormat="1" ht="20.100000000000001" customHeight="1" thickBot="1">
      <c r="A24" s="2796" t="s">
        <v>3186</v>
      </c>
      <c r="B24" s="2797" t="s">
        <v>3187</v>
      </c>
      <c r="C24" s="2797">
        <v>449.56</v>
      </c>
      <c r="D24" s="2797">
        <v>3</v>
      </c>
      <c r="E24" s="2798" t="s">
        <v>3135</v>
      </c>
      <c r="F24" s="2799" t="s">
        <v>3144</v>
      </c>
      <c r="G24" s="2799" t="s">
        <v>3137</v>
      </c>
      <c r="H24" s="2799" t="s">
        <v>3138</v>
      </c>
    </row>
    <row r="25" spans="1:8" s="2800" customFormat="1" ht="20.100000000000001" customHeight="1" thickBot="1">
      <c r="A25" s="2796" t="s">
        <v>3188</v>
      </c>
      <c r="B25" s="2797" t="s">
        <v>3189</v>
      </c>
      <c r="C25" s="2797">
        <v>361.31</v>
      </c>
      <c r="D25" s="2797">
        <v>3</v>
      </c>
      <c r="E25" s="2798" t="s">
        <v>3135</v>
      </c>
      <c r="F25" s="2799" t="s">
        <v>3144</v>
      </c>
      <c r="G25" s="2799" t="s">
        <v>3137</v>
      </c>
      <c r="H25" s="2799" t="s">
        <v>3138</v>
      </c>
    </row>
    <row r="26" spans="1:8" s="2800" customFormat="1" ht="20.100000000000001" customHeight="1" thickBot="1">
      <c r="A26" s="2796" t="s">
        <v>3190</v>
      </c>
      <c r="B26" s="2797" t="s">
        <v>3191</v>
      </c>
      <c r="C26" s="2797">
        <v>449.56</v>
      </c>
      <c r="D26" s="2797">
        <v>3</v>
      </c>
      <c r="E26" s="2798" t="s">
        <v>3135</v>
      </c>
      <c r="F26" s="2799" t="s">
        <v>3144</v>
      </c>
      <c r="G26" s="2799" t="s">
        <v>3137</v>
      </c>
      <c r="H26" s="2799" t="s">
        <v>3138</v>
      </c>
    </row>
    <row r="27" spans="1:8" s="2800" customFormat="1" ht="20.100000000000001" customHeight="1" thickBot="1">
      <c r="A27" s="2796" t="s">
        <v>3192</v>
      </c>
      <c r="B27" s="2797" t="s">
        <v>3193</v>
      </c>
      <c r="C27" s="2797">
        <v>449.56</v>
      </c>
      <c r="D27" s="2797">
        <v>3</v>
      </c>
      <c r="E27" s="2798" t="s">
        <v>3135</v>
      </c>
      <c r="F27" s="2799" t="s">
        <v>3144</v>
      </c>
      <c r="G27" s="2799" t="s">
        <v>3137</v>
      </c>
      <c r="H27" s="2799" t="s">
        <v>3138</v>
      </c>
    </row>
    <row r="28" spans="1:8" s="2800" customFormat="1" ht="20.100000000000001" customHeight="1" thickBot="1">
      <c r="A28" s="2796" t="s">
        <v>3194</v>
      </c>
      <c r="B28" s="2797" t="s">
        <v>3195</v>
      </c>
      <c r="C28" s="2797">
        <v>361.31</v>
      </c>
      <c r="D28" s="2797">
        <v>3</v>
      </c>
      <c r="E28" s="2798" t="s">
        <v>3135</v>
      </c>
      <c r="F28" s="2799" t="s">
        <v>3144</v>
      </c>
      <c r="G28" s="2799" t="s">
        <v>3137</v>
      </c>
      <c r="H28" s="2799" t="s">
        <v>3138</v>
      </c>
    </row>
    <row r="29" spans="1:8" s="2800" customFormat="1" ht="20.100000000000001" customHeight="1" thickBot="1">
      <c r="A29" s="2796" t="s">
        <v>3196</v>
      </c>
      <c r="B29" s="2797" t="s">
        <v>3197</v>
      </c>
      <c r="C29" s="2797">
        <v>449.56</v>
      </c>
      <c r="D29" s="2797">
        <v>3</v>
      </c>
      <c r="E29" s="2798" t="s">
        <v>3135</v>
      </c>
      <c r="F29" s="2799" t="s">
        <v>3144</v>
      </c>
      <c r="G29" s="2799" t="s">
        <v>3137</v>
      </c>
      <c r="H29" s="2799" t="s">
        <v>3138</v>
      </c>
    </row>
    <row r="30" spans="1:8" s="2800" customFormat="1" ht="20.100000000000001" customHeight="1" thickBot="1">
      <c r="A30" s="2796" t="s">
        <v>3198</v>
      </c>
      <c r="B30" s="2797" t="s">
        <v>3199</v>
      </c>
      <c r="C30" s="2797">
        <v>361.31</v>
      </c>
      <c r="D30" s="2797">
        <v>3</v>
      </c>
      <c r="E30" s="2798" t="s">
        <v>3135</v>
      </c>
      <c r="F30" s="2799" t="s">
        <v>3144</v>
      </c>
      <c r="G30" s="2799" t="s">
        <v>3137</v>
      </c>
      <c r="H30" s="2799" t="s">
        <v>3138</v>
      </c>
    </row>
    <row r="31" spans="1:8" s="2800" customFormat="1" ht="20.100000000000001" customHeight="1" thickBot="1">
      <c r="A31" s="2796" t="s">
        <v>3200</v>
      </c>
      <c r="B31" s="2797" t="s">
        <v>3201</v>
      </c>
      <c r="C31" s="2797">
        <v>449.56</v>
      </c>
      <c r="D31" s="2797">
        <v>3</v>
      </c>
      <c r="E31" s="2798" t="s">
        <v>3135</v>
      </c>
      <c r="F31" s="2799" t="s">
        <v>3144</v>
      </c>
      <c r="G31" s="2799" t="s">
        <v>3137</v>
      </c>
      <c r="H31" s="2799" t="s">
        <v>3138</v>
      </c>
    </row>
    <row r="32" spans="1:8" ht="20.100000000000001" customHeight="1" thickBot="1">
      <c r="A32" s="2786" t="s">
        <v>3202</v>
      </c>
      <c r="B32" s="2787" t="s">
        <v>3203</v>
      </c>
      <c r="C32" s="2787">
        <v>361.31</v>
      </c>
      <c r="D32" s="2787">
        <v>3</v>
      </c>
      <c r="E32" s="2788" t="s">
        <v>3135</v>
      </c>
      <c r="F32" s="2789" t="s">
        <v>3144</v>
      </c>
      <c r="G32" s="2789" t="s">
        <v>3137</v>
      </c>
      <c r="H32" s="2789" t="s">
        <v>3138</v>
      </c>
    </row>
    <row r="33" spans="1:8" ht="20.100000000000001" customHeight="1" thickBot="1">
      <c r="A33" s="2786" t="s">
        <v>3204</v>
      </c>
      <c r="B33" s="2787" t="s">
        <v>3205</v>
      </c>
      <c r="C33" s="2787">
        <v>361.31</v>
      </c>
      <c r="D33" s="2787">
        <v>3</v>
      </c>
      <c r="E33" s="2788" t="s">
        <v>3135</v>
      </c>
      <c r="F33" s="2789" t="s">
        <v>3144</v>
      </c>
      <c r="G33" s="2789" t="s">
        <v>3137</v>
      </c>
      <c r="H33" s="2789" t="s">
        <v>3138</v>
      </c>
    </row>
    <row r="34" spans="1:8" ht="20.100000000000001" customHeight="1" thickBot="1">
      <c r="A34" s="2786" t="s">
        <v>3206</v>
      </c>
      <c r="B34" s="2787" t="s">
        <v>3207</v>
      </c>
      <c r="C34" s="2787">
        <v>361.31</v>
      </c>
      <c r="D34" s="2787">
        <v>3</v>
      </c>
      <c r="E34" s="2788" t="s">
        <v>3135</v>
      </c>
      <c r="F34" s="2789" t="s">
        <v>3144</v>
      </c>
      <c r="G34" s="2789" t="s">
        <v>3137</v>
      </c>
      <c r="H34" s="2789" t="s">
        <v>3138</v>
      </c>
    </row>
    <row r="35" spans="1:8" ht="20.100000000000001" customHeight="1" thickBot="1">
      <c r="A35" s="2786" t="s">
        <v>3208</v>
      </c>
      <c r="B35" s="2787" t="s">
        <v>3209</v>
      </c>
      <c r="C35" s="2787">
        <v>361.31</v>
      </c>
      <c r="D35" s="2787">
        <v>3</v>
      </c>
      <c r="E35" s="2788" t="s">
        <v>3135</v>
      </c>
      <c r="F35" s="2789" t="s">
        <v>3144</v>
      </c>
      <c r="G35" s="2789" t="s">
        <v>3137</v>
      </c>
      <c r="H35" s="2789" t="s">
        <v>3138</v>
      </c>
    </row>
    <row r="36" spans="1:8" ht="20.100000000000001" customHeight="1" thickBot="1">
      <c r="A36" s="2786" t="s">
        <v>3210</v>
      </c>
      <c r="B36" s="2787" t="s">
        <v>3211</v>
      </c>
      <c r="C36" s="2787">
        <v>361.31</v>
      </c>
      <c r="D36" s="2787">
        <v>3</v>
      </c>
      <c r="E36" s="2788" t="s">
        <v>3135</v>
      </c>
      <c r="F36" s="2789" t="s">
        <v>3144</v>
      </c>
      <c r="G36" s="2789" t="s">
        <v>3137</v>
      </c>
      <c r="H36" s="2789" t="s">
        <v>3138</v>
      </c>
    </row>
    <row r="37" spans="1:8" ht="21" customHeight="1">
      <c r="A37" s="2791" t="s">
        <v>3212</v>
      </c>
      <c r="C37">
        <f>SUM(C3:C36)</f>
        <v>18788.8</v>
      </c>
    </row>
    <row r="39" spans="1:8">
      <c r="E39">
        <f>1500*10000/466</f>
        <v>32188.841201716739</v>
      </c>
    </row>
  </sheetData>
  <mergeCells count="1">
    <mergeCell ref="A1:H1"/>
  </mergeCells>
  <phoneticPr fontId="141"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E018-2397-4134-AD11-8B6D828B56D3}">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0" t="s">
        <v>3688</v>
      </c>
      <c r="C1" s="2820" t="s">
        <v>3689</v>
      </c>
      <c r="D1" s="2820" t="s">
        <v>3690</v>
      </c>
      <c r="E1" s="2820" t="s">
        <v>3691</v>
      </c>
      <c r="F1" s="2820" t="s">
        <v>3692</v>
      </c>
      <c r="G1" s="2820" t="s">
        <v>3693</v>
      </c>
    </row>
    <row r="2" spans="1:7" ht="332.25" customHeight="1">
      <c r="A2" s="1574" t="s">
        <v>3700</v>
      </c>
      <c r="B2" s="2820" t="s">
        <v>3699</v>
      </c>
      <c r="C2" s="2820" t="s">
        <v>3694</v>
      </c>
      <c r="D2" s="2820" t="s">
        <v>3695</v>
      </c>
      <c r="E2" s="2820" t="s">
        <v>3696</v>
      </c>
      <c r="F2" s="2820" t="s">
        <v>3697</v>
      </c>
      <c r="G2" s="2820" t="s">
        <v>3698</v>
      </c>
    </row>
    <row r="3" spans="1:7" ht="108">
      <c r="A3" s="1574" t="s">
        <v>3701</v>
      </c>
      <c r="B3" s="2820" t="s">
        <v>3699</v>
      </c>
    </row>
    <row r="4" spans="1:7" ht="94.5" customHeight="1">
      <c r="A4" s="1574" t="s">
        <v>3702</v>
      </c>
      <c r="E4" s="2820" t="s">
        <v>3696</v>
      </c>
    </row>
    <row r="5" spans="1:7" ht="94.5" customHeight="1">
      <c r="A5" s="1574" t="s">
        <v>3704</v>
      </c>
      <c r="G5" s="2820" t="s">
        <v>3703</v>
      </c>
    </row>
    <row r="6" spans="1:7" ht="94.5" customHeight="1">
      <c r="A6" s="1574" t="s">
        <v>3705</v>
      </c>
      <c r="B6" s="2820" t="s">
        <v>3703</v>
      </c>
      <c r="D6" s="2820" t="s">
        <v>3695</v>
      </c>
    </row>
    <row r="7" spans="1:7" ht="153.75" customHeight="1">
      <c r="A7" s="1574" t="s">
        <v>3707</v>
      </c>
      <c r="B7" s="2820" t="s">
        <v>3706</v>
      </c>
    </row>
    <row r="8" spans="1:7" ht="78.75" customHeight="1">
      <c r="A8" s="1574" t="s">
        <v>3709</v>
      </c>
      <c r="E8" s="2820" t="s">
        <v>3708</v>
      </c>
    </row>
    <row r="9" spans="1:7" ht="75.75" customHeight="1">
      <c r="A9" s="1574" t="s">
        <v>3711</v>
      </c>
      <c r="E9" s="2820" t="s">
        <v>3710</v>
      </c>
    </row>
    <row r="10" spans="1:7" ht="75.75" customHeight="1">
      <c r="A10" s="1574" t="s">
        <v>3713</v>
      </c>
      <c r="E10" s="2820" t="s">
        <v>3712</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0" t="s">
        <v>3836</v>
      </c>
    </row>
  </sheetData>
  <phoneticPr fontId="1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12" t="s">
        <v>1627</v>
      </c>
      <c r="B1" s="2912"/>
      <c r="C1" s="2912"/>
      <c r="D1" s="2912"/>
    </row>
    <row r="2" spans="1:4" ht="18">
      <c r="A2" s="2913" t="s">
        <v>1611</v>
      </c>
      <c r="B2" s="2913"/>
      <c r="C2" s="2913"/>
      <c r="D2" s="2913"/>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13" t="s">
        <v>1617</v>
      </c>
      <c r="B6" s="2913"/>
      <c r="C6" s="2913"/>
      <c r="D6" s="2913"/>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14" t="s">
        <v>1620</v>
      </c>
      <c r="B11" s="2906"/>
      <c r="C11" s="2906"/>
      <c r="D11" s="2906"/>
    </row>
    <row r="12" spans="1:4" ht="15.75">
      <c r="A12" s="2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11"/>
      <c r="C12" s="2911"/>
      <c r="D12" s="2911"/>
    </row>
    <row r="13" spans="1:4" ht="30" customHeight="1">
      <c r="A13" s="2906" t="str">
        <f>IF(项目基本情况!B8="抵押","3.抵押双方在办理抵押登记手续时，应使用本公司出具的正式《房地产评估报告》，特提醒报告使用者注意。","——")</f>
        <v>——</v>
      </c>
      <c r="B13" s="2911"/>
      <c r="C13" s="2911"/>
      <c r="D13" s="2911"/>
    </row>
    <row r="14" spans="1:4" ht="15.75" customHeight="1">
      <c r="A14" s="2906" t="str">
        <f>IF(项目基本情况!B8="抵押","4.本次评估估价师所知悉的法定优先受偿款情况说明如下：","——")</f>
        <v>——</v>
      </c>
      <c r="B14" s="2911"/>
      <c r="C14" s="2911"/>
      <c r="D14" s="2911"/>
    </row>
    <row r="15" spans="1:4" ht="42" customHeight="1">
      <c r="A15" s="2906" t="str">
        <f>IF(项目基本情况!B8="抵押","（1）"&amp;CONCATENATE(项目基本情况!L20,项目基本情况!L21,项目基本情况!L22),"——")</f>
        <v>——</v>
      </c>
      <c r="B15" s="2906"/>
      <c r="C15" s="2906"/>
      <c r="D15" s="2906"/>
    </row>
    <row r="16" spans="1:4" ht="30" customHeight="1">
      <c r="A16" s="2908" t="s">
        <v>1621</v>
      </c>
      <c r="B16" s="2908"/>
      <c r="C16" s="2908"/>
      <c r="D16" s="2908"/>
    </row>
    <row r="17" spans="1:4" ht="144" customHeight="1">
      <c r="A17" s="2908" t="s">
        <v>1622</v>
      </c>
      <c r="B17" s="2908"/>
      <c r="C17" s="2908"/>
      <c r="D17" s="2908"/>
    </row>
    <row r="18" spans="1:4" ht="15.75" customHeight="1">
      <c r="A18" s="2906" t="str">
        <f>IF(项目基本情况!B8="抵押",结果表!K120,"——")</f>
        <v>——</v>
      </c>
      <c r="B18" s="2906"/>
      <c r="C18" s="2906"/>
      <c r="D18" s="2906"/>
    </row>
    <row r="19" spans="1:4" ht="46.5" customHeight="1">
      <c r="A19" s="2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6"/>
      <c r="C19" s="2906"/>
      <c r="D19" s="2906"/>
    </row>
    <row r="20" spans="1:4" ht="57.75" customHeight="1">
      <c r="A20" s="29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06"/>
      <c r="C20" s="2906"/>
      <c r="D20" s="2906"/>
    </row>
    <row r="21" spans="1:4" ht="57.75" customHeight="1">
      <c r="A21" s="29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09"/>
      <c r="C21" s="2909"/>
      <c r="D21" s="2909"/>
    </row>
    <row r="22" spans="1:4" ht="18.75" customHeight="1">
      <c r="A22" s="2910" t="s">
        <v>1623</v>
      </c>
      <c r="B22" s="2910"/>
      <c r="C22" s="2910"/>
      <c r="D22" s="2910"/>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07">
        <v>42551</v>
      </c>
      <c r="D31" s="29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20" t="s">
        <v>1634</v>
      </c>
      <c r="B15" s="2915" t="s">
        <v>136</v>
      </c>
      <c r="C15" s="2916"/>
    </row>
    <row r="16" spans="1:7" ht="13.5">
      <c r="A16" s="2921"/>
      <c r="B16" s="2915" t="s">
        <v>69</v>
      </c>
      <c r="C16" s="2916"/>
    </row>
    <row r="17" spans="1:3" ht="13.5">
      <c r="A17" s="2921"/>
      <c r="B17" s="2918" t="s">
        <v>1635</v>
      </c>
      <c r="C17" s="1598" t="s">
        <v>1634</v>
      </c>
    </row>
    <row r="18" spans="1:3" ht="13.5">
      <c r="A18" s="2921"/>
      <c r="B18" s="2918"/>
      <c r="C18" s="1598" t="s">
        <v>1636</v>
      </c>
    </row>
    <row r="19" spans="1:3" ht="13.5">
      <c r="A19" s="2921"/>
      <c r="B19" s="2918"/>
      <c r="C19" s="1598" t="s">
        <v>1637</v>
      </c>
    </row>
    <row r="20" spans="1:3" ht="13.5">
      <c r="A20" s="2922"/>
      <c r="B20" s="2917" t="s">
        <v>1638</v>
      </c>
      <c r="C20" s="2916"/>
    </row>
    <row r="21" spans="1:3" ht="13.5">
      <c r="A21" s="1599" t="s">
        <v>1639</v>
      </c>
      <c r="B21" s="1600"/>
      <c r="C21" s="1601"/>
    </row>
    <row r="22" spans="1:3" ht="13.5">
      <c r="A22" s="2919" t="s">
        <v>1640</v>
      </c>
      <c r="B22" s="2917" t="s">
        <v>1641</v>
      </c>
      <c r="C22" s="2916"/>
    </row>
    <row r="23" spans="1:3" ht="13.5">
      <c r="A23" s="2919"/>
      <c r="B23" s="2917" t="s">
        <v>1642</v>
      </c>
      <c r="C23" s="2916"/>
    </row>
    <row r="24" spans="1:3" ht="13.5">
      <c r="A24" s="2919"/>
      <c r="B24" s="2917" t="s">
        <v>1643</v>
      </c>
      <c r="C24" s="2916"/>
    </row>
    <row r="25" spans="1:3" ht="13.5">
      <c r="A25" s="2919"/>
      <c r="B25" s="2918" t="s">
        <v>1644</v>
      </c>
      <c r="C25" s="1598" t="s">
        <v>1645</v>
      </c>
    </row>
    <row r="26" spans="1:3" ht="13.5">
      <c r="A26" s="2919"/>
      <c r="B26" s="2918"/>
      <c r="C26" s="1598" t="s">
        <v>1646</v>
      </c>
    </row>
    <row r="27" spans="1:3" ht="13.5">
      <c r="A27" s="2919"/>
      <c r="B27" s="2918"/>
      <c r="C27" s="1598" t="s">
        <v>1647</v>
      </c>
    </row>
    <row r="28" spans="1:3" ht="13.5">
      <c r="A28" s="2919"/>
      <c r="B28" s="2918"/>
      <c r="C28" s="1598" t="s">
        <v>1648</v>
      </c>
    </row>
    <row r="29" spans="1:3" ht="13.5">
      <c r="A29" s="2919"/>
      <c r="B29" s="2918"/>
      <c r="C29" s="1598" t="s">
        <v>1649</v>
      </c>
    </row>
    <row r="30" spans="1:3" ht="13.5">
      <c r="A30" s="2919"/>
      <c r="B30" s="2918"/>
      <c r="C30" s="1598" t="s">
        <v>1650</v>
      </c>
    </row>
    <row r="31" spans="1:3" ht="13.5">
      <c r="A31" s="2919"/>
      <c r="B31" s="2918"/>
      <c r="C31" s="1598" t="s">
        <v>1651</v>
      </c>
    </row>
    <row r="32" spans="1:3" ht="13.5">
      <c r="A32" s="2919"/>
      <c r="B32" s="2918"/>
      <c r="C32" s="1598" t="s">
        <v>1652</v>
      </c>
    </row>
    <row r="33" spans="1:3" ht="13.5">
      <c r="A33" s="2919"/>
      <c r="B33" s="2918"/>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45492</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23" t="s">
        <v>2883</v>
      </c>
      <c r="B17" s="2923"/>
      <c r="C17" s="2923"/>
      <c r="D17" s="2923"/>
      <c r="E17" s="2923"/>
      <c r="F17" s="2923"/>
      <c r="G17" s="2923"/>
      <c r="H17" s="2923"/>
    </row>
    <row r="18" spans="1:8" ht="24" customHeight="1">
      <c r="A18" s="2924" t="s">
        <v>2884</v>
      </c>
      <c r="B18" s="2924"/>
      <c r="C18" s="2924"/>
      <c r="D18" s="2358"/>
      <c r="E18" s="2925" t="s">
        <v>2885</v>
      </c>
      <c r="F18" s="2924"/>
      <c r="G18" s="2924"/>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7"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2024-07-19T05:58:10Z</dcterms:modified>
</cp:coreProperties>
</file>