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成本法" sheetId="68" state="hidden" r:id="rId19"/>
    <sheet name="成本法 (元)" sheetId="69" state="hidden" r:id="rId20"/>
    <sheet name="土地比较法-住宅、综合" sheetId="3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r:id="rId26"/>
    <sheet name="收益法（住宅）" sheetId="15" r:id="rId27"/>
    <sheet name="结果表 (商业)" sheetId="81" r:id="rId28"/>
    <sheet name="比较法-商业" sheetId="33" r:id="rId29"/>
    <sheet name="收益法 (商业)" sheetId="80"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土地检索数据" sheetId="78" r:id="rId48"/>
    <sheet name="抵押物清单" sheetId="79"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(商业)'!$A$1:$AK$69</definedName>
    <definedName name="_xlnm.Print_Area" localSheetId="22">'收益法 (元)'!$A$1:$AK$69</definedName>
    <definedName name="_xlnm.Print_Area" localSheetId="26">'收益法（住宅）'!$A$1:$AK$69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7" i="74" l="1"/>
  <c r="D17" i="74"/>
  <c r="C17" i="74"/>
  <c r="B17" i="74"/>
  <c r="G16" i="74"/>
  <c r="D16" i="74"/>
  <c r="C16" i="74"/>
  <c r="B16" i="74"/>
  <c r="C20" i="81"/>
  <c r="F6" i="80"/>
  <c r="F8" i="80"/>
  <c r="F7" i="80"/>
  <c r="F9" i="80"/>
  <c r="C6" i="80"/>
  <c r="F4" i="73"/>
  <c r="I1" i="73"/>
  <c r="B39" i="1"/>
  <c r="F11" i="80"/>
  <c r="C10" i="80"/>
  <c r="C5" i="80"/>
  <c r="C32" i="80"/>
  <c r="C33" i="80"/>
  <c r="R7" i="1"/>
  <c r="F35" i="80"/>
  <c r="C34" i="80"/>
  <c r="C31" i="80"/>
  <c r="C14" i="80"/>
  <c r="C15" i="80"/>
  <c r="F16" i="80"/>
  <c r="C16" i="80"/>
  <c r="F43" i="80"/>
  <c r="C17" i="80"/>
  <c r="C18" i="80"/>
  <c r="C19" i="80"/>
  <c r="C20" i="80"/>
  <c r="D6" i="73"/>
  <c r="G1" i="73"/>
  <c r="B40" i="1"/>
  <c r="F24" i="80"/>
  <c r="C23" i="80"/>
  <c r="F26" i="80"/>
  <c r="C26" i="80"/>
  <c r="C24" i="80"/>
  <c r="C27" i="80"/>
  <c r="C29" i="80"/>
  <c r="F36" i="80"/>
  <c r="C36" i="80"/>
  <c r="F13" i="80"/>
  <c r="C13" i="80"/>
  <c r="F37" i="80"/>
  <c r="C37" i="80"/>
  <c r="F38" i="80"/>
  <c r="C38" i="80"/>
  <c r="C30" i="80"/>
  <c r="C39" i="80"/>
  <c r="F42" i="80"/>
  <c r="F40" i="80"/>
  <c r="L48" i="80"/>
  <c r="J53" i="80"/>
  <c r="F1" i="80"/>
  <c r="AE7" i="1"/>
  <c r="F41" i="80"/>
  <c r="C40" i="80"/>
  <c r="M6" i="80"/>
  <c r="M8" i="80"/>
  <c r="M7" i="80"/>
  <c r="M9" i="80"/>
  <c r="J6" i="80"/>
  <c r="M11" i="80"/>
  <c r="J10" i="80"/>
  <c r="J5" i="80"/>
  <c r="J26" i="80"/>
  <c r="J29" i="80"/>
  <c r="J60" i="80"/>
  <c r="L46" i="80"/>
  <c r="B2" i="80"/>
  <c r="B3" i="80"/>
  <c r="D20" i="81"/>
  <c r="G20" i="81"/>
  <c r="R24" i="31"/>
  <c r="S24" i="31"/>
  <c r="R25" i="31"/>
  <c r="S25" i="31"/>
  <c r="R26" i="31"/>
  <c r="S26" i="31"/>
  <c r="R27" i="31"/>
  <c r="S27" i="31"/>
  <c r="S22" i="31"/>
  <c r="G15" i="74"/>
  <c r="B20" i="31"/>
  <c r="D15" i="74"/>
  <c r="M28" i="9"/>
  <c r="M26" i="9"/>
  <c r="C19"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D19" i="9"/>
  <c r="G19" i="9"/>
  <c r="L23" i="9"/>
  <c r="L24" i="9"/>
  <c r="L25" i="9"/>
  <c r="L26" i="9"/>
  <c r="L27" i="9"/>
  <c r="L28" i="9"/>
  <c r="L29" i="9"/>
  <c r="Z34" i="79"/>
  <c r="Y32" i="79"/>
  <c r="Y31" i="79"/>
  <c r="Z36" i="79"/>
  <c r="Z33" i="79"/>
  <c r="Z35" i="79"/>
  <c r="AA35" i="79"/>
  <c r="AA33" i="79"/>
  <c r="A3" i="3"/>
  <c r="AY6" i="3"/>
  <c r="D3" i="6"/>
  <c r="D20" i="6"/>
  <c r="H20" i="6"/>
  <c r="R20" i="6"/>
  <c r="R22" i="31"/>
  <c r="B21" i="31"/>
  <c r="M24" i="9"/>
  <c r="B24" i="31"/>
  <c r="AB23" i="79"/>
  <c r="K33" i="3"/>
  <c r="F21" i="6"/>
  <c r="F20" i="6"/>
  <c r="D3" i="21"/>
  <c r="B2" i="21"/>
  <c r="G1" i="15"/>
  <c r="K6" i="1"/>
  <c r="E32" i="6"/>
  <c r="L19" i="6"/>
  <c r="E20" i="6"/>
  <c r="BC33" i="3"/>
  <c r="BC5" i="3"/>
  <c r="E8" i="6"/>
  <c r="F27" i="6"/>
  <c r="E21" i="6"/>
  <c r="BA33" i="3"/>
  <c r="BA5" i="3"/>
  <c r="E27" i="6"/>
  <c r="K19" i="6"/>
  <c r="M19" i="6"/>
  <c r="I19" i="6"/>
  <c r="AZ33" i="3"/>
  <c r="AZ5" i="3"/>
  <c r="H33" i="3"/>
  <c r="G33" i="3"/>
  <c r="G5" i="3"/>
  <c r="B3" i="3"/>
  <c r="E3" i="6"/>
  <c r="H19" i="6"/>
  <c r="D19" i="6"/>
  <c r="R19" i="6"/>
  <c r="M6" i="1"/>
  <c r="S6" i="1"/>
  <c r="T6" i="1"/>
  <c r="D3" i="33"/>
  <c r="B2" i="33"/>
  <c r="C19" i="81"/>
  <c r="A7" i="1"/>
  <c r="A8" i="1"/>
  <c r="G1" i="80"/>
  <c r="K7" i="1"/>
  <c r="L20" i="6"/>
  <c r="K20" i="6"/>
  <c r="M20" i="6"/>
  <c r="I20" i="6"/>
  <c r="M7" i="1"/>
  <c r="S7" i="1"/>
  <c r="T7" i="1"/>
  <c r="M47" i="80"/>
  <c r="D19" i="81"/>
  <c r="G19" i="81"/>
  <c r="B3" i="33"/>
  <c r="B3" i="21"/>
  <c r="C20" i="9"/>
  <c r="B3" i="15"/>
  <c r="D20" i="9"/>
  <c r="G20" i="9"/>
  <c r="M23" i="9"/>
  <c r="Y7" i="1"/>
  <c r="Y6" i="1"/>
  <c r="N7" i="1"/>
  <c r="O22" i="1"/>
  <c r="N22" i="1"/>
  <c r="O21" i="1"/>
  <c r="O20" i="1"/>
  <c r="O19" i="1"/>
  <c r="N21" i="1"/>
  <c r="N20" i="1"/>
  <c r="N19" i="1"/>
  <c r="E111" i="81"/>
  <c r="H111" i="81"/>
  <c r="D126" i="81"/>
  <c r="D127" i="81"/>
  <c r="A126" i="81"/>
  <c r="E109" i="81"/>
  <c r="H109" i="81"/>
  <c r="D124" i="81"/>
  <c r="D125" i="81"/>
  <c r="A124" i="81"/>
  <c r="E107" i="81"/>
  <c r="F22" i="68"/>
  <c r="K8" i="1"/>
  <c r="M8" i="1"/>
  <c r="K9" i="1"/>
  <c r="M9" i="1"/>
  <c r="K10" i="1"/>
  <c r="M10" i="1"/>
  <c r="K11" i="1"/>
  <c r="M11" i="1"/>
  <c r="K12" i="1"/>
  <c r="M12" i="1"/>
  <c r="K13" i="1"/>
  <c r="M13" i="1"/>
  <c r="K14" i="1"/>
  <c r="M14" i="1"/>
  <c r="M16" i="1"/>
  <c r="N16" i="1"/>
  <c r="B23" i="1"/>
  <c r="D8" i="1"/>
  <c r="F8" i="1"/>
  <c r="G8" i="1"/>
  <c r="G16" i="1"/>
  <c r="F10" i="39"/>
  <c r="AA10" i="39"/>
  <c r="R47" i="39"/>
  <c r="H10" i="39"/>
  <c r="AB10" i="39"/>
  <c r="T47" i="39"/>
  <c r="J10" i="39"/>
  <c r="AC10" i="39"/>
  <c r="V47" i="39"/>
  <c r="R48" i="39"/>
  <c r="C48" i="39"/>
  <c r="B56" i="39"/>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B2" i="39"/>
  <c r="C6" i="68"/>
  <c r="C7" i="68"/>
  <c r="C5" i="68"/>
  <c r="C23" i="68"/>
  <c r="C24" i="68"/>
  <c r="C20" i="68"/>
  <c r="C25" i="68"/>
  <c r="C22" i="68"/>
  <c r="Q16" i="1"/>
  <c r="F27" i="68"/>
  <c r="C28" i="68"/>
  <c r="C27" i="68"/>
  <c r="C26" i="68"/>
  <c r="D22" i="68"/>
  <c r="C29" i="68"/>
  <c r="D27" i="68"/>
  <c r="C31" i="68"/>
  <c r="B24" i="1"/>
  <c r="F34" i="68"/>
  <c r="O8" i="1"/>
  <c r="O6" i="1"/>
  <c r="O7" i="1"/>
  <c r="O9" i="1"/>
  <c r="O10" i="1"/>
  <c r="O11" i="1"/>
  <c r="O12" i="1"/>
  <c r="O13" i="1"/>
  <c r="O14" i="1"/>
  <c r="O16" i="1"/>
  <c r="C34" i="68"/>
  <c r="C35" i="68"/>
  <c r="C36" i="68"/>
  <c r="E5" i="6"/>
  <c r="D9" i="68"/>
  <c r="E6" i="6"/>
  <c r="D10" i="68"/>
  <c r="D19" i="68"/>
  <c r="D37" i="68"/>
  <c r="C37" i="68"/>
  <c r="C38" i="68"/>
  <c r="C33" i="68"/>
  <c r="C39" i="68"/>
  <c r="C42" i="68"/>
  <c r="C43" i="68"/>
  <c r="C41" i="68"/>
  <c r="C46" i="68"/>
  <c r="C45" i="68"/>
  <c r="C44" i="68"/>
  <c r="D41" i="68"/>
  <c r="C47" i="68"/>
  <c r="D45" i="68"/>
  <c r="C49" i="68"/>
  <c r="F50" i="68"/>
  <c r="C51" i="68"/>
  <c r="C52" i="68"/>
  <c r="B2" i="68"/>
  <c r="C17" i="81"/>
  <c r="D17" i="81"/>
  <c r="C18" i="81"/>
  <c r="L21" i="6"/>
  <c r="K21" i="6"/>
  <c r="M21" i="6"/>
  <c r="I21" i="6"/>
  <c r="H21" i="6"/>
  <c r="D21" i="6"/>
  <c r="R21" i="6"/>
  <c r="R8" i="1"/>
  <c r="M47" i="15"/>
  <c r="AE8" i="1"/>
  <c r="J60" i="15"/>
  <c r="L46" i="15"/>
  <c r="E8" i="12"/>
  <c r="C8" i="12"/>
  <c r="D8" i="12"/>
  <c r="C4" i="12"/>
  <c r="P8" i="1"/>
  <c r="P6" i="1"/>
  <c r="P7" i="1"/>
  <c r="P9" i="1"/>
  <c r="P10" i="1"/>
  <c r="P11" i="1"/>
  <c r="P12" i="1"/>
  <c r="P13" i="1"/>
  <c r="P14"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8" i="81"/>
  <c r="C24" i="81"/>
  <c r="C32" i="81"/>
  <c r="H118" i="81"/>
  <c r="H101" i="81"/>
  <c r="H105" i="81"/>
  <c r="H106" i="81"/>
  <c r="H103" i="81"/>
  <c r="H107" i="81"/>
  <c r="D122" i="81"/>
  <c r="D123" i="81"/>
  <c r="A122" i="81"/>
  <c r="D120" i="81"/>
  <c r="D121" i="81"/>
  <c r="A120" i="81"/>
  <c r="K120" i="81"/>
  <c r="H119" i="81"/>
  <c r="D35" i="81"/>
  <c r="C35" i="81"/>
  <c r="F118" i="81"/>
  <c r="F119" i="81"/>
  <c r="C34" i="81"/>
  <c r="D118" i="81"/>
  <c r="D119" i="81"/>
  <c r="M18" i="81"/>
  <c r="B118" i="81"/>
  <c r="I118" i="81"/>
  <c r="G118" i="81"/>
  <c r="E118" i="81"/>
  <c r="M19" i="81"/>
  <c r="C118" i="81"/>
  <c r="S2" i="4"/>
  <c r="A118" i="81"/>
  <c r="H112" i="81"/>
  <c r="H110" i="81"/>
  <c r="H108" i="81"/>
  <c r="C105" i="81"/>
  <c r="H104" i="81"/>
  <c r="C104" i="81"/>
  <c r="B3" i="12"/>
  <c r="D103" i="81"/>
  <c r="B3" i="68"/>
  <c r="C103" i="81"/>
  <c r="H102" i="81"/>
  <c r="D102" i="81"/>
  <c r="C102" i="81"/>
  <c r="D101" i="81"/>
  <c r="C101" i="81"/>
  <c r="D45" i="81"/>
  <c r="C85" i="81"/>
  <c r="D89" i="81"/>
  <c r="C89" i="81"/>
  <c r="C87" i="81"/>
  <c r="C91" i="81"/>
  <c r="C92" i="81"/>
  <c r="D93" i="81"/>
  <c r="C93" i="81"/>
  <c r="C94" i="81"/>
  <c r="C86" i="81"/>
  <c r="C95" i="81"/>
  <c r="C96" i="81"/>
  <c r="E96" i="81"/>
  <c r="E97" i="81"/>
  <c r="C97" i="81"/>
  <c r="E90" i="81"/>
  <c r="C72" i="81"/>
  <c r="C76" i="81"/>
  <c r="D77" i="81"/>
  <c r="C77" i="81"/>
  <c r="C74" i="81"/>
  <c r="D78" i="81"/>
  <c r="C78" i="81"/>
  <c r="C73" i="81"/>
  <c r="C79" i="81"/>
  <c r="C80" i="81"/>
  <c r="E80" i="81"/>
  <c r="E81" i="81"/>
  <c r="C81" i="81"/>
  <c r="H77" i="81"/>
  <c r="M49" i="81"/>
  <c r="L63" i="81"/>
  <c r="M63" i="81"/>
  <c r="L64" i="81"/>
  <c r="M64" i="81"/>
  <c r="L65" i="81"/>
  <c r="M65" i="81"/>
  <c r="L66" i="81"/>
  <c r="M66" i="81"/>
  <c r="L67" i="81"/>
  <c r="M67" i="81"/>
  <c r="L68" i="81"/>
  <c r="M68" i="81"/>
  <c r="M69" i="81"/>
  <c r="N69" i="81"/>
  <c r="D68" i="81"/>
  <c r="C64" i="81"/>
  <c r="C63" i="81"/>
  <c r="C67" i="81"/>
  <c r="C68" i="81"/>
  <c r="D48" i="81"/>
  <c r="M52" i="81"/>
  <c r="I55" i="81"/>
  <c r="D55" i="81"/>
  <c r="M53" i="81"/>
  <c r="D58" i="81"/>
  <c r="D56" i="81"/>
  <c r="M54" i="81"/>
  <c r="D59" i="81"/>
  <c r="M55" i="81"/>
  <c r="M56" i="81"/>
  <c r="N57" i="81"/>
  <c r="N59" i="81"/>
  <c r="N61" i="81"/>
  <c r="J55" i="81"/>
  <c r="J56" i="81"/>
  <c r="J57" i="81"/>
  <c r="J59" i="81"/>
  <c r="J61" i="81"/>
  <c r="N60" i="81"/>
  <c r="F59" i="81"/>
  <c r="E59" i="81"/>
  <c r="N58" i="81"/>
  <c r="P57" i="81"/>
  <c r="N56" i="81"/>
  <c r="K56" i="81"/>
  <c r="F56" i="81"/>
  <c r="O55" i="81"/>
  <c r="N55" i="81"/>
  <c r="K55" i="81"/>
  <c r="F55" i="81"/>
  <c r="O54" i="81"/>
  <c r="N54" i="81"/>
  <c r="F54" i="81"/>
  <c r="D54" i="81"/>
  <c r="O53" i="81"/>
  <c r="N53" i="81"/>
  <c r="F53" i="81"/>
  <c r="D53" i="81"/>
  <c r="F48" i="81"/>
  <c r="O52" i="81"/>
  <c r="E48" i="81"/>
  <c r="N52" i="81"/>
  <c r="F52" i="81"/>
  <c r="D52" i="81"/>
  <c r="K49" i="81"/>
  <c r="M48" i="81"/>
  <c r="M47" i="81"/>
  <c r="D34" i="81"/>
  <c r="F33" i="81"/>
  <c r="D27" i="81"/>
  <c r="C25" i="81"/>
  <c r="D22" i="81"/>
  <c r="L19" i="81"/>
  <c r="G21" i="81"/>
  <c r="D21" i="81"/>
  <c r="C21" i="81"/>
  <c r="L18" i="81"/>
  <c r="L4" i="81"/>
  <c r="K4" i="81"/>
  <c r="A2" i="81"/>
  <c r="H1" i="81"/>
  <c r="F19" i="6"/>
  <c r="D6" i="12"/>
  <c r="M28" i="79"/>
  <c r="AT37" i="3"/>
  <c r="D81" i="39"/>
  <c r="E81" i="39"/>
  <c r="F81" i="39"/>
  <c r="F11" i="39"/>
  <c r="AA11" i="39"/>
  <c r="D105" i="39"/>
  <c r="F31" i="39"/>
  <c r="AA31" i="39"/>
  <c r="D107" i="39"/>
  <c r="E107" i="39"/>
  <c r="F107" i="39"/>
  <c r="F32" i="39"/>
  <c r="AA32" i="39"/>
  <c r="H11" i="39"/>
  <c r="AB11" i="39"/>
  <c r="H31" i="39"/>
  <c r="AB31" i="39"/>
  <c r="H32" i="39"/>
  <c r="AB32" i="39"/>
  <c r="J11" i="39"/>
  <c r="AC11" i="39"/>
  <c r="J31" i="39"/>
  <c r="AC31" i="39"/>
  <c r="J32" i="39"/>
  <c r="AC32" i="39"/>
  <c r="G37"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Q5" i="3"/>
  <c r="BS5" i="3"/>
  <c r="F28" i="6"/>
  <c r="BR5" i="3"/>
  <c r="BT5" i="3"/>
  <c r="G28" i="6"/>
  <c r="E28" i="6"/>
  <c r="BB5" i="3"/>
  <c r="E19" i="6"/>
  <c r="S8" i="1"/>
  <c r="T8" i="1"/>
  <c r="E6" i="12"/>
  <c r="C6" i="12"/>
  <c r="F15" i="80"/>
  <c r="F17" i="80"/>
  <c r="F18" i="80"/>
  <c r="F20" i="80"/>
  <c r="F23" i="80"/>
  <c r="F21" i="80"/>
  <c r="F28" i="80"/>
  <c r="C28" i="80"/>
  <c r="F32" i="80"/>
  <c r="F33" i="80"/>
  <c r="F34" i="80"/>
  <c r="C83" i="80"/>
  <c r="C82" i="80"/>
  <c r="C76" i="80"/>
  <c r="C75" i="80"/>
  <c r="C80" i="80"/>
  <c r="C79" i="80"/>
  <c r="Q65"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K29" i="79"/>
  <c r="E21" i="79"/>
  <c r="K28" i="79"/>
  <c r="K27" i="79"/>
  <c r="AB11" i="79"/>
  <c r="AB10" i="79"/>
  <c r="K30" i="3"/>
  <c r="K29" i="3"/>
  <c r="K21" i="3"/>
  <c r="K20" i="3"/>
  <c r="M35" i="3"/>
  <c r="M36" i="3"/>
  <c r="M34" i="3"/>
  <c r="I14" i="3"/>
  <c r="I15" i="3"/>
  <c r="I16" i="3"/>
  <c r="I17" i="3"/>
  <c r="I18" i="3"/>
  <c r="I19" i="3"/>
  <c r="I20" i="3"/>
  <c r="I21" i="3"/>
  <c r="I22" i="3"/>
  <c r="I23" i="3"/>
  <c r="I24" i="3"/>
  <c r="I25" i="3"/>
  <c r="I26" i="3"/>
  <c r="I27" i="3"/>
  <c r="I28" i="3"/>
  <c r="I29" i="3"/>
  <c r="I30" i="3"/>
  <c r="I31" i="3"/>
  <c r="I13" i="3"/>
  <c r="AF4" i="79"/>
  <c r="AF5" i="79"/>
  <c r="AF6" i="79"/>
  <c r="AF7" i="79"/>
  <c r="AF8" i="79"/>
  <c r="AF9" i="79"/>
  <c r="AF10" i="79"/>
  <c r="AF11" i="79"/>
  <c r="AF12" i="79"/>
  <c r="AF13" i="79"/>
  <c r="AF14" i="79"/>
  <c r="AF15" i="79"/>
  <c r="AF16" i="79"/>
  <c r="AF17" i="79"/>
  <c r="AF18" i="79"/>
  <c r="AF19" i="79"/>
  <c r="AF20" i="79"/>
  <c r="AF21" i="79"/>
  <c r="AF22" i="79"/>
  <c r="AF23" i="79"/>
  <c r="AF24" i="79"/>
  <c r="AF25" i="79"/>
  <c r="AF26" i="79"/>
  <c r="AF27" i="79"/>
  <c r="AF28" i="79"/>
  <c r="AF3" i="79"/>
  <c r="Z29" i="79"/>
  <c r="Y29" i="79"/>
  <c r="AE29" i="79"/>
  <c r="AD29" i="79"/>
  <c r="AE28" i="79"/>
  <c r="AC29" i="79"/>
  <c r="AD27" i="79"/>
  <c r="AB29" i="79"/>
  <c r="AA29" i="79"/>
  <c r="AB6" i="79"/>
  <c r="Z6" i="79"/>
  <c r="AC26" i="79"/>
  <c r="AC25" i="79"/>
  <c r="AC24" i="79"/>
  <c r="Y14" i="79"/>
  <c r="Y11" i="79"/>
  <c r="Y9" i="79"/>
  <c r="Y7" i="79"/>
  <c r="Y6" i="79"/>
  <c r="Y5" i="79"/>
  <c r="Y4" i="79"/>
  <c r="Y3" i="79"/>
  <c r="Q23" i="79"/>
  <c r="Q11" i="79"/>
  <c r="S11" i="79"/>
  <c r="Q10" i="79"/>
  <c r="R5" i="79"/>
  <c r="R4" i="79"/>
  <c r="R3" i="79"/>
  <c r="AB20" i="79"/>
  <c r="AB19" i="79"/>
  <c r="E22" i="79"/>
  <c r="AA22" i="79"/>
  <c r="AA21" i="79"/>
  <c r="E20" i="79"/>
  <c r="AA20" i="79"/>
  <c r="E19" i="79"/>
  <c r="AA19" i="79"/>
  <c r="AD38" i="3"/>
  <c r="I32" i="3"/>
  <c r="AA4" i="79"/>
  <c r="AA5" i="79"/>
  <c r="AA6" i="79"/>
  <c r="AA7" i="79"/>
  <c r="AA8" i="79"/>
  <c r="AA9" i="79"/>
  <c r="AA10" i="79"/>
  <c r="AA11" i="79"/>
  <c r="AA12" i="79"/>
  <c r="AA13" i="79"/>
  <c r="AA14" i="79"/>
  <c r="AA15" i="79"/>
  <c r="AA16" i="79"/>
  <c r="AA17" i="79"/>
  <c r="AA18" i="79"/>
  <c r="AA3" i="79"/>
  <c r="D29" i="79"/>
  <c r="E3" i="79"/>
  <c r="E4" i="79"/>
  <c r="E5" i="79"/>
  <c r="E6" i="79"/>
  <c r="E7" i="79"/>
  <c r="E8" i="79"/>
  <c r="E9" i="79"/>
  <c r="E10" i="79"/>
  <c r="E11" i="79"/>
  <c r="E12" i="79"/>
  <c r="E13" i="79"/>
  <c r="E14" i="79"/>
  <c r="E15" i="79"/>
  <c r="E16" i="79"/>
  <c r="E17" i="79"/>
  <c r="E18" i="79"/>
  <c r="I23" i="79"/>
  <c r="D30" i="79"/>
  <c r="C38" i="39"/>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24" i="43"/>
  <c r="G17" i="43"/>
  <c r="H17" i="43"/>
  <c r="I17" i="43"/>
  <c r="J17" i="43"/>
  <c r="C16" i="43"/>
  <c r="C5" i="43"/>
  <c r="C39" i="43"/>
  <c r="G39" i="43"/>
  <c r="C38" i="43"/>
  <c r="G38" i="43"/>
  <c r="C37" i="43"/>
  <c r="G37" i="43"/>
  <c r="D5" i="43"/>
  <c r="C36" i="43"/>
  <c r="G36" i="43"/>
  <c r="C35" i="43"/>
  <c r="G35" i="43"/>
  <c r="C34" i="43"/>
  <c r="G34" i="43"/>
  <c r="J53" i="67"/>
  <c r="J50" i="15"/>
  <c r="J51" i="15"/>
  <c r="I5" i="3"/>
  <c r="K5" i="3"/>
  <c r="AD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D8" i="71"/>
  <c r="AH6" i="71"/>
  <c r="AG6" i="71"/>
  <c r="AE6" i="71"/>
  <c r="AF6" i="71"/>
  <c r="AD6" i="71"/>
  <c r="L3" i="71"/>
  <c r="K3" i="71"/>
  <c r="I3" i="71"/>
  <c r="J3" i="7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4" i="3"/>
  <c r="G34" i="3"/>
  <c r="H35" i="3"/>
  <c r="G35" i="3"/>
  <c r="H36" i="3"/>
  <c r="G36" i="3"/>
  <c r="AC38" i="3"/>
  <c r="G38" i="3"/>
  <c r="M19" i="9"/>
  <c r="C118" i="9"/>
  <c r="C14" i="74"/>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9" i="1"/>
  <c r="F10" i="1"/>
  <c r="F11" i="1"/>
  <c r="F12" i="1"/>
  <c r="F13" i="1"/>
  <c r="D6" i="1"/>
  <c r="D9" i="1"/>
  <c r="D10" i="1"/>
  <c r="D11" i="1"/>
  <c r="D12" i="1"/>
  <c r="D13" i="1"/>
  <c r="D7"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AX38" i="3"/>
  <c r="AW38" i="3"/>
  <c r="AV38" i="3"/>
  <c r="H38" i="3"/>
  <c r="AX37" i="3"/>
  <c r="AW37" i="3"/>
  <c r="AV37" i="3"/>
  <c r="AC37" i="3"/>
  <c r="H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43" i="1"/>
  <c r="D78" i="9"/>
  <c r="F23" i="15"/>
  <c r="D24" i="15"/>
  <c r="E22" i="6"/>
  <c r="E23" i="6"/>
  <c r="E24" i="6"/>
  <c r="E25" i="6"/>
  <c r="E26" i="6"/>
  <c r="BC10" i="3"/>
  <c r="BD10" i="3"/>
  <c r="BB10" i="3"/>
  <c r="AC13" i="3"/>
  <c r="AC14" i="3"/>
  <c r="AC15" i="3"/>
  <c r="AC16" i="3"/>
  <c r="AC17"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60" i="40"/>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c r="R10" i="1"/>
  <c r="B10" i="1"/>
  <c r="E10" i="1"/>
  <c r="D1" i="66"/>
  <c r="E10" i="66"/>
  <c r="AZ80" i="3"/>
  <c r="AZ84" i="3"/>
  <c r="AZ88" i="3"/>
  <c r="AZ107" i="3"/>
  <c r="AZ111" i="3"/>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G30" i="6"/>
  <c r="G31" i="6"/>
  <c r="J56" i="9"/>
  <c r="J57" i="9"/>
  <c r="A24" i="51"/>
  <c r="B18" i="72"/>
  <c r="U29" i="34"/>
  <c r="D9" i="11"/>
  <c r="C9" i="11"/>
  <c r="J105" i="43"/>
  <c r="G102" i="43"/>
  <c r="L101" i="43"/>
  <c r="L109" i="43"/>
  <c r="H101" i="43"/>
  <c r="M101" i="43"/>
  <c r="M109" i="43"/>
  <c r="I101" i="43"/>
  <c r="I109" i="43"/>
  <c r="E101" i="43"/>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H107" i="39"/>
  <c r="I107" i="39"/>
  <c r="J107" i="39"/>
  <c r="K107" i="39"/>
  <c r="L107" i="39"/>
  <c r="M107"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22" i="6"/>
  <c r="D8" i="6"/>
  <c r="D23" i="6"/>
  <c r="D24" i="6"/>
  <c r="D14" i="6"/>
  <c r="D5" i="6"/>
  <c r="D6" i="6"/>
  <c r="D12" i="6"/>
  <c r="D9" i="6"/>
  <c r="D11" i="6"/>
  <c r="D10" i="6"/>
  <c r="D13" i="6"/>
  <c r="L19" i="9"/>
  <c r="D28" i="6"/>
  <c r="D29" i="6"/>
  <c r="E61" i="40"/>
  <c r="H25" i="6"/>
  <c r="R25" i="6"/>
  <c r="H22" i="6"/>
  <c r="H23" i="6"/>
  <c r="H26" i="6"/>
  <c r="H24" i="6"/>
  <c r="F34" i="11"/>
  <c r="C37" i="11"/>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C10"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B2" i="43"/>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J20" i="15"/>
  <c r="F63" i="15"/>
  <c r="C62" i="15"/>
  <c r="R16" i="1"/>
  <c r="I63" i="40"/>
  <c r="H65" i="40"/>
  <c r="C39" i="11"/>
  <c r="C43" i="11"/>
  <c r="C41" i="11"/>
  <c r="I70" i="39"/>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 i="36"/>
  <c r="B3" i="36"/>
  <c r="B2" i="35"/>
  <c r="B3" i="35"/>
  <c r="B2" i="37"/>
  <c r="B3" i="37"/>
  <c r="B2" i="34"/>
  <c r="B3" i="34"/>
  <c r="B2" i="70"/>
  <c r="B3" i="70"/>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103" i="9"/>
  <c r="D22" i="9"/>
  <c r="C21" i="9"/>
  <c r="C102" i="9"/>
  <c r="C57" i="68"/>
  <c r="C56" i="68"/>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<sst xmlns="http://schemas.openxmlformats.org/spreadsheetml/2006/main" count="8821" uniqueCount="3465">
  <si>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</si>
  <si>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</si>
  <si>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</si>
  <si>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</si>
  <si>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</si>
  <si>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</si>
  <si>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</si>
  <si>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</si>
  <si>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</si>
  <si>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</si>
  <si>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</si>
  <si>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</si>
  <si>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</si>
  <si>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</si>
  <si>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</si>
  <si>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</si>
  <si>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</si>
  <si>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</si>
  <si>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</si>
  <si>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</si>
  <si>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</si>
  <si>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</si>
  <si>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</si>
  <si>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</si>
  <si>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</si>
  <si>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</si>
  <si>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</si>
  <si>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</si>
  <si>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</si>
  <si>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</si>
  <si>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</si>
  <si>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</si>
  <si>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</si>
  <si>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</si>
  <si>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</si>
  <si>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</si>
  <si>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</si>
  <si>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</si>
  <si>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</si>
  <si>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</si>
  <si>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</si>
  <si>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</si>
  <si>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</si>
  <si>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</si>
  <si>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</si>
  <si>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</si>
  <si>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</si>
  <si>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</si>
  <si>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</si>
  <si>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</si>
  <si>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</si>
  <si>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</si>
  <si>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</si>
  <si>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</si>
  <si>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</si>
  <si>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</si>
  <si>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</si>
  <si>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</si>
  <si>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</si>
  <si>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</si>
  <si>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</si>
  <si>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</si>
  <si>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</si>
  <si>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</si>
  <si>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</si>
  <si>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</si>
  <si>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</si>
  <si>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</si>
  <si>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</si>
  <si>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</si>
  <si>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</si>
  <si>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</si>
  <si>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</si>
  <si>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</si>
  <si>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</si>
  <si>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</si>
  <si>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</si>
  <si>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</si>
  <si>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</si>
  <si>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</si>
  <si>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</si>
  <si>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</si>
  <si>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</si>
  <si>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</si>
  <si>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</si>
  <si>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</si>
  <si>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</si>
  <si>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</si>
  <si>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</si>
  <si>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</si>
  <si>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</si>
  <si>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</si>
  <si>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</si>
  <si>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</si>
  <si>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</si>
  <si>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</si>
  <si>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</si>
  <si>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</si>
  <si>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</si>
  <si>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</si>
  <si>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</si>
  <si>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</si>
  <si>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</si>
  <si>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</si>
  <si>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</si>
  <si>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</si>
  <si>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</si>
  <si>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</si>
  <si>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</si>
  <si>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</si>
  <si>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</si>
  <si>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</si>
  <si>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</si>
  <si>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</si>
  <si>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</si>
  <si>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</si>
  <si>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</si>
  <si>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</si>
  <si>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</si>
  <si>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</si>
  <si>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</si>
  <si>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</si>
  <si>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</si>
  <si>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</si>
  <si>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</si>
  <si>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</si>
  <si>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</si>
  <si>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</si>
  <si>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</si>
  <si>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</si>
  <si>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</si>
  <si>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</si>
  <si>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</si>
  <si>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</si>
  <si>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</si>
  <si>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</si>
  <si>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</si>
  <si>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</si>
  <si>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</si>
  <si>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</si>
  <si>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</si>
  <si>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</si>
  <si>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</si>
  <si>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</si>
  <si>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</si>
  <si>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</si>
  <si>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</si>
  <si>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</si>
  <si>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</si>
  <si>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</si>
  <si>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</si>
  <si>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</si>
  <si>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</si>
  <si>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</si>
  <si>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</si>
  <si>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</si>
  <si>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</si>
  <si>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</si>
  <si>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</si>
  <si>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</si>
  <si>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</si>
  <si>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</si>
  <si>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</si>
  <si>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</si>
  <si>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</si>
  <si>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</si>
  <si>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</si>
  <si>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</si>
  <si>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</si>
  <si>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</si>
  <si>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</si>
  <si>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</si>
  <si>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</si>
  <si>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</si>
  <si>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</si>
  <si>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</si>
  <si>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</si>
  <si>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</si>
  <si>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</si>
  <si>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</si>
  <si>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</si>
  <si>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</si>
  <si>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</si>
  <si>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</si>
  <si>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</si>
  <si>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</si>
  <si>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</si>
  <si>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</si>
  <si>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</si>
  <si>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</si>
  <si>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</si>
  <si>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</si>
  <si>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</si>
  <si>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</si>
  <si>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</si>
  <si>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</si>
  <si>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</si>
  <si>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</si>
  <si>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</si>
  <si>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</si>
  <si>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</si>
  <si>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</si>
  <si>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</si>
  <si>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</si>
  <si>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</si>
  <si>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</si>
  <si>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</si>
  <si>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</si>
  <si>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</si>
  <si>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</si>
  <si>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</si>
  <si>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</si>
  <si>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</si>
  <si>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</si>
  <si>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</si>
  <si>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</si>
  <si>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</si>
  <si>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</si>
  <si>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</si>
  <si>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</si>
  <si>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</si>
  <si>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</si>
  <si>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</si>
  <si>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</si>
  <si>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</si>
  <si>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</si>
  <si>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</si>
  <si>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</si>
  <si>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</si>
  <si>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</si>
  <si>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</si>
  <si>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</si>
  <si>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</si>
  <si>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</si>
  <si>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</si>
  <si>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</si>
  <si>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</si>
  <si>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</si>
  <si>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</si>
  <si>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</si>
  <si>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</si>
  <si>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</si>
  <si>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</si>
  <si>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</si>
  <si>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</si>
  <si>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</si>
  <si>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</si>
  <si>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</si>
  <si>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</si>
  <si>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</si>
  <si>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</si>
  <si>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</si>
  <si>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</si>
  <si>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</si>
  <si>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</si>
  <si>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</si>
  <si>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</si>
  <si>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</si>
  <si>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</si>
  <si>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</si>
  <si>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</si>
  <si>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</si>
  <si>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</si>
  <si>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</si>
  <si>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</si>
  <si>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</si>
  <si>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</si>
  <si>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</si>
  <si>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</si>
  <si>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</si>
  <si>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</si>
  <si>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</si>
  <si>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</si>
  <si>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</si>
  <si>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</si>
  <si>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</si>
  <si>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</si>
  <si>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</si>
  <si>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</si>
  <si>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</si>
  <si>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</si>
  <si>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</si>
  <si>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</si>
  <si>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</si>
  <si>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</si>
  <si>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</si>
  <si>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</si>
  <si>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</si>
  <si>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</si>
  <si>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</si>
  <si>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</si>
  <si>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</si>
  <si>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</si>
  <si>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</si>
  <si>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</si>
  <si>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</si>
  <si>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</si>
  <si>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</si>
  <si>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</si>
  <si>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</si>
  <si>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</si>
  <si>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</si>
  <si>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</si>
  <si>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</si>
  <si>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</si>
  <si>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</si>
  <si>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</si>
  <si>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</si>
  <si>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</si>
  <si>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</si>
  <si>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</si>
  <si>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</si>
  <si>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</si>
  <si>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</si>
  <si>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</si>
  <si>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</si>
  <si>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</si>
  <si>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</si>
  <si>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</si>
  <si>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</si>
  <si>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</si>
  <si>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</si>
  <si>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</si>
  <si>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</si>
  <si>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</si>
  <si>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</si>
  <si>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</si>
  <si>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</si>
  <si>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</si>
  <si>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</si>
  <si>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</si>
  <si>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</si>
  <si>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</si>
  <si>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</si>
  <si>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</si>
  <si>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</si>
  <si>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</si>
  <si>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</si>
  <si>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</si>
  <si>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</si>
  <si>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</si>
  <si>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</si>
  <si>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</si>
  <si>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</si>
  <si>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</si>
  <si>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</si>
  <si>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</si>
  <si>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</si>
  <si>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</si>
  <si>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</si>
  <si>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</si>
  <si>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</si>
  <si>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</si>
  <si>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</si>
  <si>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</si>
  <si>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</si>
  <si>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</si>
  <si>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</si>
  <si>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</si>
  <si>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</si>
  <si>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</si>
  <si>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</si>
  <si>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</si>
  <si>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</si>
  <si>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</si>
  <si>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</si>
  <si>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</si>
  <si>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</si>
  <si>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</si>
  <si>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</si>
  <si>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</si>
  <si>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</si>
  <si>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</si>
  <si>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</si>
  <si>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</si>
  <si>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</si>
  <si>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</si>
  <si>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</si>
  <si>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</si>
  <si>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</si>
  <si>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</si>
  <si>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</si>
  <si>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</si>
  <si>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</si>
  <si>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</si>
  <si>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</si>
  <si>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</si>
  <si>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</si>
  <si>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</si>
  <si>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</si>
  <si>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</si>
  <si>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</si>
  <si>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</si>
  <si>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</si>
  <si>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</si>
  <si>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</si>
  <si>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</si>
  <si>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</si>
  <si>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</si>
  <si>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</si>
  <si>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</si>
  <si>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</si>
  <si>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</si>
  <si>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</si>
  <si>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</si>
  <si>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</si>
  <si>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</si>
  <si>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</si>
  <si>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</si>
  <si>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</si>
  <si>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</si>
  <si>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</si>
  <si>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</si>
  <si>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</si>
  <si>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</si>
  <si>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</si>
  <si>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</si>
  <si>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</si>
  <si>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</si>
  <si>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</si>
  <si>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</si>
  <si>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</si>
  <si>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</si>
  <si>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</si>
  <si>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</si>
  <si>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</si>
  <si>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</si>
  <si>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</si>
  <si>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</si>
  <si>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</si>
  <si>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</si>
  <si>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</si>
  <si>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</si>
  <si>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</si>
  <si>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</si>
  <si>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</si>
  <si>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</si>
  <si>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</si>
  <si>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</si>
  <si>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</si>
  <si>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</si>
  <si>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</si>
  <si>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</si>
  <si>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</si>
  <si>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</si>
  <si>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</si>
  <si>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</si>
  <si>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</si>
  <si>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</si>
  <si>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</si>
  <si>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</si>
  <si>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</si>
  <si>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</si>
  <si>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</si>
  <si>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</si>
  <si>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</si>
  <si>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</si>
  <si>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</si>
  <si>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</si>
  <si>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</si>
  <si>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</si>
  <si>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</si>
  <si>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</si>
  <si>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</si>
  <si>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</si>
  <si>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</si>
  <si>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</si>
  <si>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</si>
  <si>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</si>
  <si>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</si>
  <si>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</si>
  <si>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</si>
  <si>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</si>
  <si>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</si>
  <si>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</si>
  <si>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</si>
  <si>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</si>
  <si>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</si>
  <si>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</si>
  <si>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</si>
  <si>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</si>
  <si>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</si>
  <si>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</si>
  <si>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</si>
  <si>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</si>
  <si>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</si>
  <si>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</si>
  <si>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</si>
  <si>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</si>
  <si>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</si>
  <si>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</si>
  <si>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</si>
  <si>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</si>
  <si>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</si>
  <si>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</si>
  <si>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</si>
  <si>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</si>
  <si>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</si>
  <si>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</si>
  <si>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</si>
  <si>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</si>
  <si>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</si>
  <si>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</si>
  <si>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</si>
  <si>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</si>
  <si>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</si>
  <si>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</si>
  <si>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</si>
  <si>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</si>
  <si>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</si>
  <si>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</si>
  <si>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</si>
  <si>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</si>
  <si>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</si>
  <si>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</si>
  <si>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</si>
  <si>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</si>
  <si>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</si>
  <si>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</si>
  <si>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</si>
  <si>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</si>
  <si>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</si>
  <si>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</si>
  <si>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</si>
  <si>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</si>
  <si>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</si>
  <si>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</si>
  <si>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</si>
  <si>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</si>
  <si>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</si>
  <si>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</si>
  <si>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</si>
  <si>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</si>
  <si>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</si>
  <si>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</si>
  <si>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</si>
  <si>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</si>
  <si>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</si>
  <si>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</si>
  <si>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</si>
  <si>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</si>
  <si>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</si>
  <si>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</si>
  <si>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</si>
  <si>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</si>
  <si>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</si>
  <si>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</si>
  <si>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</si>
  <si>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</si>
  <si>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</si>
  <si>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</si>
  <si>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</si>
  <si>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</si>
  <si>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</si>
  <si>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</si>
  <si>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</si>
  <si>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</si>
  <si>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</si>
  <si>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</si>
  <si>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</si>
  <si>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</si>
  <si>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</si>
  <si>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</si>
  <si>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</si>
  <si>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</si>
  <si>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</si>
  <si>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</si>
  <si>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</si>
  <si>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</si>
  <si>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</si>
  <si>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</si>
  <si>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</si>
  <si>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</si>
  <si>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</si>
  <si>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</si>
  <si>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</si>
  <si>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</si>
  <si>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</si>
  <si>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</si>
  <si>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</si>
  <si>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</si>
  <si>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</si>
  <si>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</si>
  <si>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</si>
  <si>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</si>
  <si>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</si>
  <si>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</si>
  <si>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</si>
  <si>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</si>
  <si>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</si>
  <si>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</si>
  <si>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</si>
  <si>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</si>
  <si>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</si>
  <si>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</si>
  <si>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</si>
  <si>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</si>
  <si>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</si>
  <si>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</si>
  <si>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</si>
  <si>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</si>
  <si>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</si>
  <si>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</si>
  <si>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</si>
  <si>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</si>
  <si>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</si>
  <si>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</si>
  <si>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</si>
  <si>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</si>
  <si>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</si>
  <si>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</si>
  <si>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</si>
  <si>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</si>
  <si>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</si>
  <si>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</si>
  <si>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</si>
  <si>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</si>
  <si>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</si>
  <si>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</si>
  <si>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</si>
  <si>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</si>
  <si>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</si>
  <si>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</si>
  <si>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</si>
  <si>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</si>
  <si>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</si>
  <si>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</si>
  <si>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</si>
  <si>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</si>
  <si>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</si>
  <si>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</si>
  <si>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</si>
  <si>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</si>
  <si>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</si>
  <si>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</si>
  <si>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</si>
  <si>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</si>
  <si>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</si>
  <si>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</si>
  <si>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</si>
  <si>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</si>
  <si>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</si>
  <si>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</si>
  <si>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</si>
  <si>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</si>
  <si>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</si>
  <si>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</si>
  <si>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</si>
  <si>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</si>
  <si>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</si>
  <si>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</si>
  <si>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</si>
  <si>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</si>
  <si>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</si>
  <si>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</si>
  <si>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</si>
  <si>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</si>
  <si>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</si>
  <si>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</si>
  <si>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</si>
  <si>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</si>
  <si>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</si>
  <si>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</si>
  <si>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</si>
  <si>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</si>
  <si>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</si>
  <si>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</si>
  <si>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</si>
  <si>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</si>
  <si>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</si>
  <si>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</si>
  <si>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</si>
  <si>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</si>
  <si>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</si>
  <si>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</si>
  <si>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</si>
  <si>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</si>
  <si>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</si>
  <si>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</si>
  <si>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</si>
  <si>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</si>
  <si>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</si>
  <si>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</si>
  <si>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</si>
  <si>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</si>
  <si>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</si>
  <si>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</si>
  <si>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</si>
  <si>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</si>
  <si>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</si>
  <si>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</si>
  <si>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</si>
  <si>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</si>
  <si>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</si>
  <si>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</si>
  <si>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</si>
  <si>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</si>
  <si>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</si>
  <si>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</si>
  <si>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</si>
  <si>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</si>
  <si>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</si>
  <si>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</si>
  <si>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</si>
  <si>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</si>
  <si>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</si>
  <si>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</si>
  <si>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</si>
  <si>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</si>
  <si>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</si>
  <si>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</si>
  <si>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</si>
  <si>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</si>
  <si>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</si>
  <si>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</si>
  <si>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</si>
  <si>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</si>
  <si>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</si>
  <si>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</si>
  <si>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</si>
  <si>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</si>
  <si>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</si>
  <si>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</si>
  <si>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</si>
  <si>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</si>
  <si>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</si>
  <si>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</si>
  <si>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</si>
  <si>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</si>
  <si>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</si>
  <si>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</si>
  <si>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</si>
  <si>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</si>
  <si>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</si>
  <si>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</si>
  <si>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</si>
  <si>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</si>
  <si>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</si>
  <si>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</si>
  <si>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</si>
  <si>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</si>
  <si>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</si>
  <si>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</si>
  <si>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</si>
  <si>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</si>
  <si>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</si>
  <si>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</si>
  <si>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</si>
  <si>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</si>
  <si>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</si>
  <si>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</si>
  <si>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</si>
  <si>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</si>
  <si>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</si>
  <si>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</si>
  <si>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</si>
  <si>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</si>
  <si>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</si>
  <si>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</si>
  <si>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</si>
  <si>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</si>
  <si>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</si>
  <si>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</si>
  <si>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</si>
  <si>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</si>
  <si>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</si>
  <si>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</si>
  <si>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</si>
  <si>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</si>
  <si>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</si>
  <si>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</si>
  <si>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</si>
  <si>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</si>
  <si>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</si>
  <si>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</si>
  <si>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</si>
  <si>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</si>
  <si>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</si>
  <si>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</si>
  <si>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</si>
  <si>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</si>
  <si>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</si>
  <si>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</si>
  <si>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</si>
  <si>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</si>
  <si>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</si>
  <si>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</si>
  <si>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</si>
  <si>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</si>
  <si>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</si>
  <si>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</si>
  <si>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</si>
  <si>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</si>
  <si>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</si>
  <si>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</si>
  <si>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</si>
  <si>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</si>
  <si>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</si>
  <si>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</si>
  <si>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</si>
  <si>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</si>
  <si>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</si>
  <si>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</si>
  <si>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</si>
  <si>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</si>
  <si>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</si>
  <si>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</si>
  <si>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</si>
  <si>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</si>
  <si>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</si>
  <si>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</si>
  <si>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</si>
  <si>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</si>
  <si>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</si>
  <si>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</si>
  <si>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</si>
  <si>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</si>
  <si>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</si>
  <si>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</si>
  <si>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</si>
  <si>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</si>
  <si>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</si>
  <si>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</si>
  <si>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</si>
  <si>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</si>
  <si>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</si>
  <si>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</si>
  <si>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</si>
  <si>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</si>
  <si>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</si>
  <si>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</si>
  <si>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</si>
  <si>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</si>
  <si>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</si>
  <si>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</si>
  <si>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</si>
  <si>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</si>
  <si>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</si>
  <si>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</si>
  <si>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</si>
  <si>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</si>
  <si>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</si>
  <si>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</si>
  <si>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</si>
  <si>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</si>
  <si>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</si>
  <si>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</si>
  <si>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</si>
  <si>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</si>
  <si>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</si>
  <si>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</si>
  <si>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</si>
  <si>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</si>
  <si>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</si>
  <si>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</si>
  <si>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</si>
  <si>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</si>
  <si>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</si>
  <si>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</si>
  <si>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</si>
  <si>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</si>
  <si>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</si>
  <si>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</si>
  <si>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</si>
  <si>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</si>
  <si>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</si>
  <si>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</si>
  <si>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</si>
  <si>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</si>
  <si>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</si>
  <si>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</si>
  <si>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</si>
  <si>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</si>
  <si>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</si>
  <si>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</si>
  <si>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</si>
  <si>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</si>
  <si>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</si>
  <si>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</si>
  <si>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</si>
  <si>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</si>
  <si>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</si>
  <si>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</si>
  <si>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</si>
  <si>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</si>
  <si>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</si>
  <si>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</si>
  <si>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</si>
  <si>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</si>
  <si>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</si>
  <si>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</si>
  <si>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</si>
  <si>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</si>
  <si>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</si>
  <si>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</si>
  <si>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</si>
  <si>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</si>
  <si>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</si>
  <si>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</si>
  <si>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</si>
  <si>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</si>
  <si>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</si>
  <si>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</si>
  <si>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</si>
  <si>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</si>
  <si>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</si>
  <si>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</si>
  <si>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</si>
  <si>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</si>
  <si>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</si>
  <si>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</si>
  <si>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</si>
  <si>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</si>
  <si>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</si>
  <si>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</si>
  <si>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</si>
  <si>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</si>
  <si>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</si>
  <si>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</si>
  <si>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</si>
  <si>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</si>
  <si>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</si>
  <si>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</si>
  <si>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</si>
  <si>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</si>
  <si>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</si>
  <si>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</si>
  <si>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</si>
  <si>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</si>
  <si>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</si>
  <si>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</si>
  <si>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</si>
  <si>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</si>
  <si>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</si>
  <si>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</si>
  <si>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</si>
  <si>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</si>
  <si>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</si>
  <si>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</si>
  <si>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</si>
  <si>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</si>
  <si>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</si>
  <si>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</si>
  <si>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</si>
  <si>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</si>
  <si>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</si>
  <si>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</si>
  <si>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</si>
  <si>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</si>
  <si>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</si>
  <si>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</si>
  <si>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</si>
  <si>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</si>
  <si>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</si>
  <si>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</si>
  <si>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</si>
  <si>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</si>
  <si>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</si>
  <si>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</si>
  <si>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</si>
  <si>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</si>
  <si>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</si>
  <si>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</si>
  <si>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</si>
  <si>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</si>
  <si>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</si>
  <si>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</si>
  <si>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</si>
  <si>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</si>
  <si>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</si>
  <si>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</si>
  <si>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</si>
  <si>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</si>
  <si>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</si>
  <si>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</si>
  <si>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</si>
  <si>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</si>
  <si>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</si>
  <si>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</si>
  <si>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</si>
  <si>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</si>
  <si>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</si>
  <si>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</si>
  <si>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</si>
  <si>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</si>
  <si>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</si>
  <si>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</si>
  <si>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</si>
  <si>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</si>
  <si>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</si>
  <si>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</si>
  <si>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</si>
  <si>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</si>
  <si>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</si>
  <si>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</si>
  <si>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</si>
  <si>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</si>
  <si>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</si>
  <si>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</si>
  <si>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</si>
  <si>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</si>
  <si>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</si>
  <si>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</si>
  <si>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</si>
  <si>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</si>
  <si>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</si>
  <si>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</si>
  <si>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</si>
  <si>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</si>
  <si>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</si>
  <si>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</si>
  <si>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</si>
  <si>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</si>
  <si>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</si>
  <si>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</si>
  <si>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</si>
  <si>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</si>
  <si>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</si>
  <si>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</si>
  <si>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</si>
  <si>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</si>
  <si>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</si>
  <si>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</si>
  <si>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</si>
  <si>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</si>
  <si>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</si>
  <si>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</si>
  <si>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</si>
  <si>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</si>
  <si>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</si>
  <si>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</si>
  <si>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</si>
  <si>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</si>
  <si>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</si>
  <si>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</si>
  <si>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</si>
  <si>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</si>
  <si>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</si>
  <si>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</si>
  <si>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</si>
  <si>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</si>
  <si>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</si>
  <si>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</si>
  <si>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</si>
  <si>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</si>
  <si>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</si>
  <si>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</si>
  <si>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</si>
  <si>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</si>
  <si>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</si>
  <si>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</si>
  <si>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</si>
  <si>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</si>
  <si>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</si>
  <si>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</si>
  <si>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</si>
  <si>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</si>
  <si>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</si>
  <si>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</si>
  <si>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</si>
  <si>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</si>
  <si>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</si>
  <si>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</si>
  <si>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</si>
  <si>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</si>
  <si>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</si>
  <si>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</si>
  <si>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</si>
  <si>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</si>
  <si>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</si>
  <si>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</si>
  <si>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</si>
  <si>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</si>
  <si>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</si>
  <si>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</si>
  <si>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</si>
  <si>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</si>
  <si>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</si>
  <si>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</si>
  <si>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</si>
  <si>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</si>
  <si>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</si>
  <si>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</si>
  <si>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</si>
  <si>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</si>
  <si>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</si>
  <si>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</si>
  <si>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</si>
  <si>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</si>
  <si>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</si>
  <si>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</si>
  <si>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</si>
  <si>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</si>
  <si>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</si>
  <si>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</si>
  <si>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</si>
  <si>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</si>
  <si>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</si>
  <si>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</si>
  <si>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</si>
  <si>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</si>
  <si>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</si>
  <si>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</si>
  <si>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</si>
  <si>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</si>
  <si>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</si>
  <si>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</si>
  <si>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</si>
  <si>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</si>
  <si>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</si>
  <si>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</si>
  <si>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</si>
  <si>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</si>
  <si>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</si>
  <si>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</si>
  <si>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</si>
  <si>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</si>
  <si>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</si>
  <si>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</si>
  <si>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</si>
  <si>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</si>
  <si>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</si>
  <si>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</si>
  <si>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</si>
  <si>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</si>
  <si>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</si>
  <si>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</si>
  <si>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</si>
  <si>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</si>
  <si>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</si>
  <si>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</si>
  <si>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</si>
  <si>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</si>
  <si>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</si>
  <si>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</si>
  <si>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</si>
  <si>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</si>
  <si>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</si>
  <si>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</si>
  <si>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</si>
  <si>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</si>
  <si>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</si>
  <si>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</si>
  <si>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</si>
  <si>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</si>
  <si>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</si>
  <si>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</si>
  <si>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</si>
  <si>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</si>
  <si>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</si>
  <si>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</si>
  <si>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</si>
  <si>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</si>
  <si>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</si>
  <si>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</si>
  <si>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</si>
  <si>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</si>
  <si>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</si>
  <si>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</si>
  <si>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</si>
  <si>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</si>
  <si>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</si>
  <si>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</si>
  <si>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</si>
  <si>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</si>
  <si>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</si>
  <si>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</si>
  <si>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</si>
  <si>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</si>
  <si>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</si>
  <si>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</si>
  <si>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</si>
  <si>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</si>
  <si>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</si>
  <si>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</si>
  <si>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</si>
  <si>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</si>
  <si>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</si>
  <si>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</si>
  <si>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</si>
  <si>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</si>
  <si>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</si>
  <si>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</si>
  <si>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</si>
  <si>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</si>
  <si>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</si>
  <si>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</si>
  <si>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</si>
  <si>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</si>
  <si>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</si>
  <si>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</si>
  <si>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</si>
  <si>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</si>
  <si>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</si>
  <si>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</si>
  <si>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</si>
  <si>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</si>
  <si>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</si>
  <si>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</si>
  <si>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</si>
  <si>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</si>
  <si>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</si>
  <si>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</si>
  <si>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</si>
  <si>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</si>
  <si>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</si>
  <si>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</si>
  <si>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</si>
  <si>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</si>
  <si>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</si>
  <si>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</si>
  <si>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</si>
  <si>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</si>
  <si>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</si>
  <si>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</si>
  <si>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</si>
  <si>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</si>
  <si>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</si>
  <si>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</si>
  <si>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</si>
  <si>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</si>
  <si>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</si>
  <si>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</si>
  <si>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</si>
  <si>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</si>
  <si>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</si>
  <si>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</si>
  <si>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</si>
  <si>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</si>
  <si>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</si>
  <si>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</si>
  <si>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</si>
  <si>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</si>
  <si>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</si>
  <si>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</si>
  <si>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</si>
  <si>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</si>
  <si>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</si>
  <si>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</si>
  <si>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</si>
  <si>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</si>
  <si>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</si>
  <si>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</si>
  <si>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</si>
  <si>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</si>
  <si>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</si>
  <si>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</si>
  <si>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</si>
  <si>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</si>
  <si>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</si>
  <si>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</si>
  <si>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</si>
  <si>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</si>
  <si>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</si>
  <si>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</si>
  <si>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</si>
  <si>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</si>
  <si>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</si>
  <si>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</si>
  <si>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</si>
  <si>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</si>
  <si>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</si>
  <si>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</si>
  <si>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</si>
  <si>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</si>
  <si>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</si>
  <si>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</si>
  <si>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</si>
  <si>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</si>
  <si>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</si>
  <si>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</si>
  <si>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</si>
  <si>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</si>
  <si>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</si>
  <si>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</si>
  <si>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</si>
  <si>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</si>
  <si>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</si>
  <si>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</si>
  <si>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</si>
  <si>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</si>
  <si>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</si>
  <si>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</si>
  <si>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</si>
  <si>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</si>
  <si>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</si>
  <si>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</si>
  <si>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</si>
  <si>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</si>
  <si>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</si>
  <si>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</si>
  <si>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</si>
  <si>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</si>
  <si>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</si>
  <si>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</si>
  <si>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</si>
  <si>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</si>
  <si>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</si>
  <si>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</si>
  <si>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</si>
  <si>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</si>
  <si>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</si>
  <si>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</si>
  <si>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</si>
  <si>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</si>
  <si>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</si>
  <si>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</si>
  <si>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</si>
  <si>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</si>
  <si>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</si>
  <si>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</si>
  <si>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</si>
  <si>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</si>
  <si>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</si>
  <si>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</si>
  <si>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</si>
  <si>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</si>
  <si>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</si>
  <si>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</si>
  <si>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</si>
  <si>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</si>
  <si>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</si>
  <si>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</si>
  <si>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</si>
  <si>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</si>
  <si>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</si>
  <si>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</si>
  <si>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</si>
  <si>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</si>
  <si>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</si>
  <si>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</si>
  <si>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</si>
  <si>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</si>
  <si>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</si>
  <si>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</si>
  <si>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</si>
  <si>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</si>
  <si>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</si>
  <si>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</si>
  <si>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</si>
  <si>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</si>
  <si>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</si>
  <si>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</si>
  <si>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</si>
  <si>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</si>
  <si>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</si>
  <si>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</si>
  <si>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</si>
  <si>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</si>
  <si>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</si>
  <si>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</si>
  <si>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</si>
  <si>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</si>
  <si>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</si>
  <si>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</si>
  <si>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</si>
  <si>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</si>
  <si>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</si>
  <si>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</si>
  <si>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</si>
  <si>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</si>
  <si>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</si>
  <si>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</si>
  <si>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</si>
  <si>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</si>
  <si>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</si>
  <si>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</si>
  <si>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</si>
  <si>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</si>
  <si>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</si>
  <si>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</si>
  <si>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</si>
  <si>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</si>
  <si>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</si>
  <si>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</si>
  <si>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</si>
  <si>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</si>
  <si>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</si>
  <si>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</si>
  <si>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</si>
  <si>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</si>
  <si>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</si>
  <si>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</si>
  <si>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</si>
  <si>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</si>
  <si>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</si>
  <si>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</si>
  <si>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</si>
  <si>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</si>
  <si>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</si>
  <si>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</si>
  <si>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</si>
  <si>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</si>
  <si>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</si>
  <si>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</si>
  <si>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</si>
  <si>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</si>
  <si>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</si>
  <si>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</si>
  <si>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</si>
  <si>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</si>
  <si>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</si>
  <si>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</si>
  <si>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</si>
  <si>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</si>
  <si>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</si>
  <si>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</si>
  <si>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</si>
  <si>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</si>
  <si>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</si>
  <si>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</si>
  <si>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</si>
  <si>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</si>
  <si>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</si>
  <si>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</si>
  <si>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</si>
  <si>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</si>
  <si>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</si>
  <si>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</si>
  <si>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</si>
  <si>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</si>
  <si>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</si>
  <si>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</si>
  <si>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</si>
  <si>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</si>
  <si>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</si>
  <si>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</si>
  <si>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</si>
  <si>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</si>
  <si>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</si>
  <si>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</si>
  <si>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</si>
  <si>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</si>
  <si>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</si>
  <si>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</si>
  <si>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</si>
  <si>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</si>
  <si>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</si>
  <si>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</si>
  <si>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</si>
  <si>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</si>
  <si>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</si>
  <si>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</si>
  <si>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</si>
  <si>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</si>
  <si>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</si>
  <si>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</si>
  <si>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</si>
  <si>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</si>
  <si>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</si>
  <si>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</si>
  <si>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</si>
  <si>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</si>
  <si>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</si>
  <si>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</si>
  <si>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</si>
  <si>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</si>
  <si>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</si>
  <si>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</si>
  <si>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</si>
  <si>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</si>
  <si>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</si>
  <si>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</si>
  <si>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</si>
  <si>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</si>
  <si>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</si>
  <si>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</si>
  <si>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</si>
  <si>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</si>
  <si>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</si>
  <si>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</si>
  <si>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</si>
  <si>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</si>
  <si>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</si>
  <si>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</si>
  <si>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</si>
  <si>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</si>
  <si>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</si>
  <si>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</si>
  <si>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</si>
  <si>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</si>
  <si>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</si>
  <si>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</si>
  <si>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</si>
  <si>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</si>
  <si>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</si>
  <si>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</si>
  <si>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</si>
  <si>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</si>
  <si>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</si>
  <si>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</si>
  <si>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</si>
  <si>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</si>
  <si>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</si>
  <si>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</si>
  <si>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</si>
  <si>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</si>
  <si>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</si>
  <si>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</si>
  <si>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</si>
  <si>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</si>
  <si>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</si>
  <si>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</si>
  <si>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</si>
  <si>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</si>
  <si>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</si>
  <si>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</si>
  <si>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</si>
  <si>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</si>
  <si>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</si>
  <si>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</si>
  <si>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</si>
  <si>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</si>
  <si>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</si>
  <si>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</si>
  <si>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</si>
  <si>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</si>
  <si>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</si>
  <si>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</si>
  <si>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</si>
  <si>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</si>
  <si>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</si>
  <si>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</si>
  <si>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</si>
  <si>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</si>
  <si>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</si>
  <si>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</si>
  <si>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</si>
  <si>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</si>
  <si>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</si>
  <si>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</si>
  <si>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</si>
  <si>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</si>
  <si>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</si>
  <si>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</si>
  <si>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</si>
  <si>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</si>
  <si>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</si>
  <si>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</si>
  <si>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</si>
  <si>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</si>
  <si>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</si>
  <si>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</si>
  <si>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</si>
  <si>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</si>
  <si>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</si>
  <si>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</si>
  <si>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</si>
  <si>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</si>
  <si>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</si>
  <si>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</si>
  <si>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</si>
  <si>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</si>
  <si>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</si>
  <si>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</si>
  <si>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</si>
  <si>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</si>
  <si>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</si>
  <si>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</si>
  <si>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</si>
  <si>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</si>
  <si>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</si>
  <si>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</si>
  <si>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</si>
  <si>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</si>
  <si>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</si>
  <si>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</si>
  <si>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</si>
  <si>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</si>
  <si>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</si>
  <si>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</si>
  <si>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</si>
  <si>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</si>
  <si>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</si>
  <si>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</si>
  <si>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</si>
  <si>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</si>
  <si>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</si>
  <si>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</si>
  <si>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</si>
  <si>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</si>
  <si>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</si>
  <si>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</si>
  <si>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</si>
  <si>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</si>
  <si>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</si>
  <si>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</si>
  <si>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</si>
  <si>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</si>
  <si>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</si>
  <si>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</si>
  <si>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</si>
  <si>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</si>
  <si>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</si>
  <si>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</si>
  <si>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</si>
  <si>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</si>
  <si>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</si>
  <si>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</si>
  <si>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</si>
  <si>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</si>
  <si>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</si>
  <si>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</si>
  <si>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</si>
  <si>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</si>
  <si>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</si>
  <si>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</si>
  <si>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</si>
  <si>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</si>
  <si>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</si>
  <si>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</si>
  <si>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</si>
  <si>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</si>
  <si>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</si>
  <si>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</si>
  <si>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</si>
  <si>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</si>
  <si>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</si>
  <si>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</si>
  <si>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</si>
  <si>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</si>
  <si>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</si>
  <si>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</si>
  <si>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</si>
  <si>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</si>
  <si>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</si>
  <si>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</si>
  <si>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</si>
  <si>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</si>
  <si>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</si>
  <si>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</si>
  <si>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</si>
  <si>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</si>
  <si>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</si>
  <si>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</si>
  <si>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</si>
  <si>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</si>
  <si>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</si>
  <si>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</si>
  <si>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</si>
  <si>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</si>
  <si>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</si>
  <si>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</si>
  <si>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</si>
  <si>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</si>
  <si>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</si>
  <si>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</si>
  <si>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</si>
  <si>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</si>
  <si>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</si>
  <si>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</si>
  <si>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</si>
  <si>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</si>
  <si>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</si>
  <si>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</si>
  <si>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</si>
  <si>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</si>
  <si>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</si>
  <si>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</si>
  <si>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</si>
  <si>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</si>
  <si>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</si>
  <si>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</si>
  <si>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</si>
  <si>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</si>
  <si>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</si>
  <si>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</si>
  <si>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</si>
  <si>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</si>
  <si>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</si>
  <si>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</si>
  <si>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</si>
  <si>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</si>
  <si>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</si>
  <si>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</si>
  <si>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</si>
  <si>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</si>
  <si>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</si>
  <si>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</si>
  <si>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</si>
  <si>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</si>
  <si>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</si>
  <si>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</si>
  <si>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</si>
  <si>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</si>
  <si>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</si>
  <si>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</si>
  <si>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</si>
  <si>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</si>
  <si>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</si>
  <si>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</si>
  <si>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</si>
  <si>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</si>
  <si>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</si>
  <si>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</si>
  <si>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</si>
  <si>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</si>
  <si>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</si>
  <si>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</si>
  <si>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</si>
  <si>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</si>
  <si>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</si>
  <si>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</si>
  <si>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</si>
  <si>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</si>
  <si>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</si>
  <si>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</si>
  <si>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</si>
  <si>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</si>
  <si>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</si>
  <si>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</si>
  <si>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</si>
  <si>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</si>
  <si>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</si>
  <si>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</si>
  <si>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</si>
  <si>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</si>
  <si>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</si>
  <si>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</si>
  <si>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</si>
  <si>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</si>
  <si>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</si>
  <si>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</si>
  <si>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</si>
  <si>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</si>
  <si>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</si>
  <si>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</si>
  <si>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</si>
  <si>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</si>
  <si>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</si>
  <si>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</si>
  <si>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</si>
  <si>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</si>
  <si>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</si>
  <si>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</si>
  <si>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</si>
  <si>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</si>
  <si>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</si>
  <si>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</si>
  <si>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</si>
  <si>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</si>
  <si>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</si>
  <si>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</si>
  <si>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</si>
  <si>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</si>
  <si>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</si>
  <si>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</si>
  <si>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</si>
  <si>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</si>
  <si>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</si>
  <si>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</si>
  <si>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</si>
  <si>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</si>
  <si>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</si>
  <si>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</si>
  <si>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</si>
  <si>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</si>
  <si>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</si>
  <si>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</si>
  <si>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</si>
  <si>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</si>
  <si>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</si>
  <si>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</si>
  <si>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</si>
  <si>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</si>
  <si>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</si>
  <si>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</si>
  <si>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</si>
  <si>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</si>
  <si>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</si>
  <si>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</si>
  <si>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</si>
  <si>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</si>
  <si>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</si>
  <si>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</si>
  <si>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</si>
  <si>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</si>
  <si>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</si>
  <si>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</si>
  <si>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</si>
  <si>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</si>
  <si>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</si>
  <si>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</si>
  <si>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</si>
  <si>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</si>
  <si>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</si>
  <si>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</si>
  <si>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</si>
  <si>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</si>
  <si>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</si>
  <si>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</si>
  <si>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</si>
  <si>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</si>
  <si>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</si>
  <si>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</si>
  <si>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</si>
  <si>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</si>
  <si>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</si>
  <si>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</si>
  <si>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</si>
  <si>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</si>
  <si>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</si>
  <si>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</si>
  <si>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</si>
  <si>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</si>
  <si>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</si>
  <si>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</si>
  <si>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</si>
  <si>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</si>
  <si>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</si>
  <si>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</si>
  <si>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</si>
  <si>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</si>
  <si>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</si>
  <si>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</si>
  <si>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</si>
  <si>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</si>
  <si>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</si>
  <si>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</si>
  <si>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</si>
  <si>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</si>
  <si>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</si>
  <si>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</si>
  <si>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</si>
  <si>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</si>
  <si>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</si>
  <si>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</si>
  <si>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</si>
  <si>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</si>
  <si>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</si>
  <si>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</si>
  <si>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</si>
  <si>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</si>
  <si>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</si>
  <si>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</si>
  <si>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</si>
  <si>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</si>
  <si>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</si>
  <si>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</si>
  <si>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</si>
  <si>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</si>
  <si>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</si>
  <si>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</si>
  <si>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</si>
  <si>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</si>
  <si>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</si>
  <si>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</si>
  <si>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</si>
  <si>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</si>
  <si>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</si>
  <si>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</si>
  <si>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</si>
  <si>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</si>
  <si>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</si>
  <si>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</si>
  <si>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</si>
  <si>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</si>
  <si>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</si>
  <si>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</si>
  <si>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</si>
  <si>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</si>
  <si>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</si>
  <si>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</si>
  <si>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</si>
  <si>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</si>
  <si>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</si>
  <si>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</si>
  <si>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</si>
  <si>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</si>
  <si>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</si>
  <si>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</si>
  <si>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</si>
  <si>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</si>
  <si>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</si>
  <si>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</si>
  <si>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</si>
  <si>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</si>
  <si>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</si>
  <si>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</si>
  <si>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</si>
  <si>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</si>
  <si>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</si>
  <si>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</si>
  <si>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</si>
  <si>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</si>
  <si>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</si>
  <si>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</si>
  <si>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</si>
  <si>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</si>
  <si>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</si>
  <si>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</si>
  <si>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</si>
  <si>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</si>
  <si>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</si>
  <si>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</si>
  <si>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</si>
  <si>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</si>
  <si>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</si>
  <si>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</si>
  <si>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</si>
  <si>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</si>
  <si>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</si>
  <si>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</si>
  <si>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</si>
  <si>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</si>
  <si>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</si>
  <si>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</si>
  <si>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</si>
  <si>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</si>
  <si>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</si>
  <si>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</si>
  <si>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</si>
  <si>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</si>
  <si>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</si>
  <si>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</si>
  <si>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</si>
  <si>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</si>
  <si>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</si>
  <si>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</si>
  <si>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</si>
  <si>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</si>
  <si>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</si>
  <si>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</si>
  <si>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</si>
  <si>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</si>
  <si>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</si>
  <si>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</si>
  <si>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</si>
  <si>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</si>
  <si>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</si>
  <si>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</si>
  <si>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</si>
  <si>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</si>
  <si>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</si>
  <si>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</si>
  <si>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</si>
  <si>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</si>
  <si>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</si>
  <si>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</si>
  <si>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</si>
  <si>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</si>
  <si>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</si>
  <si>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</si>
  <si>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</si>
  <si>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</si>
  <si>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</si>
  <si>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</si>
  <si>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</si>
  <si>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</si>
  <si>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</si>
  <si>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</si>
  <si>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</si>
  <si>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</si>
  <si>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</si>
  <si>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</si>
  <si>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</si>
  <si>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</si>
  <si>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</si>
  <si>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</si>
  <si>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</si>
  <si>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</si>
  <si>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</si>
  <si>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</si>
  <si>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</si>
  <si>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</si>
  <si>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</si>
  <si>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</si>
  <si>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</si>
  <si>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</si>
  <si>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</si>
  <si>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</si>
  <si>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</si>
  <si>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</si>
  <si>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</si>
  <si>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</si>
  <si>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</si>
  <si>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</si>
  <si>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</si>
  <si>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</si>
  <si>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</si>
  <si>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</si>
  <si>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</si>
  <si>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</si>
  <si>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</si>
  <si>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</si>
  <si>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</si>
  <si>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</si>
  <si>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</si>
  <si>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</si>
  <si>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</si>
  <si>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</si>
  <si>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</si>
  <si>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</si>
  <si>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</si>
  <si>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</si>
  <si>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</si>
  <si>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</si>
  <si>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</si>
  <si>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</si>
  <si>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</si>
  <si>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</si>
  <si>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</si>
  <si>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</si>
  <si>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</si>
  <si>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</si>
  <si>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</si>
  <si>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</si>
  <si>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</si>
  <si>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</si>
  <si>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</si>
  <si>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</si>
  <si>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</si>
  <si>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</si>
  <si>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</si>
  <si>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</si>
  <si>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</si>
  <si>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</si>
  <si>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</si>
  <si>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</si>
  <si>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</si>
  <si>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</si>
  <si>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</si>
  <si>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</si>
  <si>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</si>
  <si>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</si>
  <si>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</si>
  <si>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</si>
  <si>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</si>
  <si>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</si>
  <si>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</si>
  <si>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</si>
  <si>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</si>
  <si>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</si>
  <si>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</si>
  <si>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</si>
  <si>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</si>
  <si>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</si>
  <si>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</si>
  <si>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</si>
  <si>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</si>
  <si>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</si>
  <si>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</si>
  <si>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</si>
  <si>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</si>
  <si>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</si>
  <si>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</si>
  <si>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</si>
  <si>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</si>
  <si>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</si>
  <si>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</si>
  <si>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</si>
  <si>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</si>
  <si>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</si>
  <si>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</si>
  <si>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</si>
  <si>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</si>
  <si>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</si>
  <si>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</si>
  <si>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</si>
  <si>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</si>
  <si>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</si>
  <si>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</si>
  <si>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</si>
  <si>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</si>
  <si>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</si>
  <si>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</si>
  <si>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</si>
  <si>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</si>
  <si>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</si>
  <si>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</si>
  <si>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</si>
  <si>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</si>
  <si>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</si>
  <si>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</si>
  <si>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</si>
  <si>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</si>
  <si>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</si>
  <si>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</si>
  <si>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</si>
  <si>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</si>
  <si>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</si>
  <si>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</si>
  <si>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</si>
  <si>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</si>
  <si>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</si>
  <si>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</si>
  <si>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</si>
  <si>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</si>
  <si>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</si>
  <si>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</si>
  <si>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</si>
  <si>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</si>
  <si>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</si>
  <si>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</si>
  <si>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</si>
  <si>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</si>
  <si>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</si>
  <si>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</si>
  <si>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</si>
  <si>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</si>
  <si>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</si>
  <si>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</si>
  <si>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</si>
  <si>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</si>
  <si>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</si>
  <si>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</si>
  <si>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</si>
  <si>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</si>
  <si>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</si>
  <si>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</si>
  <si>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</si>
  <si>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</si>
  <si>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</si>
  <si>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</si>
  <si>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</si>
  <si>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</si>
  <si>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</si>
  <si>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</si>
  <si>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</si>
  <si>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</si>
  <si>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</si>
  <si>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</si>
  <si>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</si>
  <si>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</si>
  <si>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</si>
  <si>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</si>
  <si>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</si>
  <si>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</si>
  <si>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</si>
  <si>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</si>
  <si>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</si>
  <si>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</si>
  <si>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</si>
  <si>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</si>
  <si>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</si>
  <si>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</si>
  <si>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</si>
  <si>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</si>
  <si>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</si>
  <si>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</si>
  <si>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</si>
  <si>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</si>
  <si>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</si>
  <si>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</si>
  <si>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</si>
  <si>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</si>
  <si>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</si>
  <si>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</si>
  <si>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</si>
  <si>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</si>
  <si>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</si>
  <si>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</si>
  <si>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</si>
  <si>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</si>
  <si>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</si>
  <si>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</si>
  <si>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</si>
  <si>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</si>
  <si>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</si>
  <si>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</si>
  <si>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</si>
  <si>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</si>
  <si>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</si>
  <si>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</si>
  <si>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</si>
  <si>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</si>
  <si>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</si>
  <si>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</si>
  <si>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</si>
  <si>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</si>
  <si>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</si>
  <si>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</si>
  <si>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</si>
  <si>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</si>
  <si>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</si>
  <si>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</si>
  <si>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</si>
  <si>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</si>
  <si>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</si>
  <si>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</si>
  <si>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</si>
  <si>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</si>
  <si>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</si>
  <si>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</si>
  <si>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</si>
  <si>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</si>
  <si>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</si>
  <si>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</si>
  <si>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</si>
  <si>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</si>
  <si>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</si>
  <si>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</si>
  <si>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</si>
  <si>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</si>
  <si>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</si>
  <si>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</si>
  <si>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</si>
  <si>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</si>
  <si>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</si>
  <si>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</si>
  <si>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</si>
  <si>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</si>
  <si>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</si>
  <si>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</si>
  <si>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</si>
  <si>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</si>
  <si>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</si>
  <si>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</si>
  <si>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</si>
  <si>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</si>
  <si>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</si>
  <si>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</si>
  <si>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</si>
  <si>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</si>
  <si>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</si>
  <si>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</si>
  <si>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</si>
  <si>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</si>
  <si>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</si>
  <si>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</si>
  <si>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</si>
  <si>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</si>
  <si>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</si>
  <si>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</si>
  <si>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</si>
  <si>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</si>
  <si>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</si>
  <si>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</si>
  <si>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</si>
  <si>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</si>
  <si>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</si>
  <si>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</si>
  <si>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</si>
  <si>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</si>
  <si>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</si>
  <si>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</si>
  <si>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</si>
  <si>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</si>
  <si>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</si>
  <si>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</si>
  <si>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</si>
  <si>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</si>
  <si>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</si>
  <si>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</si>
  <si>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</si>
  <si>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</si>
  <si>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</si>
  <si>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</si>
  <si>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</si>
  <si>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</si>
  <si>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</si>
  <si>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</si>
  <si>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</si>
  <si>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</si>
  <si>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</si>
  <si>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</si>
  <si>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</si>
  <si>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</si>
  <si>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</si>
  <si>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</si>
  <si>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</si>
  <si>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</si>
  <si>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</si>
  <si>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</si>
  <si>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</si>
  <si>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</si>
  <si>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</si>
  <si>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</si>
  <si>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</si>
  <si>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</si>
  <si>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</si>
  <si>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</si>
  <si>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</si>
  <si>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</si>
  <si>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</si>
  <si>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</si>
  <si>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</si>
  <si>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</si>
  <si>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</si>
  <si>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</si>
  <si>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</si>
  <si>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</si>
  <si>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</si>
  <si>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</si>
  <si>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</si>
  <si>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</si>
  <si>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</si>
  <si>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</si>
  <si>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</si>
  <si>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</si>
  <si>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</si>
  <si>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</si>
  <si>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</si>
  <si>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</si>
  <si>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</si>
  <si>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</si>
  <si>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</si>
  <si>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</si>
  <si>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</si>
  <si>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</si>
  <si>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</si>
  <si>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</si>
  <si>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</si>
  <si>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</si>
  <si>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</si>
  <si>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</si>
  <si>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</si>
  <si>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</si>
  <si>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</si>
  <si>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</si>
  <si>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</si>
  <si>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</si>
  <si>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</si>
  <si>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</si>
  <si>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</si>
  <si>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</si>
  <si>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</si>
  <si>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</si>
  <si>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</si>
  <si>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</si>
  <si>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</si>
  <si>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</si>
  <si>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</si>
  <si>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</si>
  <si>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</si>
  <si>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</si>
  <si>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</si>
  <si>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</si>
  <si>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</si>
  <si>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</si>
  <si>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</si>
  <si>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</si>
  <si>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</si>
  <si>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</si>
  <si>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</si>
  <si>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</si>
  <si>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</si>
  <si>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</si>
  <si>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</si>
  <si>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</si>
  <si>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</si>
  <si>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</si>
  <si>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</si>
  <si>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</si>
  <si>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</si>
  <si>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</si>
  <si>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</si>
  <si>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</si>
  <si>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</si>
  <si>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</si>
  <si>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</si>
  <si>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</si>
  <si>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</si>
  <si>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</si>
  <si>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</si>
  <si>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</si>
  <si>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</si>
  <si>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</si>
  <si>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</si>
  <si>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</si>
  <si>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</si>
  <si>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</si>
  <si>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</si>
  <si>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</si>
  <si>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</si>
  <si>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</si>
  <si>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</si>
  <si>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</si>
  <si>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</si>
  <si>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</si>
  <si>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</si>
  <si>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</si>
  <si>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</si>
  <si>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</si>
  <si>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</si>
  <si>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</si>
  <si>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</si>
  <si>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</si>
  <si>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</si>
  <si>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</si>
  <si>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</si>
  <si>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</si>
  <si>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</si>
  <si>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</si>
  <si>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</si>
  <si>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</si>
  <si>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</si>
  <si>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</si>
  <si>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</si>
  <si>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</si>
  <si>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</si>
  <si>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</si>
  <si>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</si>
  <si>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</si>
  <si>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</si>
  <si>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</si>
  <si>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</si>
  <si>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</si>
  <si>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</si>
  <si>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</si>
  <si>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</si>
  <si>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</si>
  <si>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</si>
  <si>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</si>
  <si>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</si>
  <si>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</si>
  <si>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</si>
  <si>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</si>
  <si>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</si>
  <si>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</si>
  <si>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</si>
  <si>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</si>
  <si>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</si>
  <si>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</si>
  <si>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</si>
  <si>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</si>
  <si>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</si>
  <si>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</si>
  <si>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</si>
  <si>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</si>
  <si>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</si>
  <si>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</si>
  <si>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</si>
  <si>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</si>
  <si>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</si>
  <si>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</si>
  <si>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</si>
  <si>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</si>
  <si>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</si>
  <si>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</si>
  <si>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</si>
  <si>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</si>
  <si>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</si>
  <si>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</si>
  <si>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</si>
  <si>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</si>
  <si>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</si>
  <si>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</si>
  <si>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</si>
  <si>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</si>
  <si>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</si>
  <si>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</si>
  <si>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</si>
  <si>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</si>
  <si>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</si>
  <si>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</si>
  <si>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</si>
  <si>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</si>
  <si>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</si>
  <si>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</si>
  <si>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</si>
  <si>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</si>
  <si>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</si>
  <si>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</si>
  <si>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</si>
  <si>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</si>
  <si>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</si>
  <si>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</si>
  <si>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</si>
  <si>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</si>
  <si>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</si>
  <si>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</si>
  <si>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</si>
  <si>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</si>
  <si>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</si>
  <si>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</si>
  <si>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</si>
  <si>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</si>
  <si>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</si>
  <si>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</si>
  <si>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</si>
  <si>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</si>
  <si>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</si>
  <si>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</si>
  <si>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</si>
  <si>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</si>
  <si>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</si>
  <si>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</si>
  <si>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</si>
  <si>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</si>
  <si>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</si>
  <si>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</si>
  <si>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</si>
  <si>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</si>
  <si>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</si>
  <si>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</si>
  <si>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</si>
  <si>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</si>
  <si>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</si>
  <si>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</si>
  <si>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</si>
  <si>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</si>
  <si>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</si>
  <si>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</si>
  <si>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</si>
  <si>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</si>
  <si>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</si>
  <si>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</si>
  <si>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</si>
  <si>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</si>
  <si>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</si>
  <si>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</si>
  <si>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</si>
  <si>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</si>
  <si>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</si>
  <si>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</si>
  <si>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</si>
  <si>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</si>
  <si>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</si>
  <si>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</si>
  <si>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</si>
  <si>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</si>
  <si>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</si>
  <si>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</si>
  <si>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</si>
  <si>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</si>
  <si>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</si>
  <si>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</si>
  <si>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</si>
  <si>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</si>
  <si>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</si>
  <si>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</si>
  <si>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</si>
  <si>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</si>
  <si>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</si>
  <si>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</si>
  <si>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</si>
  <si>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</si>
  <si>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</si>
  <si>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</si>
  <si>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</si>
  <si>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</si>
  <si>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</si>
  <si>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</si>
  <si>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</si>
  <si>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</si>
  <si>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</si>
  <si>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</si>
  <si>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</si>
  <si>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</si>
  <si>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</si>
  <si>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</si>
  <si>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</si>
  <si>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</si>
  <si>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</si>
  <si>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</si>
  <si>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</si>
  <si>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</si>
  <si>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</si>
  <si>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</si>
  <si>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</si>
  <si>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</si>
  <si>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</si>
  <si>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</si>
  <si>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</si>
  <si>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</si>
  <si>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</si>
  <si>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</si>
  <si>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</si>
  <si>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</si>
  <si>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</si>
  <si>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</si>
  <si>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</si>
  <si>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</si>
  <si>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</si>
  <si>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</si>
  <si>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</si>
  <si>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</si>
  <si>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</si>
  <si>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</si>
  <si>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</si>
  <si>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</si>
  <si>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</si>
  <si>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</si>
  <si>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</si>
  <si>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</si>
  <si>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</si>
  <si>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</si>
  <si>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</si>
  <si>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</si>
  <si>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</si>
  <si>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</si>
  <si>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</si>
  <si>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</si>
  <si>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</si>
  <si>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</si>
  <si>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</si>
  <si>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</si>
  <si>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</si>
  <si>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</si>
  <si>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</si>
  <si>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</si>
  <si>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</si>
  <si>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</si>
  <si>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</si>
  <si>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</si>
  <si>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</si>
  <si>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</si>
  <si>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</si>
  <si>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</si>
  <si>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</si>
  <si>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</si>
  <si>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</si>
  <si>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</si>
  <si>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</si>
  <si>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</si>
  <si>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</si>
  <si>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</si>
  <si>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</si>
  <si>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</si>
  <si>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</si>
  <si>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</si>
  <si>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</si>
  <si>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</si>
  <si>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</si>
  <si>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</si>
  <si>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</si>
  <si>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</si>
  <si>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</si>
  <si>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</si>
  <si>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</si>
  <si>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</si>
  <si>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</si>
  <si>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</si>
  <si>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</si>
  <si>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</si>
  <si>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</si>
  <si>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</si>
  <si>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</si>
  <si>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</si>
  <si>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</si>
  <si>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</si>
  <si>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</si>
  <si>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</si>
  <si>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</si>
  <si>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</si>
  <si>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</si>
  <si>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</si>
  <si>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</si>
  <si>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</si>
  <si>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</si>
  <si>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</si>
  <si>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</si>
  <si>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</si>
  <si>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</si>
  <si>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</si>
  <si>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</si>
  <si>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</si>
  <si>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</si>
  <si>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</si>
  <si>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</si>
  <si>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</si>
  <si>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</si>
  <si>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</si>
  <si>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</si>
  <si>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</si>
  <si>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</si>
  <si>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</si>
  <si>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</si>
  <si>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</si>
  <si>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</si>
  <si>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</si>
  <si>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</si>
  <si>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</si>
  <si>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</si>
  <si>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</si>
  <si>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</si>
  <si>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</si>
  <si>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</si>
  <si>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</si>
  <si>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</si>
  <si>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</si>
  <si>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</si>
  <si>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</si>
  <si>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</si>
  <si>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</si>
  <si>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</si>
  <si>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</si>
  <si>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</si>
  <si>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</si>
  <si>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</si>
  <si>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</si>
  <si>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</si>
  <si>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</si>
  <si>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</si>
  <si>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</si>
  <si>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</si>
  <si>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</si>
  <si>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</si>
  <si>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</si>
  <si>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</si>
  <si>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</si>
  <si>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</si>
  <si>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</si>
  <si>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</si>
  <si>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</si>
  <si>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</si>
  <si>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</si>
  <si>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</si>
  <si>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</si>
  <si>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</si>
  <si>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</si>
  <si>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</si>
  <si>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</si>
  <si>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</si>
  <si>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</si>
  <si>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</si>
  <si>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</si>
  <si>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</si>
  <si>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</si>
  <si>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</si>
  <si>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</si>
  <si>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</si>
  <si>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</si>
  <si>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</si>
  <si>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</si>
  <si>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</si>
  <si>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</si>
  <si>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</si>
  <si>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</si>
  <si>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</si>
  <si>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</si>
  <si>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</si>
  <si>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</si>
  <si>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</si>
  <si>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</si>
  <si>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</si>
  <si>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</si>
  <si>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</si>
  <si>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</si>
  <si>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</si>
  <si>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</si>
  <si>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</si>
  <si>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</si>
  <si>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</si>
  <si>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</si>
  <si>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</si>
  <si>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</si>
  <si>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</si>
  <si>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</si>
  <si>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</si>
  <si>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</si>
  <si>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</si>
  <si>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</si>
  <si>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</si>
  <si>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</si>
  <si>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</si>
  <si>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</si>
  <si>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</si>
  <si>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</si>
  <si>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</si>
  <si>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</si>
  <si>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</si>
  <si>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</si>
  <si>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</si>
  <si>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</si>
  <si>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</si>
  <si>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</si>
  <si>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</si>
  <si>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</si>
  <si>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</si>
  <si>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</si>
  <si>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</si>
  <si>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</si>
  <si>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</si>
  <si>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</si>
  <si>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</si>
  <si>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</si>
  <si>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</si>
  <si>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</si>
  <si>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</si>
  <si>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</si>
  <si>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</si>
  <si>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</si>
  <si>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</si>
  <si>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</si>
  <si>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</si>
  <si>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</si>
  <si>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</si>
  <si>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</si>
  <si>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</si>
  <si>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</si>
  <si>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</si>
  <si>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</si>
  <si>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</si>
  <si>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</si>
  <si>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</si>
  <si>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</si>
  <si>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</si>
  <si>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</si>
  <si>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</si>
  <si>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</si>
  <si>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</si>
  <si>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</si>
  <si>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</si>
  <si>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</si>
  <si>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</si>
  <si>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</si>
  <si>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</si>
  <si>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</si>
  <si>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</si>
  <si>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</si>
  <si>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</si>
  <si>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</si>
  <si>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</si>
  <si>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</si>
  <si>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</si>
  <si>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</si>
  <si>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</si>
  <si>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</si>
  <si>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</si>
  <si>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</si>
  <si>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</si>
  <si>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</si>
  <si>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</si>
  <si>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</si>
  <si>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</si>
  <si>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</si>
  <si>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</si>
  <si>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</si>
  <si>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</si>
  <si>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</si>
  <si>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</si>
  <si>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</si>
  <si>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</si>
  <si>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</si>
  <si>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</si>
  <si>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</si>
  <si>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</si>
  <si>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</si>
  <si>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</si>
  <si>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</si>
  <si>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</si>
  <si>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</si>
  <si>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</si>
  <si>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</si>
  <si>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</si>
  <si>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</si>
  <si>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</si>
  <si>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</si>
  <si>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</si>
  <si>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</si>
  <si>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</si>
  <si>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</si>
  <si>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</si>
  <si>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</si>
  <si>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</si>
  <si>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</si>
  <si>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</si>
  <si>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</si>
  <si>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</si>
  <si>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</si>
  <si>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</si>
  <si>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</si>
  <si>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</si>
  <si>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</si>
  <si>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</si>
  <si>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</si>
  <si>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</si>
  <si>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</si>
  <si>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</si>
  <si>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</si>
  <si>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</si>
  <si>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</si>
  <si>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</si>
  <si>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</si>
  <si>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</si>
  <si>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</si>
  <si>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</si>
  <si>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</si>
  <si>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</si>
  <si>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</si>
  <si>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</si>
  <si>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</si>
  <si>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</si>
  <si>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</si>
  <si>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</si>
  <si>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</si>
  <si>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</si>
  <si>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</si>
  <si>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</si>
  <si>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</si>
  <si>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</si>
  <si>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</si>
  <si>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</si>
  <si>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</si>
  <si>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</si>
  <si>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</si>
  <si>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</si>
  <si>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</si>
  <si>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</si>
  <si>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</si>
  <si>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</si>
  <si>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</si>
  <si>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</si>
  <si>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</si>
  <si>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</si>
  <si>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</si>
  <si>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</si>
  <si>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</si>
  <si>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</si>
  <si>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</si>
  <si>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</si>
  <si>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</si>
  <si>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</si>
  <si>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</si>
  <si>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</si>
  <si>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</si>
  <si>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</si>
  <si>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</si>
  <si>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</si>
  <si>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</si>
  <si>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</si>
  <si>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</si>
  <si>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</si>
  <si>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</si>
  <si>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</si>
  <si>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</si>
  <si>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</si>
  <si>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</si>
  <si>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</si>
  <si>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</si>
  <si>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</si>
  <si>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</si>
  <si>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</si>
  <si>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</si>
  <si>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</si>
  <si>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</si>
  <si>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</si>
  <si>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</si>
  <si>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</si>
  <si>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</si>
  <si>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</si>
  <si>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</si>
  <si>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</si>
  <si>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</si>
  <si>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</si>
  <si>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</si>
  <si>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</si>
  <si>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</si>
  <si>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</si>
  <si>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</si>
  <si>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</si>
  <si>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</si>
  <si>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</si>
  <si>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</si>
  <si>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</si>
  <si>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</si>
  <si>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</si>
  <si>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</si>
  <si>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</si>
  <si>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</si>
  <si>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</si>
  <si>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</si>
  <si>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</si>
  <si>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</si>
  <si>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</si>
  <si>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</si>
  <si>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</si>
  <si>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</si>
  <si>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</si>
  <si>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</si>
  <si>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</si>
  <si>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</si>
  <si>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</si>
  <si>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</si>
  <si>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</si>
  <si>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</si>
  <si>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</si>
  <si>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</si>
  <si>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</si>
  <si>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</si>
  <si>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</si>
  <si>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</si>
  <si>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</si>
  <si>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</si>
  <si>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</si>
  <si>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</si>
  <si>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</si>
  <si>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</si>
  <si>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</si>
  <si>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</si>
  <si>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</si>
  <si>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</si>
  <si>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</si>
  <si>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</si>
  <si>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</si>
  <si>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</si>
  <si>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</si>
  <si>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</si>
  <si>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</si>
  <si>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</si>
  <si>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</si>
  <si>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</si>
  <si>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</si>
  <si>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</si>
  <si>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</si>
  <si>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</si>
  <si>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</si>
  <si>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</si>
  <si>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</si>
  <si>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</si>
  <si>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</si>
  <si>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</si>
  <si>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</si>
  <si>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</si>
  <si>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</si>
  <si>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</si>
  <si>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</si>
  <si>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</si>
  <si>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</si>
  <si>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</si>
  <si>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</si>
  <si>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</si>
  <si>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</si>
  <si>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</si>
  <si>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</si>
  <si>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</si>
  <si>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</si>
  <si>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</si>
  <si>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</si>
  <si>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</si>
  <si>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</si>
  <si>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</si>
  <si>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</si>
  <si>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</si>
  <si>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</si>
  <si>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</si>
  <si>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</si>
  <si>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</si>
  <si>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</si>
  <si>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</si>
  <si>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</si>
  <si>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</si>
  <si>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</si>
  <si>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</si>
  <si>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</si>
  <si>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</si>
  <si>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郑燚</t>
  </si>
  <si>
    <t>王鹏</t>
  </si>
  <si>
    <t>河南新晋美置业有限公司</t>
    <phoneticPr fontId="7" type="noConversion"/>
  </si>
  <si>
    <t>抵押</t>
  </si>
  <si>
    <t>房地产抵押价值</t>
  </si>
  <si>
    <t>其他：</t>
  </si>
  <si>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</si>
  <si>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</si>
  <si>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豫（</t>
    </r>
    <r>
      <rPr>
        <sz val="12"/>
        <color theme="9" tint="-0.249977111117893"/>
        <rFont val="Arial"/>
        <family val="2"/>
      </rPr>
      <t>2018</t>
    </r>
    <r>
      <rPr>
        <sz val="12"/>
        <color theme="9" tint="-0.249977111117893"/>
        <rFont val="宋体"/>
        <family val="3"/>
        <charset val="134"/>
      </rPr>
      <t>）开封市不动产权第</t>
    </r>
    <r>
      <rPr>
        <sz val="12"/>
        <color theme="9" tint="-0.249977111117893"/>
        <rFont val="Arial"/>
        <family val="2"/>
      </rPr>
      <t>0027923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</si>
  <si>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龙亭区晋安路以北，三大街以西</t>
    <phoneticPr fontId="7" type="noConversion"/>
  </si>
  <si>
    <t>住宅、商业</t>
    <phoneticPr fontId="7" type="noConversion"/>
  </si>
  <si>
    <r>
      <rPr>
        <sz val="12"/>
        <color theme="9" tint="-0.249977111117893"/>
        <rFont val="宋体"/>
        <family val="3"/>
        <charset val="134"/>
      </rPr>
      <t>住宅</t>
    </r>
    <r>
      <rPr>
        <sz val="12"/>
        <color theme="9" tint="-0.249977111117893"/>
        <rFont val="Arial"/>
        <family val="2"/>
      </rPr>
      <t>62.4</t>
    </r>
    <r>
      <rPr>
        <sz val="12"/>
        <color theme="9" tint="-0.249977111117893"/>
        <rFont val="宋体"/>
        <family val="3"/>
        <charset val="134"/>
      </rPr>
      <t>年、商业</t>
    </r>
    <r>
      <rPr>
        <sz val="12"/>
        <color theme="9" tint="-0.249977111117893"/>
        <rFont val="Arial"/>
        <family val="2"/>
      </rPr>
      <t>32.4</t>
    </r>
    <r>
      <rPr>
        <sz val="12"/>
        <color theme="9" tint="-0.249977111117893"/>
        <rFont val="宋体"/>
        <family val="3"/>
        <charset val="134"/>
      </rPr>
      <t>年</t>
    </r>
    <phoneticPr fontId="7" type="noConversion"/>
  </si>
  <si>
    <t>否</t>
  </si>
  <si>
    <t>《不动产权证书》</t>
  </si>
  <si>
    <t>复印件</t>
  </si>
  <si>
    <t>在建</t>
  </si>
  <si>
    <t>居住项目</t>
  </si>
  <si>
    <t>无</t>
  </si>
  <si>
    <t>通路</t>
  </si>
  <si>
    <t>通电</t>
  </si>
  <si>
    <t>通讯</t>
  </si>
  <si>
    <t>通上水</t>
  </si>
  <si>
    <t>通下水</t>
  </si>
  <si>
    <t>通热</t>
  </si>
  <si>
    <t>燃气</t>
  </si>
  <si>
    <t>新晋美悦都</t>
    <phoneticPr fontId="4" type="noConversion"/>
  </si>
  <si>
    <t>晋安路以北，三大街以西</t>
    <phoneticPr fontId="4" type="noConversion"/>
  </si>
  <si>
    <t>郑开碧桂园</t>
    <phoneticPr fontId="4" type="noConversion"/>
  </si>
  <si>
    <t>住宅</t>
  </si>
  <si>
    <t>住宅</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</si>
  <si>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</si>
  <si>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</si>
  <si>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</si>
  <si>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</si>
  <si>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</si>
  <si>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</si>
  <si>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</si>
  <si>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海马公馆</t>
    <phoneticPr fontId="4" type="noConversion"/>
  </si>
  <si>
    <t xml:space="preserve">恒大未来城 </t>
    <phoneticPr fontId="4" type="noConversion"/>
  </si>
  <si>
    <t>一大街33号</t>
    <phoneticPr fontId="4" type="noConversion"/>
  </si>
  <si>
    <t>郑开大道与十六街交汇处</t>
    <phoneticPr fontId="4"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</si>
  <si>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</si>
  <si>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</si>
  <si>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60-70（含）</t>
  </si>
  <si>
    <t>周边居住用地比例较大、居住小区规模较大，有森林半岛、新龙御都国际等住宅小区，社区发展完善程度较好，综合评价居住社区成熟度较好。</t>
    <phoneticPr fontId="26" type="noConversion"/>
  </si>
  <si>
    <t>较好</t>
  </si>
  <si>
    <t>一般</t>
  </si>
  <si>
    <r>
      <rPr>
        <sz val="11"/>
        <rFont val="宋体"/>
        <family val="3"/>
        <charset val="134"/>
      </rPr>
      <t>所在区域</t>
    </r>
    <r>
      <rPr>
        <sz val="11"/>
        <rFont val="Arial"/>
        <family val="2"/>
      </rPr>
      <t>2</t>
    </r>
    <r>
      <rPr>
        <sz val="11"/>
        <rFont val="宋体"/>
        <family val="3"/>
        <charset val="134"/>
      </rPr>
      <t>公里范围内有：银行（中国银行、河南汴京农村商业银行），购物（大宏万达广场、和润超市），学校（二师附小、金明实验中学）等，无医院，公共配套设施齐备情况一般。</t>
    </r>
    <phoneticPr fontId="26" type="noConversion"/>
  </si>
  <si>
    <t>钢混</t>
  </si>
  <si>
    <t>钢混</t>
    <phoneticPr fontId="26" type="noConversion"/>
  </si>
  <si>
    <t>钢</t>
    <phoneticPr fontId="26" type="noConversion"/>
  </si>
  <si>
    <t>混合</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</si>
  <si>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</si>
  <si>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</si>
  <si>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</si>
  <si>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</si>
  <si>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</si>
  <si>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周边居住用地比例较大、居住小区规模较大，有辉达新世界、龙昇丽景等住宅小区，社区发展完善程度较好，综合评价居住社区成熟度较好。</t>
    <phoneticPr fontId="26" type="noConversion"/>
  </si>
  <si>
    <r>
      <rPr>
        <sz val="11"/>
        <rFont val="宋体"/>
        <family val="3"/>
        <charset val="134"/>
      </rPr>
      <t>周边路网较密集，公共交通通达情况较好、停车便捷程度较好，有</t>
    </r>
    <r>
      <rPr>
        <sz val="11"/>
        <rFont val="Arial"/>
        <family val="2"/>
      </rPr>
      <t>8</t>
    </r>
    <r>
      <rPr>
        <sz val="11"/>
        <rFont val="宋体"/>
        <family val="3"/>
        <charset val="134"/>
      </rPr>
      <t>路、</t>
    </r>
    <r>
      <rPr>
        <sz val="11"/>
        <rFont val="Arial"/>
        <family val="2"/>
      </rPr>
      <t>16</t>
    </r>
    <r>
      <rPr>
        <sz val="11"/>
        <rFont val="宋体"/>
        <family val="3"/>
        <charset val="134"/>
      </rPr>
      <t>路等公交车，综合评价交通便捷度较好。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</si>
  <si>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公里范围内有：银行（中国工商银行、中原银行），购物（龙昇丽景商业街、西元超市），学校（金耀小学、开封新区瞿野小学）等，无医院，公共配套设施齐备情况一般。</t>
    </r>
    <phoneticPr fontId="26" type="noConversion"/>
  </si>
  <si>
    <t>区域自然环境：有开封西湖等大型绿化景观，有中意湖等自然景观；人文环境：开封市博物馆、开封市规划展示馆；综合评价环境状况较好。</t>
    <phoneticPr fontId="26" type="noConversion"/>
  </si>
  <si>
    <t>区域自然环境：有开封西湖大型绿化景观；人文环境：云天下汴绣展示馆；综合评价环境状况一般。</t>
    <phoneticPr fontId="26" type="noConversion"/>
  </si>
  <si>
    <t>周边居住用地比例一般、居住小区规模一般，有东汇名城等少量住宅小区，社区发展完善程度一般，综合评价居住社区成熟度一般。</t>
    <phoneticPr fontId="26" type="noConversion"/>
  </si>
  <si>
    <r>
      <rPr>
        <sz val="11"/>
        <rFont val="宋体"/>
        <family val="3"/>
        <charset val="134"/>
      </rPr>
      <t>周边路网较密集，公共交通通达情况较好、停车便捷程度较好，有</t>
    </r>
    <r>
      <rPr>
        <sz val="11"/>
        <rFont val="Arial"/>
        <family val="2"/>
      </rPr>
      <t>27</t>
    </r>
    <r>
      <rPr>
        <sz val="11"/>
        <rFont val="宋体"/>
        <family val="3"/>
        <charset val="134"/>
      </rPr>
      <t>路、</t>
    </r>
    <r>
      <rPr>
        <sz val="11"/>
        <rFont val="Arial"/>
        <family val="2"/>
      </rPr>
      <t>44</t>
    </r>
    <r>
      <rPr>
        <sz val="11"/>
        <rFont val="宋体"/>
        <family val="3"/>
        <charset val="134"/>
      </rPr>
      <t>路等公交车，综合评价交通便捷度较好。</t>
    </r>
    <phoneticPr fontId="26" type="noConversion"/>
  </si>
  <si>
    <r>
      <rPr>
        <sz val="11"/>
        <rFont val="宋体"/>
        <family val="3"/>
        <charset val="134"/>
      </rPr>
      <t>周边路网较密集，公共交通通达情况较好、停车便捷程度较好，有郑汴城际公交</t>
    </r>
    <r>
      <rPr>
        <sz val="11"/>
        <rFont val="Arial"/>
        <family val="2"/>
      </rPr>
      <t>101</t>
    </r>
    <r>
      <rPr>
        <sz val="11"/>
        <rFont val="宋体"/>
        <family val="3"/>
        <charset val="134"/>
      </rPr>
      <t>、</t>
    </r>
    <r>
      <rPr>
        <sz val="11"/>
        <rFont val="Arial"/>
        <family val="2"/>
      </rPr>
      <t>102</t>
    </r>
    <r>
      <rPr>
        <sz val="11"/>
        <rFont val="宋体"/>
        <family val="3"/>
        <charset val="134"/>
      </rPr>
      <t>路</t>
    </r>
    <r>
      <rPr>
        <sz val="11"/>
        <rFont val="宋体"/>
        <family val="3"/>
        <charset val="134"/>
      </rPr>
      <t>等公交车，综合评价交通便捷度较好。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</si>
  <si>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公里范围内有：银行（中国工商银行），购物（福万家生活超市），学校（开封市邢堂小学）等，无医院，公共配套设施齐备情况较差。</t>
    </r>
    <phoneticPr fontId="26" type="noConversion"/>
  </si>
  <si>
    <t>较差</t>
  </si>
  <si>
    <t>区域自然环境：绿化条件较好；人文环境：无博物馆、展览馆等人文景观；综合评价环境状况较差。</t>
    <phoneticPr fontId="26" type="noConversion"/>
  </si>
  <si>
    <t>住宅：</t>
    <phoneticPr fontId="144"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</si>
  <si>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</si>
  <si>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</si>
  <si>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</si>
  <si>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</si>
  <si>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</si>
  <si>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</si>
  <si>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</si>
  <si>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</si>
  <si>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</si>
  <si>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</si>
  <si>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</si>
  <si>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</si>
  <si>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</si>
  <si>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黄河大街与祥和街交叉口东南角地块</t>
  </si>
  <si>
    <t>开封市</t>
  </si>
  <si>
    <t>住宅用地</t>
  </si>
  <si>
    <t>≥1,≤3.98</t>
  </si>
  <si>
    <t>拍卖</t>
  </si>
  <si>
    <t>2018-06-27</t>
  </si>
  <si>
    <t>开封新惠房地产开发有限公司</t>
  </si>
  <si>
    <t>开封新区职教路以南、四大街以西地块</t>
  </si>
  <si>
    <t>≥1,≤2.2</t>
  </si>
  <si>
    <t>挂牌</t>
  </si>
  <si>
    <t>2018-06-21</t>
  </si>
  <si>
    <t>河南中联创房地产开发有限公司</t>
  </si>
  <si>
    <t>新区五大街西、安顺路北地块</t>
  </si>
  <si>
    <t>≥1,≤1.5</t>
  </si>
  <si>
    <t>河南锐投房地产开发有限公司</t>
  </si>
  <si>
    <t>复兴大道北侧、规划路东侧地块</t>
  </si>
  <si>
    <t>≥1且≤2.8</t>
  </si>
  <si>
    <t>2018-04-26</t>
  </si>
  <si>
    <t>开封新湾置业有限公司</t>
  </si>
  <si>
    <t>复兴大道北侧、规划路南侧地块</t>
  </si>
  <si>
    <t>商丘正商置业有限公司</t>
  </si>
  <si>
    <t>复兴大道北侧、规划路西侧地块</t>
  </si>
  <si>
    <t>≥1且≤2.5</t>
  </si>
  <si>
    <t>汉兴西路以北、十四大街东侧地块</t>
  </si>
  <si>
    <t>2018-03-30</t>
  </si>
  <si>
    <t>开封博明房地产开发有限公司</t>
  </si>
  <si>
    <t>金明大道与周天路交叉口的西南角地块</t>
  </si>
  <si>
    <t>≥1且≤3</t>
  </si>
  <si>
    <t>河南华之丽实业有限公司</t>
  </si>
  <si>
    <t>附一大街以南、一大街以东地块</t>
  </si>
  <si>
    <t>2018-02-07</t>
  </si>
  <si>
    <t>开封观湖置业有限公司</t>
  </si>
  <si>
    <t>瞿家寨城中村改造项目</t>
  </si>
  <si>
    <t>≥1且≤2.3</t>
  </si>
  <si>
    <t>河南晖达嘉睿置业有限公司</t>
  </si>
  <si>
    <t>演武庄城中村改造2号-1地块</t>
  </si>
  <si>
    <t>河南晖达建设投资有限公司</t>
  </si>
  <si>
    <t>五一路以西、滨河路以南1号地块</t>
  </si>
  <si>
    <t>≥1且≤1.48</t>
  </si>
  <si>
    <t>2017-11-15</t>
  </si>
  <si>
    <t>开封市华东房地产开发有限公司</t>
  </si>
  <si>
    <t>演武庄城中村改造地块</t>
  </si>
  <si>
    <t>≥1且≤2.6</t>
  </si>
  <si>
    <t>开柳路东侧、复兴大道以南1号地块</t>
  </si>
  <si>
    <t>2017-10-19</t>
  </si>
  <si>
    <t>开封市发展投资有限公司</t>
  </si>
  <si>
    <t>开柳路东侧、复兴大道以南2号地块</t>
  </si>
  <si>
    <t>复兴大道以北、一大街东地块</t>
  </si>
  <si>
    <t>2017-09-22</t>
  </si>
  <si>
    <t>运粮河片区规划四路以北、二十三大街以西2号地块</t>
  </si>
  <si>
    <t>≥1且≤2.9</t>
  </si>
  <si>
    <t>2017-09-15</t>
  </si>
  <si>
    <t>开封凯泽旅游开发有限公司</t>
  </si>
  <si>
    <t>运粮河片区规划三路以北、二十三大街以西2号地块</t>
  </si>
  <si>
    <t>开封景铄旅游开发有限公司</t>
  </si>
  <si>
    <t>运粮河片区规划三路以北、二十三大街以东28号地块</t>
  </si>
  <si>
    <t>运粮河片区东京大道以南、七号路以西1号地块</t>
  </si>
  <si>
    <t>2017-06-19</t>
  </si>
  <si>
    <t>开封盛邦旅游开发有限公司</t>
  </si>
  <si>
    <t>运粮河片区二十二大街东、规划三路北地块</t>
  </si>
  <si>
    <t>开封博联旅游开发有限公司</t>
  </si>
  <si>
    <t>运粮河片区二十二大街东、规划三路南1号地块</t>
  </si>
  <si>
    <t>运粮河片区东京大道以南、七号路以西2号地块</t>
  </si>
  <si>
    <t>≥1且≤1.5</t>
  </si>
  <si>
    <t>新区二大街西、金耀路南地块</t>
  </si>
  <si>
    <t>≥1且≤2</t>
  </si>
  <si>
    <t>2017-04-21</t>
  </si>
  <si>
    <t>开封市橄榄城丹堤房地产开发有限公司</t>
  </si>
  <si>
    <t>新区六大街以西、安顺路以北</t>
  </si>
  <si>
    <t>2017-03-16</t>
  </si>
  <si>
    <t>江苏兴隆兴业地产集团有限公司</t>
  </si>
  <si>
    <t>复兴大道以北、五大街以东</t>
  </si>
  <si>
    <t>2016-08-31</t>
  </si>
  <si>
    <t>开封伟宏置业有限公司</t>
  </si>
  <si>
    <t>西环湖路以西、法院街以南</t>
  </si>
  <si>
    <t>迪臣置业发展(开封)有限公司</t>
  </si>
  <si>
    <t>新区附一大街西侧、东京大道北</t>
  </si>
  <si>
    <t>≥1且≤1.7</t>
  </si>
  <si>
    <t>开封新建投房地产开发有限公司</t>
  </si>
  <si>
    <t>复兴大道以南、金明大道以东</t>
  </si>
  <si>
    <t>开封嘉堂置业有限公司</t>
  </si>
  <si>
    <t>演武庄城中村改造2号-2</t>
  </si>
  <si>
    <t>2016-08-05</t>
  </si>
  <si>
    <t>复兴大道以北、附一大街以东</t>
  </si>
  <si>
    <t>开封湖天置业有限公司</t>
  </si>
  <si>
    <t>东京大道以南、环堤路以东</t>
  </si>
  <si>
    <t>≥1且≤3.78</t>
  </si>
  <si>
    <t>开封新枫华置业有限公司</t>
  </si>
  <si>
    <t>复兴大道以南、规划路以西</t>
  </si>
  <si>
    <t>≥1且≤1.8</t>
  </si>
  <si>
    <t>2016-05-20</t>
  </si>
  <si>
    <t>开封中房佳和置业有限公司</t>
  </si>
  <si>
    <t>中科院开封印刷厂2号</t>
  </si>
  <si>
    <t>2016-04-21</t>
  </si>
  <si>
    <t>开封乾润房地产开发有限公司</t>
  </si>
  <si>
    <t>东京大道以南、西关北街以东</t>
  </si>
  <si>
    <t>2016-01-07</t>
  </si>
  <si>
    <t>开封家盟置业有限公司</t>
  </si>
  <si>
    <t>黄河大街东、规划路南1号</t>
  </si>
  <si>
    <t>≥1且≤4.24</t>
  </si>
  <si>
    <t>2015-12-31</t>
  </si>
  <si>
    <t>河南和庆置业有限公司</t>
  </si>
  <si>
    <t>瞿家寨野厂城中村改造项目</t>
  </si>
  <si>
    <t>≥1,≤2.5</t>
  </si>
  <si>
    <t>2015-10-22</t>
  </si>
  <si>
    <t>二大街东、金耀路南</t>
  </si>
  <si>
    <t>≥1,≤2.9</t>
  </si>
  <si>
    <t>开封市新区中联创房地产开发有限公司</t>
  </si>
  <si>
    <t>汉兴西路以北、十四大街东侧地块</t>
    <phoneticPr fontId="4" type="noConversion"/>
  </si>
  <si>
    <r>
      <rPr>
        <sz val="11"/>
        <color theme="9" tint="-0.249977111117893"/>
        <rFont val="宋体"/>
        <family val="3"/>
        <charset val="134"/>
      </rPr>
      <t>案例</t>
    </r>
    <r>
      <rPr>
        <sz val="11"/>
        <color theme="9" tint="-0.249977111117893"/>
        <rFont val="Arial"/>
        <family val="2"/>
      </rPr>
      <t>A</t>
    </r>
    <phoneticPr fontId="4" type="noConversion"/>
  </si>
  <si>
    <t>金明大道与周天路交叉口的西南角地块</t>
    <phoneticPr fontId="4" type="noConversion"/>
  </si>
  <si>
    <r>
      <rPr>
        <sz val="11"/>
        <color theme="9" tint="-0.249977111117893"/>
        <rFont val="宋体"/>
        <family val="3"/>
        <charset val="134"/>
      </rPr>
      <t>案例</t>
    </r>
    <r>
      <rPr>
        <sz val="11"/>
        <color theme="9" tint="-0.249977111117893"/>
        <rFont val="Arial"/>
        <family val="2"/>
      </rPr>
      <t>B</t>
    </r>
    <phoneticPr fontId="4" type="noConversion"/>
  </si>
  <si>
    <t>演武庄城中村改造2号-1地块</t>
    <phoneticPr fontId="4" type="noConversion"/>
  </si>
  <si>
    <r>
      <rPr>
        <sz val="11"/>
        <color theme="9" tint="-0.249977111117893"/>
        <rFont val="宋体"/>
        <family val="3"/>
        <charset val="134"/>
      </rPr>
      <t>案例</t>
    </r>
    <r>
      <rPr>
        <sz val="11"/>
        <color theme="9" tint="-0.249977111117893"/>
        <rFont val="Arial"/>
        <family val="2"/>
      </rPr>
      <t>C</t>
    </r>
    <phoneticPr fontId="4" type="noConversion"/>
  </si>
  <si>
    <t>地价监测：</t>
    <phoneticPr fontId="144" type="noConversion"/>
  </si>
  <si>
    <t>住宅</t>
    <phoneticPr fontId="32" type="noConversion"/>
  </si>
  <si>
    <t>七通</t>
    <phoneticPr fontId="32" type="noConversion"/>
  </si>
  <si>
    <t>六通</t>
    <phoneticPr fontId="32" type="noConversion"/>
  </si>
  <si>
    <t>五通</t>
  </si>
  <si>
    <t>五通</t>
    <phoneticPr fontId="32" type="noConversion"/>
  </si>
  <si>
    <t>四通</t>
    <phoneticPr fontId="32" type="noConversion"/>
  </si>
  <si>
    <t>三通</t>
  </si>
  <si>
    <t>三通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</si>
  <si>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</si>
  <si>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</si>
  <si>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</si>
  <si>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</si>
  <si>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</si>
  <si>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区域内多为住宅用地，土地利用方向较一致。</t>
    <phoneticPr fontId="26" type="noConversion"/>
  </si>
  <si>
    <t>区域内多为住宅用地，土地利用方向较一致。</t>
    <phoneticPr fontId="32" type="noConversion"/>
  </si>
  <si>
    <t>多面临街</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</si>
  <si>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</si>
  <si>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晋安路——城市次干道</t>
    <phoneticPr fontId="26" type="noConversion"/>
  </si>
  <si>
    <t>城市高速路</t>
    <phoneticPr fontId="32" type="noConversion"/>
  </si>
  <si>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</si>
  <si>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</si>
  <si>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</si>
  <si>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</si>
  <si>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</si>
  <si>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</si>
  <si>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城市次干道——晋安路</t>
    <phoneticPr fontId="32" type="noConversion"/>
  </si>
  <si>
    <t>估价对象周边居住用地比例较大、居住小区规模较大，有森林半岛、新龙御都国际等住宅小区，社区发展完善程度较好，综合评价居住社区成熟度较好。</t>
    <phoneticPr fontId="42" type="noConversion"/>
  </si>
  <si>
    <t>周边居住用地比例较大、居住小区规模较大，有新安苑、晋河花园等住宅小区，社区发展完善程度较好，综合评价居住社区成熟度较好。</t>
    <phoneticPr fontId="32" type="noConversion"/>
  </si>
  <si>
    <t>位于开封市龙亭区，周边商业氛围较差，人流量较小，商业繁华度较差。</t>
    <phoneticPr fontId="32" type="noConversion"/>
  </si>
  <si>
    <t>周边路网密集程度一般，公共交通通达情况一般、停车便捷程度较好，有42路等公交车，综合评价交通便捷度一般。</t>
    <phoneticPr fontId="32" type="noConversion"/>
  </si>
  <si>
    <t>区域自然环境：有大型绿化景观，有中意湖等自然景观；人文环境：开封市博物馆、开封市规划展示馆；综合评价环境状况较好。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</si>
  <si>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公里范围内有：银行（中国银行），购物（乐购生活超市），学校（仁爱</t>
    </r>
    <r>
      <rPr>
        <sz val="11"/>
        <rFont val="Arial"/>
        <family val="2"/>
      </rPr>
      <t xml:space="preserve"> </t>
    </r>
    <r>
      <rPr>
        <sz val="11"/>
        <rFont val="宋体"/>
        <family val="3"/>
        <charset val="134"/>
      </rPr>
      <t>幼儿园）等，无医院，公共配套设施齐备情况较差。</t>
    </r>
    <phoneticPr fontId="32" type="noConversion"/>
  </si>
  <si>
    <t>双面临街</t>
  </si>
  <si>
    <t>城市次干道——汉兴西路</t>
    <phoneticPr fontId="32" type="noConversion"/>
  </si>
  <si>
    <t>周边居住用地比例较大、居住小区规模较大，有格林公馆、宋城雅居等住宅小区，社区发展完善程度较好，综合评价居住社区成熟度较好。</t>
    <phoneticPr fontId="32" type="noConversion"/>
  </si>
  <si>
    <t>位于开封市龙亭区，周边商业氛围一般，有开封豪德商贸中心等商业项目，人流量较大，商业繁华度一般。</t>
    <phoneticPr fontId="32" type="noConversion"/>
  </si>
  <si>
    <t>周边路网较密集，公共交通通达情况较好、停车便捷程度较好，有14路、24路等公交车，综合评价交通便捷度较好。</t>
    <phoneticPr fontId="32" type="noConversion"/>
  </si>
  <si>
    <t>区域自然环境：有大型绿化景观，有金明广场等自然景观；人文环境：宏达艺术博物馆、北宋官瓷博物馆；综合评价环境状况较好。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</si>
  <si>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公里范围内有：银行（中国工商银行、中国邮政储蓄银行），购物（开封豪德商贸广场、钰隆超市），学校（立洋外国语学校、东华幼儿园），医院（金康社区卫生服务站），公共配套设施齐备情况较好。</t>
    </r>
    <phoneticPr fontId="32" type="noConversion"/>
  </si>
  <si>
    <t>城市主干道——金明大道</t>
    <phoneticPr fontId="32" type="noConversion"/>
  </si>
  <si>
    <t>周边居住用地比例较大、居住小区规模较大，有伟业香堤湾、碧水蓝城等住宅小区，社区发展完善程度较好，综合评价居住社区成熟度较好。</t>
    <phoneticPr fontId="32" type="noConversion"/>
  </si>
  <si>
    <t>位于开封市龙亭区，周边商业氛围一般，有开元广场等商业项目，人流量较大，商业繁华度一般。</t>
    <phoneticPr fontId="32" type="noConversion"/>
  </si>
  <si>
    <t>周边路网较密集，公共交通通达情况较好、停车便捷程度较好，有37路、55路等公交车，综合评价交通便捷度较好。</t>
    <phoneticPr fontId="32" type="noConversion"/>
  </si>
  <si>
    <t>区域自然环境：有大型绿化景观，有金明广场等自然景观；人文环境：宋都商业博物馆、北宋官瓷博物馆清明上河图动态展览馆；综合评价环境状况较好。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</si>
  <si>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公里范围内有：银行（中原银行、中国银行），购物（开元广场、华联超市），学校（开封市集英小学、开封市集英中学），医院（河南大学医院），公共配套设施齐备情况较好。</t>
    </r>
    <phoneticPr fontId="32" type="noConversion"/>
  </si>
  <si>
    <t>城市次干道——金耀路</t>
    <phoneticPr fontId="32" type="noConversion"/>
  </si>
  <si>
    <t>序号</t>
    <phoneticPr fontId="144" type="noConversion"/>
  </si>
  <si>
    <t>楼号</t>
    <phoneticPr fontId="144" type="noConversion"/>
  </si>
  <si>
    <t>建筑面积</t>
    <phoneticPr fontId="144" type="noConversion"/>
  </si>
  <si>
    <t>1号住宅楼</t>
    <phoneticPr fontId="144" type="noConversion"/>
  </si>
  <si>
    <t>住宅</t>
    <phoneticPr fontId="144" type="noConversion"/>
  </si>
  <si>
    <t>地下室</t>
    <phoneticPr fontId="144" type="noConversion"/>
  </si>
  <si>
    <t>机房</t>
    <phoneticPr fontId="144" type="noConversion"/>
  </si>
  <si>
    <t>2号住宅楼</t>
  </si>
  <si>
    <t>《建设工程规划许可证》证号</t>
    <phoneticPr fontId="144" type="noConversion"/>
  </si>
  <si>
    <r>
      <t>建字第2</t>
    </r>
    <r>
      <rPr>
        <sz val="11"/>
        <color theme="1"/>
        <rFont val="宋体"/>
        <family val="3"/>
        <charset val="134"/>
        <scheme val="minor"/>
      </rPr>
      <t>014-211号</t>
    </r>
    <phoneticPr fontId="144" type="noConversion"/>
  </si>
  <si>
    <r>
      <t>建字第2</t>
    </r>
    <r>
      <rPr>
        <sz val="11"/>
        <color theme="1"/>
        <rFont val="宋体"/>
        <family val="3"/>
        <charset val="134"/>
        <scheme val="minor"/>
      </rPr>
      <t>014-212号</t>
    </r>
    <r>
      <rPr>
        <sz val="11"/>
        <color theme="1"/>
        <rFont val="宋体"/>
        <family val="2"/>
        <charset val="134"/>
        <scheme val="minor"/>
      </rPr>
      <t/>
    </r>
  </si>
  <si>
    <r>
      <t>建字第2013-412号</t>
    </r>
    <r>
      <rPr>
        <sz val="11"/>
        <color theme="1"/>
        <rFont val="宋体"/>
        <family val="2"/>
        <charset val="134"/>
        <scheme val="minor"/>
      </rPr>
      <t/>
    </r>
    <phoneticPr fontId="144" type="noConversion"/>
  </si>
  <si>
    <t>3号住宅楼</t>
  </si>
  <si>
    <t>建字第2013-411号</t>
    <phoneticPr fontId="144" type="noConversion"/>
  </si>
  <si>
    <t>4号住宅楼</t>
  </si>
  <si>
    <t>5号住宅楼</t>
  </si>
  <si>
    <t>6号住宅楼</t>
  </si>
  <si>
    <t>7号住宅楼</t>
  </si>
  <si>
    <t>8号住宅楼</t>
  </si>
  <si>
    <t>9号住宅楼</t>
  </si>
  <si>
    <t>10号住宅楼</t>
  </si>
  <si>
    <t>11号住宅楼</t>
  </si>
  <si>
    <t>12号住宅楼</t>
  </si>
  <si>
    <t>13号住宅楼</t>
  </si>
  <si>
    <t>14号住宅楼</t>
  </si>
  <si>
    <t>15号住宅楼</t>
  </si>
  <si>
    <t>16号住宅楼</t>
  </si>
  <si>
    <t>17号住宅楼</t>
  </si>
  <si>
    <t>18号住宅楼</t>
  </si>
  <si>
    <t>19号住宅楼</t>
  </si>
  <si>
    <t>20号住宅楼</t>
  </si>
  <si>
    <t>建字第2016-452号</t>
    <phoneticPr fontId="144" type="noConversion"/>
  </si>
  <si>
    <t>建字第2017-249号</t>
    <phoneticPr fontId="144" type="noConversion"/>
  </si>
  <si>
    <t>建字第2017-250号</t>
  </si>
  <si>
    <t>建字第2015-116号</t>
    <phoneticPr fontId="144" type="noConversion"/>
  </si>
  <si>
    <t>屋顶层</t>
    <phoneticPr fontId="144" type="noConversion"/>
  </si>
  <si>
    <t>建字第2015-121号</t>
    <phoneticPr fontId="144" type="noConversion"/>
  </si>
  <si>
    <t>建字第2017-251号</t>
    <phoneticPr fontId="144" type="noConversion"/>
  </si>
  <si>
    <t>建字第2016-453号</t>
    <phoneticPr fontId="144" type="noConversion"/>
  </si>
  <si>
    <t>建字第2016-454号</t>
  </si>
  <si>
    <t>建字第2016-455号</t>
  </si>
  <si>
    <t>建字第2014-169号</t>
    <phoneticPr fontId="144" type="noConversion"/>
  </si>
  <si>
    <t>建字第2014-170号</t>
  </si>
  <si>
    <t>建字第2014-171号</t>
  </si>
  <si>
    <t>建字第2018-005号</t>
    <phoneticPr fontId="144" type="noConversion"/>
  </si>
  <si>
    <t>建字第2017-432号</t>
    <phoneticPr fontId="144" type="noConversion"/>
  </si>
  <si>
    <t>商业</t>
    <phoneticPr fontId="144" type="noConversion"/>
  </si>
  <si>
    <t>建字第2017-433号</t>
  </si>
  <si>
    <t>商业楼</t>
    <phoneticPr fontId="144" type="noConversion"/>
  </si>
  <si>
    <t>建字第2014-210号</t>
    <phoneticPr fontId="144" type="noConversion"/>
  </si>
  <si>
    <t>建字第2015-117号</t>
    <phoneticPr fontId="144" type="noConversion"/>
  </si>
  <si>
    <t>1号地下车库</t>
    <phoneticPr fontId="144" type="noConversion"/>
  </si>
  <si>
    <t>建字第2015-118号</t>
  </si>
  <si>
    <t>建字第2015-119号</t>
  </si>
  <si>
    <t>2号地下车库</t>
  </si>
  <si>
    <t>3号地下车库</t>
  </si>
  <si>
    <t>建字第2015-120号</t>
  </si>
  <si>
    <t>人防</t>
    <phoneticPr fontId="144" type="noConversion"/>
  </si>
  <si>
    <t>建字第2014-683号</t>
    <phoneticPr fontId="144" type="noConversion"/>
  </si>
  <si>
    <t>幼儿园</t>
    <phoneticPr fontId="144" type="noConversion"/>
  </si>
  <si>
    <t>总建筑面积</t>
    <phoneticPr fontId="144" type="noConversion"/>
  </si>
  <si>
    <t>计容面积</t>
    <phoneticPr fontId="144" type="noConversion"/>
  </si>
  <si>
    <t>售价</t>
  </si>
  <si>
    <t>河南新晋美置业有限公司</t>
    <phoneticPr fontId="7" type="noConversion"/>
  </si>
  <si>
    <t>国投泰安信托有限公司</t>
    <phoneticPr fontId="7" type="noConversion"/>
  </si>
  <si>
    <t>河南省开封市</t>
    <phoneticPr fontId="7" type="noConversion"/>
  </si>
  <si>
    <t>新晋美悦都</t>
    <phoneticPr fontId="4" type="noConversion"/>
  </si>
  <si>
    <t>四大街以东、晋安路以南、三大街以西</t>
    <phoneticPr fontId="4" type="noConversion"/>
  </si>
  <si>
    <t>估价对象周边路网较密集，公共交通通达情况较好、停车便捷程度较好，有27路、44路等公交车，综合评价交通便捷度较好。</t>
    <phoneticPr fontId="42" type="noConversion"/>
  </si>
  <si>
    <t>估价对象所在区域2公里范围内有：银行（中国银行、河南汴京农村商业银行），购物（大宏万达广场、和润超市），学校（二师附小、金明实验中学）等，无医院，公共配套设施齐备情况一般。</t>
    <phoneticPr fontId="42" type="noConversion"/>
  </si>
  <si>
    <t>估价对象所在区域基础设施水平达到“七通”。</t>
    <phoneticPr fontId="26" type="noConversion"/>
  </si>
  <si>
    <t>区域自然环境：有大型绿化景观，有中意湖等自然景观；人文环境：开封市博物馆、开封市规划展示馆；综合评价环境状况较好。</t>
    <phoneticPr fontId="42" type="noConversion"/>
  </si>
  <si>
    <t>预售证</t>
    <phoneticPr fontId="144" type="noConversion"/>
  </si>
  <si>
    <t>住宅</t>
    <phoneticPr fontId="144" type="noConversion"/>
  </si>
  <si>
    <t>非住宅</t>
    <phoneticPr fontId="144" type="noConversion"/>
  </si>
  <si>
    <t>已拿竣工备案</t>
    <phoneticPr fontId="144" type="noConversion"/>
  </si>
  <si>
    <t>只有附件1</t>
    <phoneticPr fontId="144" type="noConversion"/>
  </si>
  <si>
    <t>商业楼</t>
    <phoneticPr fontId="4" type="noConversion"/>
  </si>
  <si>
    <r>
      <t>1#</t>
    </r>
    <r>
      <rPr>
        <sz val="10"/>
        <color indexed="8"/>
        <rFont val="宋体"/>
        <family val="3"/>
        <charset val="134"/>
      </rPr>
      <t>地下车库</t>
    </r>
    <phoneticPr fontId="4" type="noConversion"/>
  </si>
  <si>
    <r>
      <t>2#</t>
    </r>
    <r>
      <rPr>
        <sz val="10"/>
        <color indexed="8"/>
        <rFont val="宋体"/>
        <family val="3"/>
        <charset val="134"/>
      </rPr>
      <t>地下车库</t>
    </r>
    <phoneticPr fontId="4" type="noConversion"/>
  </si>
  <si>
    <r>
      <t>3#</t>
    </r>
    <r>
      <rPr>
        <sz val="10"/>
        <color indexed="8"/>
        <rFont val="宋体"/>
        <family val="3"/>
        <charset val="134"/>
      </rPr>
      <t>地下车库</t>
    </r>
    <phoneticPr fontId="4" type="noConversion"/>
  </si>
  <si>
    <t>人防</t>
    <phoneticPr fontId="4" type="noConversion"/>
  </si>
  <si>
    <t>幼儿园</t>
    <phoneticPr fontId="4" type="noConversion"/>
  </si>
  <si>
    <t>地上</t>
  </si>
  <si>
    <t>地下</t>
  </si>
  <si>
    <t>车库</t>
  </si>
  <si>
    <t>本次抵押面积</t>
    <phoneticPr fontId="144" type="noConversion"/>
  </si>
  <si>
    <t>商业</t>
    <phoneticPr fontId="144" type="noConversion"/>
  </si>
  <si>
    <t>实测</t>
    <phoneticPr fontId="144" type="noConversion"/>
  </si>
  <si>
    <t>住宅</t>
    <phoneticPr fontId="144" type="noConversion"/>
  </si>
  <si>
    <t>地下室</t>
    <phoneticPr fontId="144" type="noConversion"/>
  </si>
  <si>
    <t>总面积</t>
    <phoneticPr fontId="144" type="noConversion"/>
  </si>
  <si>
    <t>车库</t>
    <phoneticPr fontId="144" type="noConversion"/>
  </si>
  <si>
    <t>商业</t>
    <phoneticPr fontId="144" type="noConversion"/>
  </si>
  <si>
    <t>住宅</t>
    <phoneticPr fontId="144" type="noConversion"/>
  </si>
  <si>
    <t>全部住宅</t>
    <phoneticPr fontId="144" type="noConversion"/>
  </si>
  <si>
    <t>全部住宅</t>
    <phoneticPr fontId="144" type="noConversion"/>
  </si>
  <si>
    <t>地下车库</t>
    <phoneticPr fontId="144" type="noConversion"/>
  </si>
  <si>
    <t>人防</t>
    <phoneticPr fontId="144" type="noConversion"/>
  </si>
  <si>
    <t>幼儿园</t>
    <phoneticPr fontId="144" type="noConversion"/>
  </si>
  <si>
    <t>合计</t>
    <phoneticPr fontId="144" type="noConversion"/>
  </si>
  <si>
    <t>已售（以预售证为准）</t>
    <phoneticPr fontId="144" type="noConversion"/>
  </si>
  <si>
    <t>总</t>
    <phoneticPr fontId="144" type="noConversion"/>
  </si>
  <si>
    <t>是</t>
  </si>
  <si>
    <t>住宅</t>
    <phoneticPr fontId="8" type="noConversion"/>
  </si>
  <si>
    <t>在建（套用方法）</t>
  </si>
  <si>
    <t>自定义</t>
  </si>
  <si>
    <t>按租金收入计税</t>
  </si>
  <si>
    <t>非生产用房</t>
  </si>
  <si>
    <t>收益法 (商业)</t>
  </si>
  <si>
    <t>项目局部</t>
  </si>
  <si>
    <t>郑开橄榄城</t>
    <phoneticPr fontId="4" type="noConversion"/>
  </si>
  <si>
    <t>商业</t>
    <phoneticPr fontId="32" type="noConversion"/>
  </si>
  <si>
    <t>30-40（含）</t>
  </si>
  <si>
    <t>商业：</t>
    <phoneticPr fontId="144" type="noConversion"/>
  </si>
  <si>
    <t>郑开大道与四大街交叉口</t>
    <phoneticPr fontId="4" type="noConversion"/>
  </si>
  <si>
    <t>郑开大道与四大街交叉口</t>
    <phoneticPr fontId="4" type="noConversion"/>
  </si>
  <si>
    <t>估价对象位于开封市龙亭区，周边商业氛围一般，人流量较大，商业繁华度一般。</t>
    <phoneticPr fontId="26" type="noConversion"/>
  </si>
  <si>
    <t>位于开封市龙亭区，周边商业氛围一般，人流量较大，商业繁华度一般。</t>
    <phoneticPr fontId="32" type="noConversion"/>
  </si>
  <si>
    <t>安康路与三大街交汇处东北角</t>
    <phoneticPr fontId="4" type="noConversion"/>
  </si>
  <si>
    <t>二大街东150米</t>
    <phoneticPr fontId="4" type="noConversion"/>
  </si>
  <si>
    <t>龙昇丽景</t>
    <phoneticPr fontId="4" type="noConversion"/>
  </si>
  <si>
    <r>
      <rPr>
        <sz val="11"/>
        <rFont val="宋体"/>
        <family val="3"/>
        <charset val="134"/>
      </rPr>
      <t>周边路网较密集，公共交通通达情况较好、停车便捷程度较好，有</t>
    </r>
    <r>
      <rPr>
        <sz val="11"/>
        <rFont val="Arial"/>
        <family val="2"/>
      </rPr>
      <t>39</t>
    </r>
    <r>
      <rPr>
        <sz val="11"/>
        <rFont val="宋体"/>
        <family val="3"/>
        <charset val="134"/>
      </rPr>
      <t>路、</t>
    </r>
    <r>
      <rPr>
        <sz val="11"/>
        <rFont val="Arial"/>
        <family val="2"/>
      </rPr>
      <t>52</t>
    </r>
    <r>
      <rPr>
        <sz val="11"/>
        <rFont val="宋体"/>
        <family val="3"/>
        <charset val="134"/>
      </rPr>
      <t>路等公交车，综合评价交通便捷度较好。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</si>
  <si>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公里范围内有：银行（河南汴京农村商业银行），购物（大宏万达广场、西园超市），学校（开封市实验幼儿园、金明实验中学）等，无医院，公共配套设施齐备情况一般。</t>
    </r>
    <phoneticPr fontId="26" type="noConversion"/>
  </si>
  <si>
    <t>住宅底商</t>
  </si>
  <si>
    <t>住宅底商</t>
    <phoneticPr fontId="32" type="noConversion"/>
  </si>
  <si>
    <t>精装修</t>
    <phoneticPr fontId="32" type="noConversion"/>
  </si>
  <si>
    <t>普通装修</t>
    <phoneticPr fontId="32" type="noConversion"/>
  </si>
  <si>
    <t>简单装修</t>
    <phoneticPr fontId="32" type="noConversion"/>
  </si>
  <si>
    <t>毛坯</t>
    <phoneticPr fontId="32" type="noConversion"/>
  </si>
  <si>
    <t>钢混</t>
    <phoneticPr fontId="32" type="noConversion"/>
  </si>
  <si>
    <t>混合</t>
    <phoneticPr fontId="32" type="noConversion"/>
  </si>
  <si>
    <r>
      <t>1</t>
    </r>
    <r>
      <rPr>
        <sz val="11"/>
        <color indexed="8"/>
        <rFont val="宋体"/>
        <family val="3"/>
        <charset val="134"/>
      </rPr>
      <t>层</t>
    </r>
    <phoneticPr fontId="32" type="noConversion"/>
  </si>
  <si>
    <t>1层</t>
  </si>
  <si>
    <t>大</t>
    <phoneticPr fontId="32" type="noConversion"/>
  </si>
  <si>
    <t>较大</t>
  </si>
  <si>
    <t>较大</t>
    <phoneticPr fontId="32" type="noConversion"/>
  </si>
  <si>
    <t>一般</t>
    <phoneticPr fontId="32" type="noConversion"/>
  </si>
  <si>
    <t>较小</t>
    <phoneticPr fontId="32" type="noConversion"/>
  </si>
  <si>
    <t>小</t>
    <phoneticPr fontId="32" type="noConversion"/>
  </si>
  <si>
    <t>位于开封市龙亭区，周边商业氛围较差，人流量一般，商业繁华度较差。</t>
    <phoneticPr fontId="32" type="noConversion"/>
  </si>
  <si>
    <t>可餐饮</t>
  </si>
  <si>
    <t>可餐饮</t>
    <phoneticPr fontId="32" type="noConversion"/>
  </si>
  <si>
    <t>不可餐饮</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</si>
  <si>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</si>
  <si>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</si>
  <si>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</si>
  <si>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</si>
  <si>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</si>
  <si>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已包含在土地取得成本中</t>
  </si>
  <si>
    <t>未包含在土地购买价格中</t>
  </si>
  <si>
    <t>收益法（住宅）</t>
  </si>
  <si>
    <t>比较法-住宅</t>
  </si>
  <si>
    <t>成新度</t>
  </si>
  <si>
    <t>综合成新度计算</t>
    <phoneticPr fontId="4" type="noConversion"/>
  </si>
  <si>
    <t>押一</t>
  </si>
  <si>
    <t>比较法-商业</t>
  </si>
  <si>
    <t>住宅</t>
    <phoneticPr fontId="9" type="noConversion"/>
  </si>
  <si>
    <t>商业</t>
    <phoneticPr fontId="9" type="noConversion"/>
  </si>
  <si>
    <t>结果汇总</t>
    <phoneticPr fontId="9" type="noConversion"/>
  </si>
  <si>
    <t>总价</t>
    <phoneticPr fontId="9" type="noConversion"/>
  </si>
  <si>
    <t>单价</t>
    <phoneticPr fontId="9" type="noConversion"/>
  </si>
  <si>
    <t>现房</t>
  </si>
  <si>
    <t>在建部分</t>
    <phoneticPr fontId="9" type="noConversion"/>
  </si>
  <si>
    <t>基准商业</t>
  </si>
  <si>
    <t>基准商业</t>
    <phoneticPr fontId="8" type="noConversion"/>
  </si>
  <si>
    <t>商业楼</t>
    <phoneticPr fontId="8" type="noConversion"/>
  </si>
  <si>
    <t>基准商业</t>
    <phoneticPr fontId="26" type="noConversion"/>
  </si>
  <si>
    <r>
      <rPr>
        <sz val="10"/>
        <color indexed="8"/>
        <rFont val="宋体"/>
        <family val="3"/>
        <charset val="134"/>
      </rPr>
      <t>商业楼</t>
    </r>
    <r>
      <rPr>
        <sz val="10"/>
        <color indexed="8"/>
        <rFont val="Arial"/>
        <family val="2"/>
      </rPr>
      <t>1</t>
    </r>
    <r>
      <rPr>
        <sz val="10"/>
        <color indexed="8"/>
        <rFont val="宋体"/>
        <family val="3"/>
        <charset val="134"/>
      </rPr>
      <t>层</t>
    </r>
    <phoneticPr fontId="26" type="noConversion"/>
  </si>
  <si>
    <r>
      <rPr>
        <sz val="10"/>
        <color indexed="8"/>
        <rFont val="宋体"/>
        <family val="3"/>
        <charset val="134"/>
      </rPr>
      <t>商业楼</t>
    </r>
    <r>
      <rPr>
        <sz val="10"/>
        <color indexed="8"/>
        <rFont val="Arial"/>
        <family val="2"/>
      </rPr>
      <t>2</t>
    </r>
    <r>
      <rPr>
        <sz val="10"/>
        <color indexed="8"/>
        <rFont val="宋体"/>
        <family val="3"/>
        <charset val="134"/>
      </rPr>
      <t>层</t>
    </r>
    <phoneticPr fontId="26" type="noConversion"/>
  </si>
  <si>
    <r>
      <rPr>
        <sz val="10"/>
        <color indexed="8"/>
        <rFont val="宋体"/>
        <family val="3"/>
        <charset val="134"/>
      </rPr>
      <t>商业楼</t>
    </r>
    <r>
      <rPr>
        <sz val="10"/>
        <color indexed="8"/>
        <rFont val="Arial"/>
        <family val="2"/>
      </rPr>
      <t>3</t>
    </r>
    <r>
      <rPr>
        <sz val="10"/>
        <color indexed="8"/>
        <rFont val="宋体"/>
        <family val="3"/>
        <charset val="134"/>
      </rPr>
      <t>层</t>
    </r>
    <phoneticPr fontId="26"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</si>
  <si>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</si>
  <si>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</si>
  <si>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</si>
  <si>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t>2层</t>
  </si>
  <si>
    <t>3层</t>
  </si>
  <si>
    <t>总土地面积</t>
    <phoneticPr fontId="144" type="noConversion"/>
  </si>
  <si>
    <t>总建筑面积</t>
    <phoneticPr fontId="144" type="noConversion"/>
  </si>
  <si>
    <t>本次评估建筑面积</t>
    <phoneticPr fontId="144" type="noConversion"/>
  </si>
  <si>
    <t>现房</t>
    <phoneticPr fontId="144" type="noConversion"/>
  </si>
  <si>
    <t>在建</t>
    <phoneticPr fontId="144" type="noConversion"/>
  </si>
  <si>
    <t>本次评估分摊土地面积</t>
    <phoneticPr fontId="144" type="noConversion"/>
  </si>
  <si>
    <t>现房</t>
    <phoneticPr fontId="144" type="noConversion"/>
  </si>
  <si>
    <t>35#</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</si>
</sst>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49" fontId="99" fillId="0" borderId="14" xfId="0" applyNumberFormat="1" applyFont="1" applyFill="1" applyBorder="1" applyAlignment="1" applyProtection="1">
      <alignment horizontal="center" vertical="center" wrapText="1"/>
      <protection locked="0"/>
    </xf>
    <xf numFmtId="0" fontId="100" fillId="0" borderId="0" xfId="0" applyFont="1">
      <alignment vertical="center"/>
    </xf>
    <xf numFmtId="0" fontId="51" fillId="6" borderId="58"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114" fillId="0" borderId="0" xfId="0" applyFont="1" applyAlignment="1"/>
    <xf numFmtId="0" fontId="114" fillId="5" borderId="0" xfId="0" applyFont="1" applyFill="1" applyAlignment="1"/>
    <xf numFmtId="0" fontId="99" fillId="0" borderId="9" xfId="0" applyNumberFormat="1" applyFont="1" applyFill="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0" fontId="100" fillId="0" borderId="0" xfId="0" applyFont="1" applyAlignment="1">
      <alignment horizontal="center" vertical="center"/>
    </xf>
    <xf numFmtId="0" fontId="0" fillId="0" borderId="0" xfId="0"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100" fillId="5" borderId="0" xfId="0" applyFont="1" applyFill="1" applyAlignment="1">
      <alignment horizontal="center" vertical="center"/>
    </xf>
    <xf numFmtId="0" fontId="100" fillId="17" borderId="0" xfId="0" applyFont="1" applyFill="1" applyAlignment="1">
      <alignment horizontal="center" vertical="center"/>
    </xf>
    <xf numFmtId="0" fontId="0" fillId="17" borderId="0" xfId="0" applyFill="1" applyAlignment="1">
      <alignment horizontal="center" vertical="center"/>
    </xf>
    <xf numFmtId="0" fontId="0" fillId="5" borderId="0" xfId="0" applyFill="1" applyAlignment="1">
      <alignment horizontal="center" vertical="center"/>
    </xf>
    <xf numFmtId="0" fontId="51" fillId="0" borderId="2"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0" fillId="0" borderId="0" xfId="0" applyFill="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Border="1">
      <alignment vertical="center"/>
    </xf>
    <xf numFmtId="0" fontId="0" fillId="0" borderId="0" xfId="0" applyBorder="1" applyAlignment="1">
      <alignment horizontal="center" vertical="center"/>
    </xf>
    <xf numFmtId="0" fontId="100" fillId="0" borderId="0" xfId="0" applyFont="1" applyBorder="1" applyAlignment="1">
      <alignment horizontal="center" vertical="center"/>
    </xf>
    <xf numFmtId="0" fontId="100" fillId="0" borderId="1" xfId="0" applyFont="1" applyFill="1" applyBorder="1" applyAlignment="1">
      <alignment horizontal="center" vertical="center"/>
    </xf>
    <xf numFmtId="0" fontId="0" fillId="0" borderId="1" xfId="0" applyFill="1" applyBorder="1">
      <alignment vertical="center"/>
    </xf>
    <xf numFmtId="0" fontId="102" fillId="0" borderId="0" xfId="0" applyFont="1" applyFill="1" applyAlignment="1">
      <alignment horizontal="center" vertical="center"/>
    </xf>
    <xf numFmtId="0" fontId="0" fillId="0" borderId="0" xfId="0" applyFill="1" applyBorder="1">
      <alignment vertical="center"/>
    </xf>
    <xf numFmtId="0" fontId="0" fillId="0" borderId="0" xfId="0" applyFill="1" applyBorder="1" applyAlignment="1">
      <alignment horizontal="center" vertical="center"/>
    </xf>
    <xf numFmtId="0" fontId="100" fillId="9" borderId="1" xfId="0" applyFont="1"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81" fillId="6" borderId="0" xfId="0" applyFont="1" applyFill="1" applyAlignment="1" applyProtection="1">
      <alignment vertical="center"/>
      <protection locked="0"/>
    </xf>
    <xf numFmtId="9" fontId="51" fillId="6" borderId="0" xfId="0" applyNumberFormat="1" applyFont="1" applyFill="1" applyAlignment="1" applyProtection="1">
      <alignment vertical="center"/>
      <protection locked="0"/>
    </xf>
    <xf numFmtId="9" fontId="0" fillId="0" borderId="0" xfId="0" applyNumberFormat="1"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81" fillId="6" borderId="0" xfId="0" applyFont="1" applyFill="1" applyAlignment="1" applyProtection="1">
      <alignment horizontal="center" vertical="center"/>
      <protection locked="0"/>
    </xf>
    <xf numFmtId="10" fontId="51" fillId="6" borderId="0" xfId="0" applyNumberFormat="1" applyFont="1" applyFill="1" applyAlignment="1" applyProtection="1">
      <alignment vertical="center"/>
      <protection locked="0"/>
    </xf>
    <xf numFmtId="0" fontId="81" fillId="7" borderId="0" xfId="0" applyFont="1" applyFill="1" applyAlignment="1" applyProtection="1">
      <alignment horizontal="center" vertical="center"/>
      <protection locked="0"/>
    </xf>
    <xf numFmtId="0" fontId="56" fillId="7" borderId="0" xfId="0" applyFont="1" applyFill="1" applyAlignment="1" applyProtection="1">
      <alignment horizontal="center" vertical="center"/>
      <protection locked="0"/>
    </xf>
    <xf numFmtId="0" fontId="193" fillId="0" borderId="1" xfId="0"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horizontal="center" vertical="center"/>
    </xf>
    <xf numFmtId="0" fontId="100" fillId="0" borderId="0" xfId="0" applyFont="1" applyBorder="1" applyAlignment="1">
      <alignment horizontal="center" vertical="center"/>
    </xf>
    <xf numFmtId="0" fontId="100" fillId="0" borderId="35" xfId="0" applyFont="1" applyBorder="1" applyAlignment="1">
      <alignment horizontal="center" vertical="center"/>
    </xf>
    <xf numFmtId="0" fontId="100" fillId="0" borderId="0" xfId="0" applyFont="1" applyAlignment="1">
      <alignment horizontal="center" vertical="center"/>
    </xf>
    <xf numFmtId="0" fontId="100" fillId="0" borderId="0" xfId="0" applyFont="1" applyAlignment="1">
      <alignment horizontal="center" vertical="center" wrapText="1"/>
    </xf>
    <xf numFmtId="0" fontId="0" fillId="0" borderId="0" xfId="0" applyAlignment="1">
      <alignment horizontal="center" vertical="center"/>
    </xf>
    <xf numFmtId="0" fontId="56" fillId="5" borderId="0" xfId="0" applyFont="1" applyFill="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57150</xdr:rowOff>
    </xdr:from>
    <xdr:to>
      <xdr:col>12</xdr:col>
      <xdr:colOff>123825</xdr:colOff>
      <xdr:row>33</xdr:row>
      <xdr:rowOff>28575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50"/>
          <a:ext cx="8353425" cy="528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38100</xdr:rowOff>
    </xdr:from>
    <xdr:to>
      <xdr:col>10</xdr:col>
      <xdr:colOff>85725</xdr:colOff>
      <xdr:row>72</xdr:row>
      <xdr:rowOff>85725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867400"/>
          <a:ext cx="6943725"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66675</xdr:rowOff>
    </xdr:from>
    <xdr:to>
      <xdr:col>13</xdr:col>
      <xdr:colOff>457200</xdr:colOff>
      <xdr:row>108</xdr:row>
      <xdr:rowOff>142875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753975"/>
          <a:ext cx="9372600" cy="590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123825</xdr:rowOff>
    </xdr:from>
    <xdr:to>
      <xdr:col>11</xdr:col>
      <xdr:colOff>228600</xdr:colOff>
      <xdr:row>74</xdr:row>
      <xdr:rowOff>19050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67425"/>
          <a:ext cx="9486900"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95250</xdr:rowOff>
    </xdr:from>
    <xdr:to>
      <xdr:col>9</xdr:col>
      <xdr:colOff>11223</xdr:colOff>
      <xdr:row>102</xdr:row>
      <xdr:rowOff>123825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868150"/>
          <a:ext cx="7897923"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104775</xdr:rowOff>
    </xdr:from>
    <xdr:to>
      <xdr:col>9</xdr:col>
      <xdr:colOff>63228</xdr:colOff>
      <xdr:row>132</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849725"/>
          <a:ext cx="7949928" cy="505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132</xdr:row>
      <xdr:rowOff>57151</xdr:rowOff>
    </xdr:from>
    <xdr:to>
      <xdr:col>9</xdr:col>
      <xdr:colOff>123826</xdr:colOff>
      <xdr:row>162</xdr:row>
      <xdr:rowOff>16390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 y="21945601"/>
          <a:ext cx="8010524" cy="5102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37096;&#20998;&#8212;&#8212;&#27827;&#21335;&#24320;&#23553;&#26032;&#26187;&#32654;&#24742;&#37117;36%23&#12289;37%23&#20303;&#23429;&#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827;&#21335;&#24320;&#23553;&#26032;&#26187;&#32654;&#24742;&#37117;35%23&#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住宅"/>
      <sheetName val="比较法-商业"/>
      <sheetName val="收益法 (商业)"/>
      <sheetName val="收益法"/>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土地检索数据"/>
      <sheetName val="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152958.97999999998</v>
          </cell>
          <cell r="C14">
            <v>51156.99</v>
          </cell>
          <cell r="D14">
            <v>79137</v>
          </cell>
          <cell r="G14">
            <v>79137</v>
          </cell>
        </row>
      </sheetData>
      <sheetData sheetId="17">
        <row r="19">
          <cell r="G19">
            <v>79137</v>
          </cell>
        </row>
        <row r="118">
          <cell r="I118">
            <v>5174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办公）"/>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土地检索数据"/>
      <sheetName val="规划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315875</v>
          </cell>
          <cell r="C14">
            <v>70819.22</v>
          </cell>
          <cell r="D14">
            <v>93684</v>
          </cell>
          <cell r="G14">
            <v>93684</v>
          </cell>
        </row>
      </sheetData>
      <sheetData sheetId="16">
        <row r="19">
          <cell r="G19">
            <v>93684</v>
          </cell>
        </row>
        <row r="20">
          <cell r="G20">
            <v>2966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河南省开封市龙亭区晋安路以北，三大街以西房地产抵押价值预评估</v>
      </c>
    </row>
    <row r="3" spans="1:2" s="1596" customFormat="1">
      <c r="A3" s="1594" t="s">
        <v>1221</v>
      </c>
      <c r="B3" s="1595" t="str">
        <f>'预评函-封皮'!B40</f>
        <v>河南新晋美置业有限公司</v>
      </c>
    </row>
    <row r="4" spans="1:2" s="1596" customFormat="1">
      <c r="A4" s="1594" t="s">
        <v>1222</v>
      </c>
      <c r="B4" s="1595" t="str">
        <f ca="1">'预评函-封皮'!B46</f>
        <v>郑燚（注册号：1120070131)、王鹏（注册号：1120050019)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受贵公司委托，我公司对河南省开封市龙亭区晋安路以北，三大街以西房地产抵押价值进行了预评估。</v>
      </c>
    </row>
    <row r="7" spans="1:2" s="1596" customFormat="1">
      <c r="A7" s="1594" t="s">
        <v>1264</v>
      </c>
      <c r="B7" s="1595" t="str">
        <f>'预评函-1'!A7</f>
        <v>估价对象为河南省开封市龙亭区晋安路以北，三大街以西房地产，为河南新晋美置业有限公司所有。根据《不动产权证书》[豫（2018）开封市不动产权第0027923号]，估价对象（分摊）出让国有建设用地使用权面积为1764.17平方米。根据，估价对象建筑面积为5274.86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南省开封市龙亭区晋安路以北，三大街以西房地产,属河南新晋美置业有限公司开发建设的居住项目，该项目尚在开发建设中。根据《不动产权证书》[豫（2018）开封市不动产权第0027923号]，估价对象（分摊）出让国有建设用地使用权面积为1764.17平方米。根据，估价对象规划建筑面积为5274.86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为估价委托人在向国投泰安信托有限公司办理贷款手续过程中，确定房地产抵押贷款额度提供参考依据而评估房地产抵押价值。</v>
      </c>
    </row>
    <row r="12" spans="1:2" s="1596" customFormat="1">
      <c r="A12" s="1594" t="s">
        <v>1226</v>
      </c>
      <c r="B12" s="1595" t="str">
        <f>'预评函-1'!A15</f>
        <v>2018年7月26日（评估专业人员实地查勘之日）</v>
      </c>
    </row>
    <row r="13" spans="1:2" s="1596" customFormat="1">
      <c r="A13" s="1594" t="s">
        <v>1227</v>
      </c>
      <c r="B13" s="1595" t="str">
        <f>'预评函-1'!A18</f>
        <v>本次估价的“房地产价值”是指在正常市场情况下，在价值时点2018年7月26日，估价对象规划用途为住宅、商业，土地取得方式为出让，出让国有建设用地使用权剩余土地使用年限为住宅62.4年、商业32.4年，假定未设立法定优先受偿款下的房地产市场价值。</v>
      </c>
    </row>
    <row r="14" spans="1:2" s="1596" customFormat="1">
      <c r="A14" s="1594" t="s">
        <v>1228</v>
      </c>
      <c r="B14" s="1595" t="str">
        <f>'预评函-1'!A19</f>
        <v>其中，“出让国有建设用地使用权价值”是指估价对象用途为住宅、商业，实际开发程度为宗地红线外“七通”（即通路、通电、通讯、通上水、通下水、通热、燃气）、红线内场地平整条件下，剩余土地使用年限为住宅62.4年、商业32.4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1770</v>
      </c>
    </row>
    <row r="21" spans="1:2" s="1596" customFormat="1">
      <c r="A21" s="1594" t="s">
        <v>1235</v>
      </c>
      <c r="B21" s="1595">
        <f ca="1">'预评函-2'!D7</f>
        <v>3356</v>
      </c>
    </row>
    <row r="22" spans="1:2" s="1596" customFormat="1">
      <c r="A22" s="1594" t="s">
        <v>1236</v>
      </c>
      <c r="B22" s="1595" t="str">
        <f ca="1">'预评函-2'!D6</f>
        <v>壹仟柒佰柒拾万元整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1770</v>
      </c>
    </row>
    <row r="31" spans="1:2" s="1596" customFormat="1">
      <c r="A31" s="1594" t="s">
        <v>1274</v>
      </c>
      <c r="B31" s="1595">
        <f ca="1">'预评函-2'!D15</f>
        <v>3356</v>
      </c>
    </row>
    <row r="32" spans="1:2" s="1596" customFormat="1">
      <c r="A32" s="1594" t="s">
        <v>1241</v>
      </c>
      <c r="B32" s="1595" t="str">
        <f ca="1">'预评函-2'!D14</f>
        <v>壹仟柒佰柒拾万元整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河南省开封市龙亭区晋安路以北，三大街以西房地产</v>
      </c>
    </row>
    <row r="42" spans="1:2" s="1596" customFormat="1">
      <c r="A42" s="1594" t="s">
        <v>1288</v>
      </c>
      <c r="B42" s="1595" t="str">
        <f>'预评函-3'!B2</f>
        <v>建筑面积</v>
      </c>
    </row>
    <row r="43" spans="1:2" s="1596" customFormat="1">
      <c r="A43" s="1594" t="s">
        <v>1289</v>
      </c>
      <c r="B43" s="1595">
        <f>'预评函-3'!B4</f>
        <v>5274.8599999999988</v>
      </c>
    </row>
    <row r="44" spans="1:2" s="1596" customFormat="1">
      <c r="A44" s="1594" t="s">
        <v>1273</v>
      </c>
      <c r="B44" s="1595" t="str">
        <f>'预评函-3'!C2</f>
        <v>(分摊)土地面积</v>
      </c>
    </row>
    <row r="45" spans="1:2" s="1596" customFormat="1">
      <c r="A45" s="1594" t="s">
        <v>1245</v>
      </c>
      <c r="B45" s="1595">
        <f>'预评函-3'!C4</f>
        <v>1764.17</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8" sqref="Y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3390</v>
      </c>
      <c r="C17" s="2018"/>
    </row>
    <row r="18" spans="1:3">
      <c r="A18" s="2017" t="s">
        <v>1767</v>
      </c>
      <c r="B18" s="2017" t="s">
        <v>3432</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为估价委托人在向国投泰安信托有限公司办理贷款手续过程中，确定房地产抵押贷款额度提供参考依据而评估房地产抵押价值。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新晋美置业有限公司拟使用河南省开封市龙亭区晋安路以北，三大街以西房地产作为抵押担保物，向国投泰安信托有限公司办理贷款手续。国投泰安信托有限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065"/>
      <c r="B54" s="2025" t="s">
        <v>864</v>
      </c>
      <c r="C54" s="2022" t="s">
        <v>1281</v>
      </c>
    </row>
    <row r="55" spans="1:4">
      <c r="A55" s="3065"/>
      <c r="B55" s="2025" t="s">
        <v>865</v>
      </c>
      <c r="C55" s="2022" t="s">
        <v>1282</v>
      </c>
    </row>
    <row r="56" spans="1:4">
      <c r="A56" s="3065"/>
      <c r="B56" s="2025" t="s">
        <v>866</v>
      </c>
      <c r="C56" s="2022" t="s">
        <v>1286</v>
      </c>
    </row>
    <row r="57" spans="1:4">
      <c r="A57" s="306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1" sqref="N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1776</v>
      </c>
      <c r="B1" s="3074" t="str">
        <f>IF(B10="北京市","北京市",C10)&amp;F10&amp;IF('结果表（住宅）'!G1="在建","出让国有建设用地使用权及在建建筑物",IF('结果表（住宅）'!G1="土地","出让国有建设用地使用权",))&amp;B9&amp;"预评估"</f>
        <v>河南省开封市龙亭区晋安路以北，三大街以西房地产抵押价值预评估</v>
      </c>
      <c r="C1" s="3075"/>
      <c r="D1" s="3075"/>
      <c r="E1" s="3075"/>
      <c r="F1" s="3075"/>
      <c r="G1" s="3075"/>
      <c r="H1" s="3075"/>
      <c r="I1" s="3076"/>
      <c r="J1" s="2029"/>
      <c r="K1" s="2030"/>
      <c r="L1" s="2031"/>
      <c r="M1" s="2031"/>
      <c r="N1" s="2032"/>
      <c r="O1" s="2033"/>
      <c r="P1" s="2032"/>
      <c r="Q1" s="2032"/>
      <c r="R1" s="2032"/>
      <c r="S1" s="2034" t="str">
        <f>IF(B10="北京市","北京市",C10)&amp;F10&amp;IF('结果表（住宅）'!G1="在建","出让国有建设用地使用权及在建建筑物房地产抵押价值",IF('结果表（住宅）'!G1="土地","出让国有建设用地使用权抵押价值",B9))</f>
        <v>河南省开封市龙亭区晋安路以北，三大街以西房地产抵押价值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IF(B10="北京市","北京市",C10)&amp;F10&amp;IF('结果表（住宅）'!G1="在建","出让国有建设用地使用权及在建建筑物房地产",IF('结果表（住宅）'!G1="土地","出让国有建设用地使用权","房地产"))</f>
        <v>河南省开封市龙亭区晋安路以北，三大街以西房地产</v>
      </c>
    </row>
    <row r="3" spans="1:19" ht="18" customHeight="1">
      <c r="A3" s="2038" t="s">
        <v>1778</v>
      </c>
      <c r="B3" s="2039">
        <v>43307</v>
      </c>
      <c r="C3" s="2040" t="s">
        <v>1779</v>
      </c>
      <c r="D3" s="2039">
        <v>43307</v>
      </c>
      <c r="E3" s="2029"/>
      <c r="F3" s="2029"/>
      <c r="G3" s="2029"/>
      <c r="H3" s="2029"/>
      <c r="I3" s="2029"/>
      <c r="J3" s="2029"/>
      <c r="K3" s="2030"/>
      <c r="L3" s="2031"/>
      <c r="M3" s="2031"/>
      <c r="N3" s="2032"/>
      <c r="O3" s="2033"/>
      <c r="P3" s="2032"/>
      <c r="Q3" s="2032"/>
      <c r="R3" s="2032"/>
      <c r="S3" s="2034"/>
    </row>
    <row r="4" spans="1:19" ht="18" customHeight="1" thickBot="1">
      <c r="A4" s="2041" t="s">
        <v>1780</v>
      </c>
      <c r="B4" s="2042" t="s">
        <v>3038</v>
      </c>
      <c r="C4" s="1040">
        <f ca="1">SUMIF(注册房地产估价师,B4,估价师及机构信息!B3:B24)</f>
        <v>1120070131</v>
      </c>
      <c r="D4" s="2042" t="s">
        <v>3039</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1781</v>
      </c>
      <c r="B5" s="2938" t="s">
        <v>3344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39" t="s">
        <v>3345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38" t="s">
        <v>3040</v>
      </c>
      <c r="C7" s="2051"/>
      <c r="D7" s="2052"/>
      <c r="E7" s="2037"/>
      <c r="F7" s="2045"/>
      <c r="G7" s="2045"/>
      <c r="H7" s="2045"/>
      <c r="I7" s="2045"/>
      <c r="J7" s="2045"/>
      <c r="K7" s="2054"/>
      <c r="L7" s="2031"/>
      <c r="M7" s="2031"/>
      <c r="N7" s="2032"/>
      <c r="O7" s="2033"/>
      <c r="P7" s="2032"/>
      <c r="Q7" s="2032"/>
      <c r="R7" s="2032"/>
    </row>
    <row r="8" spans="1:19" ht="18" customHeight="1">
      <c r="A8" s="2050" t="s">
        <v>1784</v>
      </c>
      <c r="B8" s="2055" t="s">
        <v>3041</v>
      </c>
      <c r="C8" s="2056"/>
      <c r="D8" s="3077" t="s">
        <v>1785</v>
      </c>
      <c r="E8" s="2057" t="s">
        <v>3042</v>
      </c>
      <c r="F8" s="2058"/>
      <c r="G8" s="2029"/>
      <c r="H8" s="2029"/>
      <c r="I8" s="2029"/>
      <c r="J8" s="2045"/>
      <c r="K8" s="2046"/>
      <c r="L8" s="2031"/>
      <c r="M8" s="2031"/>
      <c r="N8" s="2032"/>
      <c r="O8" s="2033"/>
      <c r="P8" s="2032"/>
      <c r="Q8" s="2032"/>
      <c r="R8" s="2032"/>
    </row>
    <row r="9" spans="1:19" ht="18" customHeight="1" thickBot="1">
      <c r="A9" s="2043" t="s">
        <v>1786</v>
      </c>
      <c r="B9" s="2059" t="s">
        <v>3042</v>
      </c>
      <c r="C9" s="2060"/>
      <c r="D9" s="3078"/>
      <c r="E9" s="2059"/>
      <c r="F9" s="2061"/>
      <c r="G9" s="2062"/>
      <c r="H9" s="2062"/>
      <c r="I9" s="2062"/>
      <c r="J9" s="2045"/>
      <c r="K9" s="2054"/>
      <c r="L9" s="2031"/>
      <c r="M9" s="2031"/>
      <c r="N9" s="2032"/>
      <c r="O9" s="2033"/>
      <c r="P9" s="2032"/>
      <c r="Q9" s="2032"/>
      <c r="R9" s="2032"/>
    </row>
    <row r="10" spans="1:19" ht="18" customHeight="1" thickTop="1" thickBot="1">
      <c r="A10" s="2063" t="s">
        <v>1787</v>
      </c>
      <c r="B10" s="2064" t="s">
        <v>3043</v>
      </c>
      <c r="C10" s="2940" t="s">
        <v>3346</v>
      </c>
      <c r="D10" s="2049"/>
      <c r="E10" s="2065" t="s">
        <v>1788</v>
      </c>
      <c r="F10" s="2941" t="s">
        <v>3047</v>
      </c>
      <c r="G10" s="2066"/>
      <c r="H10" s="2067"/>
      <c r="I10" s="2049"/>
      <c r="J10" s="2045"/>
      <c r="K10" s="2054"/>
      <c r="L10" s="2031"/>
      <c r="M10" s="2031"/>
      <c r="N10" s="2032"/>
      <c r="O10" s="2033"/>
      <c r="P10" s="2032"/>
      <c r="Q10" s="2032"/>
      <c r="R10" s="2032"/>
    </row>
    <row r="11" spans="1:19" ht="18" customHeight="1" thickTop="1">
      <c r="A11" s="2068" t="s">
        <v>1789</v>
      </c>
      <c r="B11" s="2069" t="s">
        <v>3044</v>
      </c>
      <c r="C11" s="2938" t="s">
        <v>3040</v>
      </c>
      <c r="D11" s="2070"/>
      <c r="E11" s="2045"/>
      <c r="F11" s="2045"/>
      <c r="G11" s="2045"/>
      <c r="H11" s="2045"/>
      <c r="I11" s="2045"/>
      <c r="J11" s="2045"/>
      <c r="K11" s="2054"/>
      <c r="L11" s="2031"/>
      <c r="M11" s="2031"/>
      <c r="N11" s="2032"/>
      <c r="O11" s="2033"/>
      <c r="P11" s="2032"/>
      <c r="Q11" s="2032"/>
      <c r="R11" s="2032"/>
    </row>
    <row r="12" spans="1:19" ht="18" customHeight="1">
      <c r="A12" s="2071" t="s">
        <v>1790</v>
      </c>
      <c r="B12" s="2069" t="s">
        <v>3045</v>
      </c>
      <c r="C12" s="2072" t="s">
        <v>1791</v>
      </c>
      <c r="D12" s="2073" t="s">
        <v>1792</v>
      </c>
      <c r="E12" s="2073" t="s">
        <v>1793</v>
      </c>
      <c r="F12" s="2073" t="s">
        <v>1794</v>
      </c>
      <c r="G12" s="2073" t="s">
        <v>1795</v>
      </c>
      <c r="H12" s="2073" t="s">
        <v>1796</v>
      </c>
      <c r="I12" s="2073" t="s">
        <v>1797</v>
      </c>
      <c r="J12" s="2045"/>
      <c r="K12" s="2054"/>
      <c r="L12" s="2031"/>
      <c r="M12" s="2031"/>
      <c r="N12" s="2032"/>
      <c r="O12" s="2033"/>
      <c r="P12" s="2032"/>
      <c r="Q12" s="2032"/>
      <c r="R12" s="2032"/>
    </row>
    <row r="13" spans="1:19" ht="18" customHeight="1">
      <c r="A13" s="2074"/>
      <c r="B13" s="2075"/>
      <c r="C13" s="2076" t="s">
        <v>1798</v>
      </c>
      <c r="D13" s="2077">
        <v>66111</v>
      </c>
      <c r="E13" s="2077">
        <v>55153</v>
      </c>
      <c r="F13" s="2077"/>
      <c r="G13" s="2077">
        <v>58806</v>
      </c>
      <c r="H13" s="2077"/>
      <c r="I13" s="1050"/>
      <c r="J13" s="2045"/>
      <c r="K13" s="2054"/>
      <c r="L13" s="2031"/>
      <c r="M13" s="2031"/>
      <c r="N13" s="2032"/>
      <c r="O13" s="2033"/>
      <c r="P13" s="2032"/>
      <c r="Q13" s="2032"/>
      <c r="R13" s="2032"/>
    </row>
    <row r="14" spans="1:19" ht="18" customHeight="1">
      <c r="A14" s="2074"/>
      <c r="B14" s="2075"/>
      <c r="C14" s="2076" t="s">
        <v>1799</v>
      </c>
      <c r="D14" s="1053">
        <v>70</v>
      </c>
      <c r="E14" s="1053">
        <v>40</v>
      </c>
      <c r="F14" s="1053"/>
      <c r="G14" s="1053">
        <v>50</v>
      </c>
      <c r="H14" s="1053"/>
      <c r="I14" s="1053"/>
      <c r="J14" s="2045"/>
      <c r="K14" s="2078"/>
      <c r="L14" s="2031"/>
      <c r="M14" s="2031"/>
      <c r="N14" s="2032"/>
      <c r="O14" s="2033"/>
      <c r="P14" s="2032"/>
      <c r="Q14" s="2032"/>
      <c r="R14" s="2032"/>
    </row>
    <row r="15" spans="1:19" ht="18" customHeight="1">
      <c r="A15" s="2063"/>
      <c r="B15" s="2079"/>
      <c r="C15" s="2076" t="s">
        <v>1800</v>
      </c>
      <c r="D15" s="1052">
        <f>IF(B12="出让",IF(D13="","",ROUNDDOWN(MIN((D13-$D$3)/365,D14),2)),D14)</f>
        <v>62.47</v>
      </c>
      <c r="E15" s="1052">
        <f>IF(B12="出让",IF(E13="","",ROUNDDOWN(MIN((E13-$D$3)/365,E14),2)),E14)</f>
        <v>32.450000000000003</v>
      </c>
      <c r="F15" s="1052" t="str">
        <f>IF(B12="出让",IF(F13="","",ROUNDDOWN(MIN((F13-$D$3)/365,F14),2)),F14)</f>
        <v/>
      </c>
      <c r="G15" s="1052">
        <f>IF(B12="出让",IF(G13="","",ROUNDDOWN(MIN((G13-$D$3)/365,G14),2)),G14)</f>
        <v>42.46</v>
      </c>
      <c r="H15" s="1052" t="str">
        <f>IF(B12="出让",IF(H13="","",ROUNDDOWN(MIN((H13-$D$3)/365,H14),2)),H14)</f>
        <v/>
      </c>
      <c r="I15" s="1052" t="str">
        <f>IF(B12="出让",IF(I13="","",ROUNDDOWN(MIN((I13-$D$3)/365,I14),2)),I14)</f>
        <v/>
      </c>
      <c r="J15" s="2045"/>
      <c r="K15" s="2080"/>
      <c r="L15" s="2081"/>
      <c r="M15" s="2081"/>
      <c r="N15" s="2082"/>
      <c r="O15" s="2081"/>
      <c r="P15" s="2082"/>
      <c r="Q15" s="2032"/>
      <c r="R15" s="2032"/>
    </row>
    <row r="16" spans="1:19" ht="30.75" customHeight="1">
      <c r="A16" s="2065" t="s">
        <v>1801</v>
      </c>
      <c r="B16" s="3084" t="s">
        <v>3048</v>
      </c>
      <c r="C16" s="3085"/>
      <c r="D16" s="3086"/>
      <c r="E16" s="2083" t="s">
        <v>1802</v>
      </c>
      <c r="F16" s="3087" t="s">
        <v>3049</v>
      </c>
      <c r="G16" s="3088"/>
      <c r="H16" s="3088"/>
      <c r="I16" s="3089"/>
      <c r="J16" s="2032"/>
      <c r="K16" s="2080"/>
      <c r="L16" s="2081"/>
      <c r="M16" s="2081"/>
      <c r="N16" s="2082"/>
      <c r="O16" s="2081"/>
      <c r="P16" s="2082"/>
      <c r="Q16" s="2032"/>
      <c r="R16" s="2032"/>
    </row>
    <row r="17" spans="1:22" ht="18" customHeight="1">
      <c r="A17" s="2084" t="s">
        <v>1803</v>
      </c>
      <c r="B17" s="2038" t="s">
        <v>1804</v>
      </c>
      <c r="C17" s="1057">
        <f>'数据-汇总表'!E3</f>
        <v>5274.8599999999988</v>
      </c>
      <c r="D17" s="2085" t="s">
        <v>1805</v>
      </c>
      <c r="E17" s="3090"/>
      <c r="F17" s="3091"/>
      <c r="G17" s="3091"/>
      <c r="H17" s="3091"/>
      <c r="I17" s="3092"/>
      <c r="J17" s="2032"/>
      <c r="K17" s="2086"/>
      <c r="L17" s="2081"/>
      <c r="M17" s="2081"/>
      <c r="N17" s="2082"/>
      <c r="O17" s="2081"/>
      <c r="P17" s="2082"/>
      <c r="Q17" s="2032"/>
      <c r="R17" s="2032"/>
      <c r="S17" s="2032"/>
      <c r="T17" s="2032"/>
      <c r="U17" s="2032"/>
      <c r="V17" s="2032"/>
    </row>
    <row r="18" spans="1:22" ht="36" customHeight="1" thickBot="1">
      <c r="A18" s="2087" t="s">
        <v>70</v>
      </c>
      <c r="B18" s="2041" t="s">
        <v>1806</v>
      </c>
      <c r="C18" s="1447">
        <f>'数据-汇总表'!D3</f>
        <v>1764.17</v>
      </c>
      <c r="D18" s="2088" t="s">
        <v>1805</v>
      </c>
      <c r="E18" s="3093" t="s">
        <v>3046</v>
      </c>
      <c r="F18" s="3094"/>
      <c r="G18" s="3094"/>
      <c r="H18" s="3094"/>
      <c r="I18" s="3095"/>
      <c r="J18" s="2032"/>
      <c r="K18" s="2086"/>
      <c r="L18" s="2081"/>
      <c r="M18" s="2081"/>
      <c r="N18" s="2082"/>
      <c r="O18" s="2081"/>
      <c r="P18" s="2082"/>
      <c r="Q18" s="2032"/>
      <c r="R18" s="2032"/>
      <c r="S18" s="2032"/>
      <c r="T18" s="2032"/>
      <c r="U18" s="2032"/>
      <c r="V18" s="2032"/>
    </row>
    <row r="19" spans="1:22" ht="37.5" customHeight="1" thickTop="1" thickBot="1">
      <c r="A19" s="373" t="s">
        <v>1807</v>
      </c>
      <c r="B19" s="352" t="s">
        <v>1808</v>
      </c>
      <c r="C19" s="2089" t="s">
        <v>3050</v>
      </c>
      <c r="D19" s="2090" t="s">
        <v>1809</v>
      </c>
      <c r="E19" s="2091" t="s">
        <v>70</v>
      </c>
      <c r="F19" s="2092" t="str">
        <f>IF(AND(C19="是",E19="否"),"是否提供他项权证或相关说明","")</f>
        <v/>
      </c>
      <c r="G19" s="2093"/>
      <c r="H19" s="2045"/>
      <c r="I19" s="2045"/>
      <c r="J19" s="2045"/>
      <c r="K19" s="2054"/>
      <c r="L19" s="2031"/>
      <c r="M19" s="2031"/>
      <c r="N19" s="2082"/>
      <c r="O19" s="2081"/>
      <c r="P19" s="2082"/>
      <c r="Q19" s="2032"/>
      <c r="R19" s="2032"/>
      <c r="S19" s="2032"/>
      <c r="T19" s="2032"/>
      <c r="U19" s="2032"/>
      <c r="V19" s="2032"/>
    </row>
    <row r="20" spans="1:22" ht="18" customHeight="1">
      <c r="A20" s="2094" t="s">
        <v>1810</v>
      </c>
      <c r="B20" s="3080" t="s">
        <v>1811</v>
      </c>
      <c r="C20" s="3081"/>
      <c r="D20" s="3082" t="s">
        <v>1812</v>
      </c>
      <c r="E20" s="3083"/>
      <c r="F20" s="2095" t="s">
        <v>1813</v>
      </c>
      <c r="G20" s="2045"/>
      <c r="H20" s="2045"/>
      <c r="I20" s="2045"/>
      <c r="J20" s="2045"/>
      <c r="K20" s="3079" t="s">
        <v>1814</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1"/>
      <c r="N20" s="2082"/>
      <c r="O20" s="2081"/>
      <c r="P20" s="2082"/>
      <c r="Q20" s="2032"/>
      <c r="R20" s="2032"/>
      <c r="S20" s="2032"/>
      <c r="T20" s="2032"/>
      <c r="U20" s="2032"/>
      <c r="V20" s="2032"/>
    </row>
    <row r="21" spans="1:22" ht="24.75" customHeight="1">
      <c r="A21" s="2094"/>
      <c r="B21" s="2096" t="s">
        <v>3051</v>
      </c>
      <c r="C21" s="2097" t="s">
        <v>3052</v>
      </c>
      <c r="D21" s="2098"/>
      <c r="E21" s="2099"/>
      <c r="F21" s="2100"/>
      <c r="G21" s="2045"/>
      <c r="H21" s="2045"/>
      <c r="I21" s="2045"/>
      <c r="J21" s="2045"/>
      <c r="K21" s="307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2"/>
      <c r="O21" s="2081"/>
      <c r="P21" s="2082"/>
      <c r="Q21" s="2032"/>
      <c r="R21" s="2032"/>
      <c r="S21" s="2032"/>
      <c r="T21" s="2032"/>
      <c r="U21" s="2032"/>
      <c r="V21" s="2032"/>
    </row>
    <row r="22" spans="1:22" ht="24.75" customHeight="1" thickBot="1">
      <c r="A22" s="2094"/>
      <c r="B22" s="2101"/>
      <c r="C22" s="2097"/>
      <c r="D22" s="2029"/>
      <c r="E22" s="2029"/>
      <c r="F22" s="2102"/>
      <c r="G22" s="2045"/>
      <c r="H22" s="2045"/>
      <c r="I22" s="2045"/>
      <c r="J22" s="2045"/>
      <c r="K22" s="3079"/>
      <c r="L22" s="748"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2"/>
      <c r="O22" s="2081"/>
      <c r="P22" s="2082"/>
      <c r="Q22" s="2032"/>
      <c r="R22" s="2032"/>
      <c r="S22" s="2032"/>
      <c r="T22" s="2032"/>
      <c r="U22" s="2032"/>
      <c r="V22" s="2032"/>
    </row>
    <row r="23" spans="1:22" ht="18" customHeight="1">
      <c r="A23" s="2103" t="s">
        <v>1815</v>
      </c>
      <c r="B23" s="183" t="s">
        <v>1816</v>
      </c>
      <c r="C23" s="2104"/>
      <c r="D23" s="2105" t="s">
        <v>1816</v>
      </c>
      <c r="E23" s="2106"/>
      <c r="F23" s="2102"/>
      <c r="G23" s="2045"/>
      <c r="H23" s="2045"/>
      <c r="I23" s="2045"/>
      <c r="J23" s="2045"/>
      <c r="K23" s="2107"/>
      <c r="L23" s="748"/>
      <c r="M23" s="2031"/>
      <c r="N23" s="2082"/>
      <c r="O23" s="2081"/>
      <c r="P23" s="2082"/>
      <c r="Q23" s="2032"/>
      <c r="R23" s="2032"/>
      <c r="S23" s="2032"/>
      <c r="T23" s="2032"/>
      <c r="U23" s="2032"/>
      <c r="V23" s="2032"/>
    </row>
    <row r="24" spans="1:22" ht="18" customHeight="1">
      <c r="A24" s="2108"/>
      <c r="B24" s="183" t="s">
        <v>1817</v>
      </c>
      <c r="C24" s="2109"/>
      <c r="D24" s="2103" t="s">
        <v>1817</v>
      </c>
      <c r="E24" s="2110"/>
      <c r="F24" s="2102"/>
      <c r="G24" s="2045"/>
      <c r="H24" s="2045"/>
      <c r="I24" s="2045"/>
      <c r="J24" s="2045"/>
      <c r="K24" s="2107"/>
      <c r="L24" s="748"/>
      <c r="M24" s="2031"/>
      <c r="N24" s="2082"/>
      <c r="O24" s="2081"/>
      <c r="P24" s="2082"/>
      <c r="Q24" s="2032"/>
      <c r="R24" s="2032"/>
      <c r="S24" s="2032"/>
      <c r="T24" s="2032"/>
      <c r="U24" s="2032"/>
      <c r="V24" s="2032"/>
    </row>
    <row r="25" spans="1:22" ht="18" customHeight="1">
      <c r="A25" s="2108"/>
      <c r="B25" s="183" t="s">
        <v>1818</v>
      </c>
      <c r="C25" s="2109"/>
      <c r="D25" s="2103" t="s">
        <v>1818</v>
      </c>
      <c r="E25" s="2110"/>
      <c r="F25" s="2102"/>
      <c r="G25" s="2045"/>
      <c r="H25" s="2045"/>
      <c r="I25" s="2045"/>
      <c r="J25" s="2045"/>
      <c r="K25" s="2054"/>
      <c r="L25" s="2031"/>
      <c r="M25" s="2031"/>
      <c r="N25" s="2082"/>
      <c r="O25" s="2081"/>
      <c r="P25" s="2082"/>
      <c r="Q25" s="2032"/>
      <c r="R25" s="2032"/>
      <c r="S25" s="2032"/>
      <c r="T25" s="2032"/>
      <c r="U25" s="2032"/>
      <c r="V25" s="2032"/>
    </row>
    <row r="26" spans="1:22" ht="18" customHeight="1" thickBot="1">
      <c r="A26" s="2111"/>
      <c r="B26" s="2112" t="s">
        <v>1819</v>
      </c>
      <c r="C26" s="2113"/>
      <c r="D26" s="2114" t="s">
        <v>1820</v>
      </c>
      <c r="E26" s="2115"/>
      <c r="F26" s="2116"/>
      <c r="G26" s="2062"/>
      <c r="H26" s="2062"/>
      <c r="I26" s="2062"/>
      <c r="J26" s="2045"/>
      <c r="K26" s="2054"/>
      <c r="L26" s="2031"/>
      <c r="M26" s="2031"/>
      <c r="N26" s="2082"/>
      <c r="O26" s="2081"/>
      <c r="P26" s="2082"/>
      <c r="Q26" s="2032"/>
      <c r="R26" s="2032"/>
      <c r="S26" s="2032"/>
      <c r="T26" s="2032"/>
      <c r="U26" s="2032"/>
      <c r="V26" s="2032"/>
    </row>
    <row r="27" spans="1:22" ht="18" customHeight="1" thickTop="1">
      <c r="A27" s="3067" t="s">
        <v>1821</v>
      </c>
      <c r="B27" s="2063" t="s">
        <v>1822</v>
      </c>
      <c r="C27" s="2117" t="s">
        <v>3054</v>
      </c>
      <c r="D27" s="2118"/>
      <c r="E27" s="2045"/>
      <c r="F27" s="2045"/>
      <c r="G27" s="2045"/>
      <c r="H27" s="2045"/>
      <c r="I27" s="2045"/>
      <c r="J27" s="2032"/>
      <c r="K27" s="2080"/>
      <c r="L27" s="2081"/>
      <c r="M27" s="2081"/>
      <c r="N27" s="2082"/>
      <c r="O27" s="2081"/>
      <c r="P27" s="2082"/>
      <c r="Q27" s="2032"/>
      <c r="R27" s="2032"/>
      <c r="S27" s="2032"/>
      <c r="T27" s="2032"/>
      <c r="U27" s="2032"/>
      <c r="V27" s="2032"/>
    </row>
    <row r="28" spans="1:22" ht="18" customHeight="1">
      <c r="A28" s="3067"/>
      <c r="B28" s="2038" t="s">
        <v>1823</v>
      </c>
      <c r="C28" s="2119" t="s">
        <v>3055</v>
      </c>
      <c r="D28" s="2120"/>
      <c r="E28" s="2045"/>
      <c r="F28" s="2045"/>
      <c r="G28" s="2045"/>
      <c r="H28" s="2045"/>
      <c r="I28" s="2045"/>
      <c r="J28" s="2032"/>
      <c r="K28" s="2121"/>
      <c r="L28" s="2031"/>
      <c r="M28" s="2031"/>
      <c r="N28" s="2032"/>
      <c r="O28" s="2033"/>
      <c r="P28" s="2032"/>
      <c r="Q28" s="2032"/>
      <c r="R28" s="2032"/>
      <c r="S28" s="2032"/>
      <c r="T28" s="2032"/>
      <c r="U28" s="2032"/>
      <c r="V28" s="2032"/>
    </row>
    <row r="29" spans="1:22" ht="18" customHeight="1">
      <c r="A29" s="3067"/>
      <c r="B29" s="2038" t="s">
        <v>1824</v>
      </c>
      <c r="C29" s="2122" t="s">
        <v>3050</v>
      </c>
      <c r="D29" s="2123"/>
      <c r="E29" s="2045"/>
      <c r="F29" s="2045"/>
      <c r="G29" s="2045"/>
      <c r="H29" s="2045"/>
      <c r="I29" s="2045"/>
      <c r="J29" s="2032"/>
      <c r="K29" s="2121"/>
      <c r="L29" s="2031"/>
      <c r="M29" s="2031"/>
      <c r="N29" s="2032"/>
      <c r="O29" s="2033"/>
      <c r="P29" s="2032"/>
      <c r="Q29" s="2032"/>
      <c r="R29" s="2032"/>
      <c r="S29" s="2032"/>
      <c r="T29" s="2032"/>
      <c r="U29" s="2032"/>
      <c r="V29" s="2032"/>
    </row>
    <row r="30" spans="1:22" ht="18" customHeight="1">
      <c r="A30" s="3068"/>
      <c r="B30" s="2038" t="s">
        <v>1825</v>
      </c>
      <c r="C30" s="3069"/>
      <c r="D30" s="3070"/>
      <c r="E30" s="2045"/>
      <c r="F30" s="2045"/>
      <c r="G30" s="2045"/>
      <c r="H30" s="2045"/>
      <c r="I30" s="2045"/>
      <c r="J30" s="2032"/>
      <c r="K30" s="2121"/>
      <c r="L30" s="2031"/>
      <c r="M30" s="2031"/>
      <c r="N30" s="2032"/>
      <c r="O30" s="2033"/>
      <c r="P30" s="2032"/>
      <c r="Q30" s="2032"/>
      <c r="R30" s="2032"/>
      <c r="S30" s="2032"/>
      <c r="T30" s="2032"/>
      <c r="U30" s="2032"/>
      <c r="V30" s="2032"/>
    </row>
    <row r="31" spans="1:22" ht="18" customHeight="1">
      <c r="A31" s="3071" t="s">
        <v>1826</v>
      </c>
      <c r="B31" s="2124" t="s">
        <v>3053</v>
      </c>
      <c r="C31" s="2125" t="str">
        <f>IF(B31="现房","成新及维护状况正常否",IF(B31="在建","工程状态是否正常",IF(B31="土地","是否闲置","-")))</f>
        <v>工程状态是否正常</v>
      </c>
      <c r="D31" s="2126"/>
      <c r="E31" s="2127"/>
      <c r="F31" s="2045"/>
      <c r="G31" s="2045"/>
      <c r="H31" s="2045"/>
      <c r="I31" s="2045"/>
      <c r="J31" s="2045"/>
      <c r="K31" s="2053"/>
      <c r="L31" s="2031"/>
      <c r="M31" s="2031"/>
      <c r="N31" s="2032"/>
      <c r="O31" s="2033"/>
      <c r="P31" s="2032"/>
      <c r="Q31" s="2032"/>
      <c r="R31" s="2032"/>
      <c r="S31" s="2032"/>
      <c r="T31" s="2032"/>
      <c r="U31" s="2032"/>
      <c r="V31" s="2032"/>
    </row>
    <row r="32" spans="1:22" ht="18" customHeight="1">
      <c r="A32" s="3072"/>
      <c r="B32" s="2124"/>
      <c r="C32" s="2125" t="str">
        <f>IF(B32="现房","成新及维护状况是否正常",IF(B32="在建","工程状态是否正常",IF(B32="土地","是否闲置","-")))</f>
        <v>-</v>
      </c>
      <c r="D32" s="2126"/>
      <c r="E32" s="2127"/>
      <c r="F32" s="2045"/>
      <c r="G32" s="2045"/>
      <c r="H32" s="2045"/>
      <c r="I32" s="2045"/>
      <c r="J32" s="2045"/>
      <c r="K32" s="2054"/>
      <c r="L32" s="2031"/>
      <c r="M32" s="2031"/>
      <c r="N32" s="2032"/>
      <c r="O32" s="2033"/>
      <c r="P32" s="2032"/>
      <c r="Q32" s="2032"/>
      <c r="R32" s="2032"/>
      <c r="S32" s="2032"/>
      <c r="T32" s="2032"/>
      <c r="U32" s="2032"/>
      <c r="V32" s="2032"/>
    </row>
    <row r="33" spans="1:22" ht="18" customHeight="1">
      <c r="A33" s="3072"/>
      <c r="B33" s="2128"/>
      <c r="C33" s="2068"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1827</v>
      </c>
      <c r="B34" s="2131" t="s">
        <v>3056</v>
      </c>
      <c r="C34" s="2131" t="s">
        <v>3057</v>
      </c>
      <c r="D34" s="2131" t="s">
        <v>3058</v>
      </c>
      <c r="E34" s="2131" t="s">
        <v>3059</v>
      </c>
      <c r="F34" s="2131" t="s">
        <v>3060</v>
      </c>
      <c r="G34" s="2131" t="s">
        <v>3061</v>
      </c>
      <c r="H34" s="2131" t="s">
        <v>3062</v>
      </c>
      <c r="I34" s="2045"/>
      <c r="J34" s="2045"/>
      <c r="K34" s="1798">
        <f>COUNTIF(B34:H34,"——")</f>
        <v>0</v>
      </c>
      <c r="L34" s="2072" t="s">
        <v>1828</v>
      </c>
      <c r="M34" s="2072" t="s">
        <v>1829</v>
      </c>
      <c r="N34" s="2072" t="s">
        <v>1830</v>
      </c>
      <c r="O34" s="2072" t="s">
        <v>1831</v>
      </c>
      <c r="P34" s="2072" t="s">
        <v>1832</v>
      </c>
      <c r="Q34" s="2072" t="s">
        <v>1833</v>
      </c>
      <c r="R34" s="2072" t="s">
        <v>1834</v>
      </c>
      <c r="S34" s="3066" t="s">
        <v>1835</v>
      </c>
      <c r="T34" s="2132" t="str">
        <f>NUMBERSTRING(7-K34,1)&amp;"通"</f>
        <v>七通</v>
      </c>
      <c r="U34" s="2032"/>
      <c r="V34" s="2032"/>
    </row>
    <row r="35" spans="1:22" ht="18" customHeight="1">
      <c r="A35" s="2133"/>
      <c r="B35" s="3073" t="s">
        <v>1836</v>
      </c>
      <c r="C35" s="3073"/>
      <c r="D35" s="3073"/>
      <c r="E35" s="3073"/>
      <c r="F35" s="2134" t="str">
        <f>C10</f>
        <v>河南省开封市</v>
      </c>
      <c r="G35" s="2045"/>
      <c r="H35" s="2045"/>
      <c r="I35" s="2045"/>
      <c r="J35" s="2045"/>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6"/>
      <c r="T35" s="48" t="str">
        <f>IF(T34="一通",L35,IF(T34="二通",M35,IF(T34="三通",N35,IF(T34="四通",O35,IF(T34="五通",P35,IF(T34="六通",Q35,R35))))))</f>
        <v>通路、通电、通讯、通上水、通下水、通热、燃气</v>
      </c>
      <c r="U35" s="2032"/>
      <c r="V35" s="2032"/>
    </row>
    <row r="36" spans="1:22" ht="18" customHeight="1">
      <c r="A36" s="2135"/>
      <c r="B36" s="2134" t="s">
        <v>1837</v>
      </c>
      <c r="C36" s="2134" t="s">
        <v>1838</v>
      </c>
      <c r="D36" s="2134" t="s">
        <v>1839</v>
      </c>
      <c r="E36" s="2134" t="s">
        <v>1840</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1841</v>
      </c>
      <c r="B37" s="2138"/>
      <c r="C37" s="2138"/>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1842</v>
      </c>
      <c r="B38" s="2140"/>
      <c r="C38" s="2140"/>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2"/>
      <c r="K40" s="666"/>
      <c r="L40" s="2081"/>
      <c r="M40" s="2081"/>
      <c r="N40" s="2082"/>
      <c r="O40" s="2081"/>
      <c r="P40" s="2032"/>
      <c r="Q40" s="2032"/>
      <c r="R40" s="2032"/>
      <c r="S40" s="2032"/>
      <c r="T40" s="2032"/>
      <c r="U40" s="2032"/>
      <c r="V40" s="2032"/>
    </row>
    <row r="41" spans="1:22" ht="18" customHeight="1">
      <c r="A41" s="8" t="s">
        <v>1844</v>
      </c>
      <c r="B41" s="2148"/>
      <c r="C41" s="2149"/>
      <c r="D41" s="2032"/>
      <c r="E41" s="2032"/>
      <c r="F41" s="2032"/>
      <c r="G41" s="2032"/>
      <c r="H41" s="2032"/>
      <c r="I41" s="2033"/>
      <c r="J41" s="2032"/>
      <c r="K41" s="2121"/>
      <c r="L41" s="2031"/>
      <c r="M41" s="2031"/>
      <c r="N41" s="2032"/>
      <c r="O41" s="2033"/>
      <c r="P41" s="2032"/>
      <c r="Q41" s="2032"/>
      <c r="R41" s="2032"/>
      <c r="S41" s="2032"/>
      <c r="T41" s="2032"/>
      <c r="U41" s="2032"/>
      <c r="V41" s="2032"/>
    </row>
    <row r="42" spans="1:22" ht="18" customHeight="1">
      <c r="A42" s="2072" t="s">
        <v>1845</v>
      </c>
      <c r="B42" s="1798" t="s">
        <v>1846</v>
      </c>
      <c r="C42" s="1798" t="s">
        <v>1847</v>
      </c>
      <c r="D42" s="1798" t="s">
        <v>1848</v>
      </c>
      <c r="E42" s="1798" t="s">
        <v>1849</v>
      </c>
      <c r="F42" s="1798" t="s">
        <v>1850</v>
      </c>
      <c r="G42" s="1798" t="s">
        <v>1851</v>
      </c>
      <c r="H42" s="1798" t="s">
        <v>1852</v>
      </c>
      <c r="I42" s="1798" t="s">
        <v>1853</v>
      </c>
      <c r="J42" s="2150" t="s">
        <v>1854</v>
      </c>
      <c r="K42" s="2073" t="s">
        <v>1855</v>
      </c>
      <c r="L42" s="2073" t="s">
        <v>1856</v>
      </c>
      <c r="M42" s="2073" t="s">
        <v>1857</v>
      </c>
      <c r="N42" s="1798" t="s">
        <v>1858</v>
      </c>
      <c r="O42" s="1798" t="s">
        <v>1859</v>
      </c>
      <c r="P42" s="1798" t="s">
        <v>1860</v>
      </c>
      <c r="Q42" s="2072" t="s">
        <v>1861</v>
      </c>
      <c r="R42" s="2072" t="s">
        <v>1862</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1868</v>
      </c>
      <c r="AZ2" s="1273"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抵押物清单!Z35+抵押物清单!Z36</f>
        <v>52921.159999999996</v>
      </c>
      <c r="B3" s="14">
        <f>IF(C3="否",G5-AT5,G5)</f>
        <v>158233.84000000003</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6"/>
      <c r="C5" s="2953"/>
      <c r="D5" s="1809"/>
      <c r="E5" s="16" t="s">
        <v>1</v>
      </c>
      <c r="F5" s="16">
        <f>SUM(F13:F587)</f>
        <v>0</v>
      </c>
      <c r="G5" s="16">
        <f>SUM(G13:G587)</f>
        <v>177912.19000000003</v>
      </c>
      <c r="H5" s="16">
        <f t="shared" ref="H5:AT5" si="0">SUM(H13:H656)</f>
        <v>155659.14000000001</v>
      </c>
      <c r="I5" s="16">
        <f t="shared" si="0"/>
        <v>93864.209999999992</v>
      </c>
      <c r="J5" s="16">
        <f t="shared" si="0"/>
        <v>0</v>
      </c>
      <c r="K5" s="16">
        <f t="shared" si="0"/>
        <v>14691.250000000002</v>
      </c>
      <c r="L5" s="16">
        <f t="shared" si="0"/>
        <v>0</v>
      </c>
      <c r="M5" s="16">
        <f t="shared" si="0"/>
        <v>47103.68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2574.6999999999998</v>
      </c>
      <c r="AD5" s="16">
        <f t="shared" si="0"/>
        <v>2574.6999999999998</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19678.349999999999</v>
      </c>
      <c r="AU5" s="1805"/>
      <c r="AV5" s="15" t="s">
        <v>1872</v>
      </c>
      <c r="AW5" s="1806"/>
      <c r="AX5" s="1806"/>
      <c r="AY5" s="17" t="s">
        <v>3</v>
      </c>
      <c r="AZ5" s="18">
        <f t="shared" ref="AZ5:BT5" si="1">SUM(AZ13:AZ656)</f>
        <v>5274.8599999999988</v>
      </c>
      <c r="BA5" s="18">
        <f t="shared" si="1"/>
        <v>5274.8599999999988</v>
      </c>
      <c r="BB5" s="18">
        <f t="shared" si="1"/>
        <v>1805.619999999999</v>
      </c>
      <c r="BC5" s="18">
        <f t="shared" si="1"/>
        <v>3469.2400000000002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52921.159999999996</v>
      </c>
      <c r="F6" s="16" t="s">
        <v>1</v>
      </c>
      <c r="G6" s="16" t="s">
        <v>2</v>
      </c>
      <c r="H6" s="20">
        <f>SUMIF(I$12:AB$12,"总值",I6:AB6)</f>
        <v>52060.049999999996</v>
      </c>
      <c r="I6" s="16">
        <f t="shared" ref="I6:AB6" si="2">ROUND($A$3*I5/$B$3,2)</f>
        <v>31392.799999999999</v>
      </c>
      <c r="J6" s="16">
        <f t="shared" si="2"/>
        <v>0</v>
      </c>
      <c r="K6" s="16">
        <f t="shared" si="2"/>
        <v>4913.47</v>
      </c>
      <c r="L6" s="16">
        <f t="shared" si="2"/>
        <v>0</v>
      </c>
      <c r="M6" s="16">
        <f t="shared" si="2"/>
        <v>15753.78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861.11</v>
      </c>
      <c r="AD6" s="16">
        <f t="shared" ref="AD6:AS6" si="3">ROUND($A$3*AD5/$B$3,2)</f>
        <v>861.11</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1764.17</v>
      </c>
      <c r="AZ6" s="16" t="s">
        <v>3</v>
      </c>
      <c r="BA6" s="16">
        <f>ROUND($AY$6*BA5/$AZ$5,2)</f>
        <v>1764.17</v>
      </c>
      <c r="BB6" s="16">
        <f>ROUND($AY$6*BB5/$AZ$5,2)</f>
        <v>603.89</v>
      </c>
      <c r="BC6" s="16">
        <f t="shared" ref="BC6:BH6" si="4">ROUND($AY$6*BC5/$AZ$5,2)</f>
        <v>1160.28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952"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1881</v>
      </c>
      <c r="AV7" s="23" t="s">
        <v>1882</v>
      </c>
      <c r="AW7" s="2164" t="s">
        <v>1883</v>
      </c>
      <c r="AX7" s="23" t="s">
        <v>1876</v>
      </c>
      <c r="AY7" s="1806"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21"/>
      <c r="K8" s="1821"/>
      <c r="L8" s="1821"/>
      <c r="M8" s="1821"/>
      <c r="N8" s="1821"/>
      <c r="O8" s="1821"/>
      <c r="P8" s="1821"/>
      <c r="Q8" s="1821"/>
      <c r="R8" s="1821"/>
      <c r="S8" s="1821"/>
      <c r="T8" s="1821"/>
      <c r="U8" s="1821"/>
      <c r="V8" s="2184"/>
      <c r="W8" s="1821"/>
      <c r="X8" s="1821"/>
      <c r="Y8" s="1821"/>
      <c r="Z8" s="1821"/>
      <c r="AA8" s="2184"/>
      <c r="AB8" s="2185"/>
      <c r="AC8" s="984" t="s">
        <v>1887</v>
      </c>
      <c r="AD8" s="2186"/>
      <c r="AE8" s="2178"/>
      <c r="AF8" s="1821"/>
      <c r="AG8" s="1821"/>
      <c r="AH8" s="1821"/>
      <c r="AI8" s="1821"/>
      <c r="AJ8" s="1821"/>
      <c r="AK8" s="1821"/>
      <c r="AL8" s="1821"/>
      <c r="AM8" s="1821"/>
      <c r="AN8" s="1821"/>
      <c r="AO8" s="1821"/>
      <c r="AP8" s="1821"/>
      <c r="AQ8" s="1821"/>
      <c r="AR8" s="1821"/>
      <c r="AS8" s="1821"/>
      <c r="AT8" s="1295" t="s">
        <v>1888</v>
      </c>
      <c r="AU8" s="2180" t="s">
        <v>1889</v>
      </c>
      <c r="AV8" s="1295"/>
      <c r="AW8" s="2163"/>
      <c r="AX8" s="1295"/>
      <c r="AY8" s="2164"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2.75">
      <c r="A9" s="2180"/>
      <c r="B9" s="2180"/>
      <c r="C9" s="2180"/>
      <c r="D9" s="2180"/>
      <c r="E9" s="2180"/>
      <c r="F9" s="2180"/>
      <c r="G9" s="1295"/>
      <c r="H9" s="2188" t="s">
        <v>1892</v>
      </c>
      <c r="I9" s="2189" t="s">
        <v>3364</v>
      </c>
      <c r="J9" s="984"/>
      <c r="K9" s="2189" t="s">
        <v>3364</v>
      </c>
      <c r="L9" s="984"/>
      <c r="M9" s="2189" t="s">
        <v>3365</v>
      </c>
      <c r="N9" s="984"/>
      <c r="O9" s="2189"/>
      <c r="P9" s="984"/>
      <c r="Q9" s="2189"/>
      <c r="R9" s="984"/>
      <c r="S9" s="2189"/>
      <c r="T9" s="984"/>
      <c r="U9" s="2189"/>
      <c r="V9" s="984"/>
      <c r="W9" s="2189"/>
      <c r="X9" s="2190"/>
      <c r="Y9" s="2189"/>
      <c r="Z9" s="984"/>
      <c r="AA9" s="2189"/>
      <c r="AB9" s="984"/>
      <c r="AC9" s="2181"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1"/>
      <c r="AT9" s="2180"/>
      <c r="AU9" s="2180" t="s">
        <v>1895</v>
      </c>
      <c r="AV9" s="1295"/>
      <c r="AW9" s="2163"/>
      <c r="AX9" s="1295"/>
      <c r="AY9" s="28"/>
      <c r="AZ9" s="28" t="s">
        <v>1885</v>
      </c>
      <c r="BA9" s="2192" t="s">
        <v>1896</v>
      </c>
      <c r="BB9" s="2193"/>
      <c r="BC9" s="1341"/>
      <c r="BD9" s="1341"/>
      <c r="BE9" s="1341"/>
      <c r="BF9" s="1341"/>
      <c r="BG9" s="1341"/>
      <c r="BH9" s="1341"/>
      <c r="BI9" s="1341"/>
      <c r="BJ9" s="1341"/>
      <c r="BK9" s="2194"/>
      <c r="BL9" s="15" t="s">
        <v>1897</v>
      </c>
      <c r="BM9" s="1821"/>
      <c r="BN9" s="2183"/>
      <c r="BO9" s="1821"/>
      <c r="BP9" s="1821"/>
      <c r="BQ9" s="1821"/>
      <c r="BR9" s="1821"/>
      <c r="BS9" s="1821"/>
      <c r="BT9" s="26"/>
    </row>
    <row r="10" spans="1:72" s="2187" customFormat="1" ht="12.75">
      <c r="A10" s="2180"/>
      <c r="B10" s="2180"/>
      <c r="C10" s="2180"/>
      <c r="D10" s="2180"/>
      <c r="E10" s="2180"/>
      <c r="F10" s="2180"/>
      <c r="G10" s="1295"/>
      <c r="H10" s="28"/>
      <c r="I10" s="2189" t="s">
        <v>3066</v>
      </c>
      <c r="J10" s="984"/>
      <c r="K10" s="2195" t="s">
        <v>1377</v>
      </c>
      <c r="L10" s="984"/>
      <c r="M10" s="2195" t="s">
        <v>3366</v>
      </c>
      <c r="N10" s="984"/>
      <c r="O10" s="2195"/>
      <c r="P10" s="984"/>
      <c r="Q10" s="2195"/>
      <c r="R10" s="984"/>
      <c r="S10" s="2195"/>
      <c r="T10" s="984"/>
      <c r="U10" s="2195"/>
      <c r="V10" s="984"/>
      <c r="W10" s="2195"/>
      <c r="X10" s="984"/>
      <c r="Y10" s="2195"/>
      <c r="Z10" s="984"/>
      <c r="AA10" s="2195"/>
      <c r="AB10" s="984"/>
      <c r="AC10" s="1295"/>
      <c r="AD10" s="15" t="s">
        <v>1898</v>
      </c>
      <c r="AE10" s="2196"/>
      <c r="AF10" s="15" t="s">
        <v>1898</v>
      </c>
      <c r="AG10" s="2196"/>
      <c r="AH10" s="15" t="s">
        <v>1899</v>
      </c>
      <c r="AI10" s="2196"/>
      <c r="AJ10" s="15" t="s">
        <v>1899</v>
      </c>
      <c r="AK10" s="2196"/>
      <c r="AL10" s="15" t="s">
        <v>1900</v>
      </c>
      <c r="AM10" s="1301"/>
      <c r="AN10" s="15" t="s">
        <v>1900</v>
      </c>
      <c r="AO10" s="1301"/>
      <c r="AP10" s="15" t="s">
        <v>1901</v>
      </c>
      <c r="AQ10" s="1301"/>
      <c r="AR10" s="15" t="s">
        <v>1901</v>
      </c>
      <c r="AS10" s="1301"/>
      <c r="AT10" s="2180"/>
      <c r="AU10" s="2180"/>
      <c r="AV10" s="1295"/>
      <c r="AW10" s="2163"/>
      <c r="AX10" s="1295"/>
      <c r="AY10" s="28"/>
      <c r="AZ10" s="28"/>
      <c r="BA10" s="2197" t="s">
        <v>1892</v>
      </c>
      <c r="BB10" s="2198"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2.75">
      <c r="A11" s="2180"/>
      <c r="B11" s="2180"/>
      <c r="C11" s="2180"/>
      <c r="D11" s="2180"/>
      <c r="E11" s="2180"/>
      <c r="F11" s="2180"/>
      <c r="G11" s="1295"/>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5"/>
      <c r="AD11" s="2202" t="s">
        <v>1902</v>
      </c>
      <c r="AE11" s="1822"/>
      <c r="AF11" s="2202" t="s">
        <v>1902</v>
      </c>
      <c r="AG11" s="1822"/>
      <c r="AH11" s="2202" t="s">
        <v>1903</v>
      </c>
      <c r="AI11" s="2203"/>
      <c r="AJ11" s="2202" t="s">
        <v>1903</v>
      </c>
      <c r="AK11" s="1822"/>
      <c r="AL11" s="1820"/>
      <c r="AM11" s="1822"/>
      <c r="AN11" s="1820"/>
      <c r="AO11" s="1822"/>
      <c r="AP11" s="1820"/>
      <c r="AQ11" s="1822"/>
      <c r="AR11" s="1820"/>
      <c r="AS11" s="1822"/>
      <c r="AT11" s="2163"/>
      <c r="AU11" s="2180"/>
      <c r="AV11" s="1295"/>
      <c r="AW11" s="2163"/>
      <c r="AX11" s="1295"/>
      <c r="AY11" s="28"/>
      <c r="AZ11" s="28"/>
      <c r="BA11" s="28"/>
      <c r="BB11" s="2185" t="str">
        <f>I10</f>
        <v>住宅</v>
      </c>
      <c r="BC11" s="2185" t="str">
        <f>K10</f>
        <v>商业</v>
      </c>
      <c r="BD11" s="2185" t="str">
        <f>M10</f>
        <v>车库</v>
      </c>
      <c r="BE11" s="2185">
        <f>O10</f>
        <v>0</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07"/>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1275">
        <v>1</v>
      </c>
      <c r="D13" s="2211" t="s">
        <v>3384</v>
      </c>
      <c r="E13" s="16">
        <f>IF($C$3="是",ROUND($A$3*G13/$B$3,2),ROUND($A$3*(G13-AT13)/$B$3,2))</f>
        <v>0</v>
      </c>
      <c r="F13" s="32"/>
      <c r="G13" s="33">
        <f>H13+AC13+AT13</f>
        <v>0</v>
      </c>
      <c r="H13" s="20">
        <f>SUMIF(I$12:AB$12,"总值",I13:AB13)</f>
        <v>0</v>
      </c>
      <c r="I13" s="2212">
        <f>抵押物清单!AA3</f>
        <v>0</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1</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1275">
        <v>2</v>
      </c>
      <c r="D14" s="2211" t="s">
        <v>3384</v>
      </c>
      <c r="E14" s="16">
        <f>IF($C$3="是",ROUND($A$3*G14/$B$3,2),ROUND($A$3*(G14-AT14)/$B$3,2))</f>
        <v>0</v>
      </c>
      <c r="F14" s="32"/>
      <c r="G14" s="33">
        <f>H14+AC14+AT14</f>
        <v>0</v>
      </c>
      <c r="H14" s="20">
        <f>SUMIF(I$12:AB$12,"总值",I14:AB14)</f>
        <v>0</v>
      </c>
      <c r="I14" s="2212">
        <f>抵押物清单!AA4</f>
        <v>0</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2</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1275">
        <v>3</v>
      </c>
      <c r="D15" s="2211" t="s">
        <v>3384</v>
      </c>
      <c r="E15" s="16">
        <f>IF($C$3="是",ROUND($A$3*G15/$B$3,2),ROUND($A$3*(G15-AT15)/$B$3,2))</f>
        <v>0</v>
      </c>
      <c r="F15" s="32"/>
      <c r="G15" s="33">
        <f>H15+AC15+AT15</f>
        <v>0</v>
      </c>
      <c r="H15" s="20">
        <f>SUMIF(I$12:AB$12,"总值",I15:AB15)</f>
        <v>0</v>
      </c>
      <c r="I15" s="2212">
        <f>抵押物清单!AA5</f>
        <v>0</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3</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1275">
        <v>4</v>
      </c>
      <c r="D16" s="2211" t="s">
        <v>3384</v>
      </c>
      <c r="E16" s="16">
        <f>IF($C$3="是",ROUND($A$3*G16/$B$3,2),ROUND($A$3*(G16-AT16)/$B$3,2))</f>
        <v>0</v>
      </c>
      <c r="F16" s="32"/>
      <c r="G16" s="33">
        <f>H16+AC16+AT16</f>
        <v>0</v>
      </c>
      <c r="H16" s="20">
        <f>SUMIF(I$12:AB$12,"总值",I16:AB16)</f>
        <v>0</v>
      </c>
      <c r="I16" s="2212">
        <f>抵押物清单!AA6</f>
        <v>0</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4</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1275">
        <v>5</v>
      </c>
      <c r="D17" s="2211" t="s">
        <v>3384</v>
      </c>
      <c r="E17" s="16">
        <f>IF($C$3="是",ROUND($A$3*G17/$B$3,2),ROUND($A$3*(G17-AT17)/$B$3,2))</f>
        <v>0</v>
      </c>
      <c r="F17" s="32"/>
      <c r="G17" s="33">
        <f>H17+AC17+AT17</f>
        <v>0</v>
      </c>
      <c r="H17" s="20">
        <f>SUMIF(I$12:AB$12,"总值",I17:AB17)</f>
        <v>0</v>
      </c>
      <c r="I17" s="2212">
        <f>抵押物清单!AA7</f>
        <v>0</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5</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65" customFormat="1" ht="12.75">
      <c r="A18" s="1275"/>
      <c r="B18" s="2980"/>
      <c r="C18" s="2980">
        <v>6</v>
      </c>
      <c r="D18" s="2981" t="s">
        <v>3050</v>
      </c>
      <c r="E18" s="16">
        <f t="shared" ref="E18:E112" si="7">IF($C$3="是",ROUND($A$3*G18/$B$3,2),ROUND($A$3*(G18-AT18)/$B$3,2))</f>
        <v>272.32</v>
      </c>
      <c r="F18" s="32"/>
      <c r="G18" s="33">
        <f t="shared" ref="G18:G109" si="8">H18+AC18+AT18</f>
        <v>814.22999999999956</v>
      </c>
      <c r="H18" s="20">
        <f t="shared" ref="H18:H109" si="9">SUMIF(I$12:AB$12,"总值",I18:AB18)</f>
        <v>814.22999999999956</v>
      </c>
      <c r="I18" s="2212">
        <f>抵押物清单!AA8</f>
        <v>814.22999999999956</v>
      </c>
      <c r="J18" s="2212"/>
      <c r="K18" s="2212"/>
      <c r="L18" s="2212"/>
      <c r="M18" s="2212"/>
      <c r="N18" s="2212"/>
      <c r="O18" s="2212"/>
      <c r="P18" s="2212"/>
      <c r="Q18" s="2212"/>
      <c r="R18" s="2212"/>
      <c r="S18" s="2212"/>
      <c r="T18" s="2212"/>
      <c r="U18" s="2212"/>
      <c r="V18" s="2212"/>
      <c r="W18" s="2212"/>
      <c r="X18" s="2212"/>
      <c r="Y18" s="2212"/>
      <c r="Z18" s="2212"/>
      <c r="AA18" s="2212"/>
      <c r="AB18" s="2212"/>
      <c r="AC18" s="16">
        <f t="shared" ref="AC18:AC109" si="10">SUMIF(AD$12:AS$12,"总值",AD18:AS18)</f>
        <v>0</v>
      </c>
      <c r="AD18" s="2213"/>
      <c r="AE18" s="2213"/>
      <c r="AF18" s="2213"/>
      <c r="AG18" s="2213"/>
      <c r="AH18" s="2213"/>
      <c r="AI18" s="2213"/>
      <c r="AJ18" s="2213"/>
      <c r="AK18" s="2213"/>
      <c r="AL18" s="2213"/>
      <c r="AM18" s="2213"/>
      <c r="AN18" s="2213"/>
      <c r="AO18" s="2213"/>
      <c r="AP18" s="2213"/>
      <c r="AQ18" s="2213"/>
      <c r="AR18" s="2213"/>
      <c r="AS18" s="2213"/>
      <c r="AT18" s="2214"/>
      <c r="AU18" s="2215"/>
      <c r="AV18" s="11">
        <f t="shared" ref="AV18:AV112" si="11">A18</f>
        <v>0</v>
      </c>
      <c r="AW18" s="11">
        <f t="shared" ref="AW18:AW112" si="12">B18</f>
        <v>0</v>
      </c>
      <c r="AX18" s="11">
        <f t="shared" ref="AX18:AX112" si="13">C18</f>
        <v>6</v>
      </c>
      <c r="AY18" s="2954">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65" customFormat="1" ht="12.75">
      <c r="A19" s="1275"/>
      <c r="B19" s="2980"/>
      <c r="C19" s="2980">
        <v>7</v>
      </c>
      <c r="D19" s="2981" t="s">
        <v>3050</v>
      </c>
      <c r="E19" s="16">
        <f t="shared" si="7"/>
        <v>0</v>
      </c>
      <c r="F19" s="32"/>
      <c r="G19" s="33">
        <f t="shared" si="8"/>
        <v>0</v>
      </c>
      <c r="H19" s="20">
        <f t="shared" si="9"/>
        <v>0</v>
      </c>
      <c r="I19" s="2212">
        <f>抵押物清单!AA9</f>
        <v>0</v>
      </c>
      <c r="J19" s="2212"/>
      <c r="K19" s="2212"/>
      <c r="L19" s="2212"/>
      <c r="M19" s="2212"/>
      <c r="N19" s="2212"/>
      <c r="O19" s="2212"/>
      <c r="P19" s="2212"/>
      <c r="Q19" s="2212"/>
      <c r="R19" s="2212"/>
      <c r="S19" s="2212"/>
      <c r="T19" s="2212"/>
      <c r="U19" s="2212"/>
      <c r="V19" s="2212"/>
      <c r="W19" s="2212"/>
      <c r="X19" s="2212"/>
      <c r="Y19" s="2212"/>
      <c r="Z19" s="2212"/>
      <c r="AA19" s="2212"/>
      <c r="AB19" s="2212"/>
      <c r="AC19" s="16">
        <f t="shared" si="10"/>
        <v>0</v>
      </c>
      <c r="AD19" s="2213"/>
      <c r="AE19" s="2213"/>
      <c r="AF19" s="2213"/>
      <c r="AG19" s="2213"/>
      <c r="AH19" s="2213"/>
      <c r="AI19" s="2213"/>
      <c r="AJ19" s="2213"/>
      <c r="AK19" s="2213"/>
      <c r="AL19" s="2213"/>
      <c r="AM19" s="2213"/>
      <c r="AN19" s="2213"/>
      <c r="AO19" s="2213"/>
      <c r="AP19" s="2213"/>
      <c r="AQ19" s="2213"/>
      <c r="AR19" s="2213"/>
      <c r="AS19" s="2213"/>
      <c r="AT19" s="2214"/>
      <c r="AU19" s="2215"/>
      <c r="AV19" s="11">
        <f t="shared" si="11"/>
        <v>0</v>
      </c>
      <c r="AW19" s="11">
        <f t="shared" si="12"/>
        <v>0</v>
      </c>
      <c r="AX19" s="11">
        <f t="shared" si="13"/>
        <v>7</v>
      </c>
      <c r="AY19" s="2954">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65" customFormat="1" ht="12.75">
      <c r="A20" s="1275"/>
      <c r="B20" s="2980"/>
      <c r="C20" s="2980">
        <v>8</v>
      </c>
      <c r="D20" s="2981" t="s">
        <v>3384</v>
      </c>
      <c r="E20" s="16">
        <f t="shared" si="7"/>
        <v>43.22</v>
      </c>
      <c r="F20" s="32"/>
      <c r="G20" s="33">
        <f t="shared" si="8"/>
        <v>129.22999999999956</v>
      </c>
      <c r="H20" s="20">
        <f t="shared" si="9"/>
        <v>129.22999999999956</v>
      </c>
      <c r="I20" s="2212">
        <f>抵押物清单!AA10</f>
        <v>129.22999999999956</v>
      </c>
      <c r="J20" s="2212"/>
      <c r="K20" s="2212">
        <f>抵押物清单!AB10</f>
        <v>0</v>
      </c>
      <c r="L20" s="2212"/>
      <c r="M20" s="2212"/>
      <c r="N20" s="2212"/>
      <c r="O20" s="2212"/>
      <c r="P20" s="2212"/>
      <c r="Q20" s="2212"/>
      <c r="R20" s="2212"/>
      <c r="S20" s="2212"/>
      <c r="T20" s="2212"/>
      <c r="U20" s="2212"/>
      <c r="V20" s="2212"/>
      <c r="W20" s="2212"/>
      <c r="X20" s="2212"/>
      <c r="Y20" s="2212"/>
      <c r="Z20" s="2212"/>
      <c r="AA20" s="2212"/>
      <c r="AB20" s="2212"/>
      <c r="AC20" s="16">
        <f t="shared" si="10"/>
        <v>0</v>
      </c>
      <c r="AD20" s="2213"/>
      <c r="AE20" s="2213"/>
      <c r="AF20" s="2213"/>
      <c r="AG20" s="2213"/>
      <c r="AH20" s="2213"/>
      <c r="AI20" s="2213"/>
      <c r="AJ20" s="2213"/>
      <c r="AK20" s="2213"/>
      <c r="AL20" s="2213"/>
      <c r="AM20" s="2213"/>
      <c r="AN20" s="2213"/>
      <c r="AO20" s="2213"/>
      <c r="AP20" s="2213"/>
      <c r="AQ20" s="2213"/>
      <c r="AR20" s="2213"/>
      <c r="AS20" s="2213"/>
      <c r="AT20" s="2214"/>
      <c r="AU20" s="2215"/>
      <c r="AV20" s="11">
        <f t="shared" si="11"/>
        <v>0</v>
      </c>
      <c r="AW20" s="11">
        <f t="shared" si="12"/>
        <v>0</v>
      </c>
      <c r="AX20" s="11">
        <f t="shared" si="13"/>
        <v>8</v>
      </c>
      <c r="AY20" s="2954">
        <f t="shared" si="14"/>
        <v>43.22</v>
      </c>
      <c r="AZ20" s="16">
        <f t="shared" si="15"/>
        <v>129.22999999999956</v>
      </c>
      <c r="BA20" s="16">
        <f t="shared" si="16"/>
        <v>129.22999999999956</v>
      </c>
      <c r="BB20" s="16">
        <f t="shared" si="17"/>
        <v>129.22999999999956</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65" customFormat="1" ht="12.75">
      <c r="A21" s="1275"/>
      <c r="B21" s="2980"/>
      <c r="C21" s="2980">
        <v>9</v>
      </c>
      <c r="D21" s="2981" t="s">
        <v>3384</v>
      </c>
      <c r="E21" s="16">
        <f t="shared" si="7"/>
        <v>30.09</v>
      </c>
      <c r="F21" s="32"/>
      <c r="G21" s="33">
        <f t="shared" si="8"/>
        <v>89.959999999999923</v>
      </c>
      <c r="H21" s="20">
        <f t="shared" si="9"/>
        <v>89.959999999999923</v>
      </c>
      <c r="I21" s="2212">
        <f>抵押物清单!AA11</f>
        <v>0</v>
      </c>
      <c r="J21" s="2212"/>
      <c r="K21" s="2212">
        <f>抵押物清单!AB11</f>
        <v>89.959999999999923</v>
      </c>
      <c r="L21" s="2212"/>
      <c r="M21" s="2212"/>
      <c r="N21" s="2212"/>
      <c r="O21" s="2212"/>
      <c r="P21" s="2212"/>
      <c r="Q21" s="2212"/>
      <c r="R21" s="2212"/>
      <c r="S21" s="2212"/>
      <c r="T21" s="2212"/>
      <c r="U21" s="2212"/>
      <c r="V21" s="2212"/>
      <c r="W21" s="2212"/>
      <c r="X21" s="2212"/>
      <c r="Y21" s="2212"/>
      <c r="Z21" s="2212"/>
      <c r="AA21" s="2212"/>
      <c r="AB21" s="2212"/>
      <c r="AC21" s="16">
        <f t="shared" si="10"/>
        <v>0</v>
      </c>
      <c r="AD21" s="2213"/>
      <c r="AE21" s="2213"/>
      <c r="AF21" s="2213"/>
      <c r="AG21" s="2213"/>
      <c r="AH21" s="2213"/>
      <c r="AI21" s="2213"/>
      <c r="AJ21" s="2213"/>
      <c r="AK21" s="2213"/>
      <c r="AL21" s="2213"/>
      <c r="AM21" s="2213"/>
      <c r="AN21" s="2213"/>
      <c r="AO21" s="2213"/>
      <c r="AP21" s="2213"/>
      <c r="AQ21" s="2213"/>
      <c r="AR21" s="2213"/>
      <c r="AS21" s="2213"/>
      <c r="AT21" s="2214"/>
      <c r="AU21" s="2215"/>
      <c r="AV21" s="11">
        <f t="shared" si="11"/>
        <v>0</v>
      </c>
      <c r="AW21" s="11">
        <f t="shared" si="12"/>
        <v>0</v>
      </c>
      <c r="AX21" s="11">
        <f t="shared" si="13"/>
        <v>9</v>
      </c>
      <c r="AY21" s="2954">
        <f t="shared" si="14"/>
        <v>30.09</v>
      </c>
      <c r="AZ21" s="16">
        <f t="shared" si="15"/>
        <v>89.959999999999923</v>
      </c>
      <c r="BA21" s="16">
        <f t="shared" si="16"/>
        <v>89.959999999999923</v>
      </c>
      <c r="BB21" s="16">
        <f t="shared" si="17"/>
        <v>0</v>
      </c>
      <c r="BC21" s="16">
        <f t="shared" si="18"/>
        <v>89.959999999999923</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65" customFormat="1" ht="12.75">
      <c r="A22" s="1275"/>
      <c r="B22" s="2980"/>
      <c r="C22" s="2980">
        <v>10</v>
      </c>
      <c r="D22" s="2981" t="s">
        <v>3050</v>
      </c>
      <c r="E22" s="16">
        <f t="shared" si="7"/>
        <v>285.54000000000002</v>
      </c>
      <c r="F22" s="32"/>
      <c r="G22" s="33">
        <f t="shared" si="8"/>
        <v>853.75</v>
      </c>
      <c r="H22" s="20">
        <f t="shared" si="9"/>
        <v>853.75</v>
      </c>
      <c r="I22" s="2212">
        <f>抵押物清单!AA12</f>
        <v>853.75</v>
      </c>
      <c r="J22" s="2212"/>
      <c r="K22" s="2212"/>
      <c r="L22" s="2212"/>
      <c r="M22" s="2212"/>
      <c r="N22" s="2212"/>
      <c r="O22" s="2212"/>
      <c r="P22" s="2212"/>
      <c r="Q22" s="2212"/>
      <c r="R22" s="2212"/>
      <c r="S22" s="2212"/>
      <c r="T22" s="2212"/>
      <c r="U22" s="2212"/>
      <c r="V22" s="2212"/>
      <c r="W22" s="2212"/>
      <c r="X22" s="2212"/>
      <c r="Y22" s="2212"/>
      <c r="Z22" s="2212"/>
      <c r="AA22" s="2212"/>
      <c r="AB22" s="2212"/>
      <c r="AC22" s="16">
        <f t="shared" si="10"/>
        <v>0</v>
      </c>
      <c r="AD22" s="2213"/>
      <c r="AE22" s="2213"/>
      <c r="AF22" s="2213"/>
      <c r="AG22" s="2213"/>
      <c r="AH22" s="2213"/>
      <c r="AI22" s="2213"/>
      <c r="AJ22" s="2213"/>
      <c r="AK22" s="2213"/>
      <c r="AL22" s="2213"/>
      <c r="AM22" s="2213"/>
      <c r="AN22" s="2213"/>
      <c r="AO22" s="2213"/>
      <c r="AP22" s="2213"/>
      <c r="AQ22" s="2213"/>
      <c r="AR22" s="2213"/>
      <c r="AS22" s="2213"/>
      <c r="AT22" s="2214"/>
      <c r="AU22" s="2215"/>
      <c r="AV22" s="11">
        <f t="shared" si="11"/>
        <v>0</v>
      </c>
      <c r="AW22" s="11">
        <f t="shared" si="12"/>
        <v>0</v>
      </c>
      <c r="AX22" s="11">
        <f t="shared" si="13"/>
        <v>10</v>
      </c>
      <c r="AY22" s="2954">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65" customFormat="1" ht="12.75">
      <c r="A23" s="1275"/>
      <c r="B23" s="2980"/>
      <c r="C23" s="2980">
        <v>11</v>
      </c>
      <c r="D23" s="2981" t="s">
        <v>3384</v>
      </c>
      <c r="E23" s="16">
        <f t="shared" si="7"/>
        <v>319.29000000000002</v>
      </c>
      <c r="F23" s="32"/>
      <c r="G23" s="33">
        <f t="shared" si="8"/>
        <v>954.68000000000029</v>
      </c>
      <c r="H23" s="20">
        <f t="shared" si="9"/>
        <v>954.68000000000029</v>
      </c>
      <c r="I23" s="2212">
        <f>抵押物清单!AA13</f>
        <v>954.68000000000029</v>
      </c>
      <c r="J23" s="2212"/>
      <c r="K23" s="2212"/>
      <c r="L23" s="2212"/>
      <c r="M23" s="2212"/>
      <c r="N23" s="2212"/>
      <c r="O23" s="2212"/>
      <c r="P23" s="2212"/>
      <c r="Q23" s="2212"/>
      <c r="R23" s="2212"/>
      <c r="S23" s="2212"/>
      <c r="T23" s="2212"/>
      <c r="U23" s="2212"/>
      <c r="V23" s="2212"/>
      <c r="W23" s="2212"/>
      <c r="X23" s="2212"/>
      <c r="Y23" s="2212"/>
      <c r="Z23" s="2212"/>
      <c r="AA23" s="2212"/>
      <c r="AB23" s="2212"/>
      <c r="AC23" s="16">
        <f t="shared" si="10"/>
        <v>0</v>
      </c>
      <c r="AD23" s="2213"/>
      <c r="AE23" s="2213"/>
      <c r="AF23" s="2213"/>
      <c r="AG23" s="2213"/>
      <c r="AH23" s="2213"/>
      <c r="AI23" s="2213"/>
      <c r="AJ23" s="2213"/>
      <c r="AK23" s="2213"/>
      <c r="AL23" s="2213"/>
      <c r="AM23" s="2213"/>
      <c r="AN23" s="2213"/>
      <c r="AO23" s="2213"/>
      <c r="AP23" s="2213"/>
      <c r="AQ23" s="2213"/>
      <c r="AR23" s="2213"/>
      <c r="AS23" s="2213"/>
      <c r="AT23" s="2214"/>
      <c r="AU23" s="2215"/>
      <c r="AV23" s="11">
        <f t="shared" si="11"/>
        <v>0</v>
      </c>
      <c r="AW23" s="11">
        <f t="shared" si="12"/>
        <v>0</v>
      </c>
      <c r="AX23" s="11">
        <f t="shared" si="13"/>
        <v>11</v>
      </c>
      <c r="AY23" s="2954">
        <f t="shared" si="14"/>
        <v>319.29000000000002</v>
      </c>
      <c r="AZ23" s="16">
        <f t="shared" si="15"/>
        <v>954.68000000000029</v>
      </c>
      <c r="BA23" s="16">
        <f t="shared" si="16"/>
        <v>954.68000000000029</v>
      </c>
      <c r="BB23" s="16">
        <f t="shared" si="17"/>
        <v>954.68000000000029</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65" customFormat="1" ht="12.75">
      <c r="A24" s="1275"/>
      <c r="B24" s="2980"/>
      <c r="C24" s="2980">
        <v>12</v>
      </c>
      <c r="D24" s="2981" t="s">
        <v>3384</v>
      </c>
      <c r="E24" s="16">
        <f t="shared" si="7"/>
        <v>0</v>
      </c>
      <c r="F24" s="32"/>
      <c r="G24" s="33">
        <f t="shared" si="8"/>
        <v>0</v>
      </c>
      <c r="H24" s="20">
        <f t="shared" si="9"/>
        <v>0</v>
      </c>
      <c r="I24" s="2212">
        <f>抵押物清单!AA14</f>
        <v>0</v>
      </c>
      <c r="J24" s="2212"/>
      <c r="K24" s="2212"/>
      <c r="L24" s="2212"/>
      <c r="M24" s="2212"/>
      <c r="N24" s="2212"/>
      <c r="O24" s="2212"/>
      <c r="P24" s="2212"/>
      <c r="Q24" s="2212"/>
      <c r="R24" s="2212"/>
      <c r="S24" s="2212"/>
      <c r="T24" s="2212"/>
      <c r="U24" s="2212"/>
      <c r="V24" s="2212"/>
      <c r="W24" s="2212"/>
      <c r="X24" s="2212"/>
      <c r="Y24" s="2212"/>
      <c r="Z24" s="2212"/>
      <c r="AA24" s="2212"/>
      <c r="AB24" s="2212"/>
      <c r="AC24" s="16">
        <f t="shared" si="10"/>
        <v>0</v>
      </c>
      <c r="AD24" s="2213"/>
      <c r="AE24" s="2213"/>
      <c r="AF24" s="2213"/>
      <c r="AG24" s="2213"/>
      <c r="AH24" s="2213"/>
      <c r="AI24" s="2213"/>
      <c r="AJ24" s="2213"/>
      <c r="AK24" s="2213"/>
      <c r="AL24" s="2213"/>
      <c r="AM24" s="2213"/>
      <c r="AN24" s="2213"/>
      <c r="AO24" s="2213"/>
      <c r="AP24" s="2213"/>
      <c r="AQ24" s="2213"/>
      <c r="AR24" s="2213"/>
      <c r="AS24" s="2213"/>
      <c r="AT24" s="2214"/>
      <c r="AU24" s="2215"/>
      <c r="AV24" s="11">
        <f t="shared" si="11"/>
        <v>0</v>
      </c>
      <c r="AW24" s="11">
        <f t="shared" si="12"/>
        <v>0</v>
      </c>
      <c r="AX24" s="11">
        <f t="shared" si="13"/>
        <v>12</v>
      </c>
      <c r="AY24" s="2954">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2165" customFormat="1" ht="12.75">
      <c r="A25" s="1275"/>
      <c r="B25" s="2980"/>
      <c r="C25" s="2980">
        <v>13</v>
      </c>
      <c r="D25" s="2981" t="s">
        <v>3384</v>
      </c>
      <c r="E25" s="16">
        <f t="shared" si="7"/>
        <v>241.38</v>
      </c>
      <c r="F25" s="32"/>
      <c r="G25" s="33">
        <f t="shared" si="8"/>
        <v>721.70999999999913</v>
      </c>
      <c r="H25" s="20">
        <f t="shared" si="9"/>
        <v>721.70999999999913</v>
      </c>
      <c r="I25" s="2212">
        <f>抵押物清单!AA15</f>
        <v>721.70999999999913</v>
      </c>
      <c r="J25" s="2212"/>
      <c r="K25" s="2212"/>
      <c r="L25" s="2212"/>
      <c r="M25" s="2212"/>
      <c r="N25" s="2212"/>
      <c r="O25" s="2212"/>
      <c r="P25" s="2212"/>
      <c r="Q25" s="2212"/>
      <c r="R25" s="2212"/>
      <c r="S25" s="2212"/>
      <c r="T25" s="2212"/>
      <c r="U25" s="2212"/>
      <c r="V25" s="2212"/>
      <c r="W25" s="2212"/>
      <c r="X25" s="2212"/>
      <c r="Y25" s="2212"/>
      <c r="Z25" s="2212"/>
      <c r="AA25" s="2212"/>
      <c r="AB25" s="2212"/>
      <c r="AC25" s="16">
        <f t="shared" si="10"/>
        <v>0</v>
      </c>
      <c r="AD25" s="2213"/>
      <c r="AE25" s="2213"/>
      <c r="AF25" s="2213"/>
      <c r="AG25" s="2213"/>
      <c r="AH25" s="2213"/>
      <c r="AI25" s="2213"/>
      <c r="AJ25" s="2213"/>
      <c r="AK25" s="2213"/>
      <c r="AL25" s="2213"/>
      <c r="AM25" s="2213"/>
      <c r="AN25" s="2213"/>
      <c r="AO25" s="2213"/>
      <c r="AP25" s="2213"/>
      <c r="AQ25" s="2213"/>
      <c r="AR25" s="2213"/>
      <c r="AS25" s="2213"/>
      <c r="AT25" s="2214"/>
      <c r="AU25" s="2215"/>
      <c r="AV25" s="11">
        <f t="shared" si="11"/>
        <v>0</v>
      </c>
      <c r="AW25" s="11">
        <f t="shared" si="12"/>
        <v>0</v>
      </c>
      <c r="AX25" s="11">
        <f t="shared" si="13"/>
        <v>13</v>
      </c>
      <c r="AY25" s="2954">
        <f t="shared" si="14"/>
        <v>241.37</v>
      </c>
      <c r="AZ25" s="16">
        <f t="shared" si="15"/>
        <v>721.70999999999913</v>
      </c>
      <c r="BA25" s="16">
        <f t="shared" si="16"/>
        <v>721.70999999999913</v>
      </c>
      <c r="BB25" s="16">
        <f t="shared" si="17"/>
        <v>721.70999999999913</v>
      </c>
      <c r="BC25" s="16">
        <f t="shared" si="18"/>
        <v>0</v>
      </c>
      <c r="BD25" s="16">
        <f t="shared" si="19"/>
        <v>0</v>
      </c>
      <c r="BE25" s="16">
        <f t="shared" si="20"/>
        <v>0</v>
      </c>
      <c r="BF25" s="16">
        <f t="shared" si="21"/>
        <v>0</v>
      </c>
      <c r="BG25" s="16">
        <f t="shared" si="22"/>
        <v>0</v>
      </c>
      <c r="BH25" s="16">
        <f t="shared" si="23"/>
        <v>0</v>
      </c>
      <c r="BI25" s="16">
        <f t="shared" si="24"/>
        <v>0</v>
      </c>
      <c r="BJ25" s="16">
        <f t="shared" si="25"/>
        <v>0</v>
      </c>
      <c r="BK25" s="16">
        <f t="shared" si="26"/>
        <v>0</v>
      </c>
      <c r="BL25" s="16">
        <f t="shared" si="27"/>
        <v>0</v>
      </c>
      <c r="BM25" s="16">
        <f t="shared" si="28"/>
        <v>0</v>
      </c>
      <c r="BN25" s="16">
        <f t="shared" si="29"/>
        <v>0</v>
      </c>
      <c r="BO25" s="16">
        <f t="shared" si="30"/>
        <v>0</v>
      </c>
      <c r="BP25" s="16">
        <f t="shared" si="31"/>
        <v>0</v>
      </c>
      <c r="BQ25" s="16">
        <f t="shared" si="32"/>
        <v>0</v>
      </c>
      <c r="BR25" s="16">
        <f t="shared" si="33"/>
        <v>0</v>
      </c>
      <c r="BS25" s="16">
        <f t="shared" si="34"/>
        <v>0</v>
      </c>
      <c r="BT25" s="22">
        <f t="shared" si="35"/>
        <v>0</v>
      </c>
    </row>
    <row r="26" spans="1:72" s="2165" customFormat="1" ht="12.75">
      <c r="A26" s="1275"/>
      <c r="B26" s="2980"/>
      <c r="C26" s="2980">
        <v>14</v>
      </c>
      <c r="D26" s="2981" t="s">
        <v>3050</v>
      </c>
      <c r="E26" s="16">
        <f t="shared" si="7"/>
        <v>552.4</v>
      </c>
      <c r="F26" s="32"/>
      <c r="G26" s="33">
        <f t="shared" si="8"/>
        <v>1651.6599999999999</v>
      </c>
      <c r="H26" s="20">
        <f t="shared" si="9"/>
        <v>1651.6599999999999</v>
      </c>
      <c r="I26" s="2212">
        <f>抵押物清单!AA16</f>
        <v>1651.6599999999999</v>
      </c>
      <c r="J26" s="2212"/>
      <c r="K26" s="2212"/>
      <c r="L26" s="2212"/>
      <c r="M26" s="2212"/>
      <c r="N26" s="2212"/>
      <c r="O26" s="2212"/>
      <c r="P26" s="2212"/>
      <c r="Q26" s="2212"/>
      <c r="R26" s="2212"/>
      <c r="S26" s="2212"/>
      <c r="T26" s="2212"/>
      <c r="U26" s="2212"/>
      <c r="V26" s="2212"/>
      <c r="W26" s="2212"/>
      <c r="X26" s="2212"/>
      <c r="Y26" s="2212"/>
      <c r="Z26" s="2212"/>
      <c r="AA26" s="2212"/>
      <c r="AB26" s="2212"/>
      <c r="AC26" s="16">
        <f t="shared" si="10"/>
        <v>0</v>
      </c>
      <c r="AD26" s="2213"/>
      <c r="AE26" s="2213"/>
      <c r="AF26" s="2213"/>
      <c r="AG26" s="2213"/>
      <c r="AH26" s="2213"/>
      <c r="AI26" s="2213"/>
      <c r="AJ26" s="2213"/>
      <c r="AK26" s="2213"/>
      <c r="AL26" s="2213"/>
      <c r="AM26" s="2213"/>
      <c r="AN26" s="2213"/>
      <c r="AO26" s="2213"/>
      <c r="AP26" s="2213"/>
      <c r="AQ26" s="2213"/>
      <c r="AR26" s="2213"/>
      <c r="AS26" s="2213"/>
      <c r="AT26" s="2214"/>
      <c r="AU26" s="2215"/>
      <c r="AV26" s="11">
        <f t="shared" si="11"/>
        <v>0</v>
      </c>
      <c r="AW26" s="11">
        <f t="shared" si="12"/>
        <v>0</v>
      </c>
      <c r="AX26" s="11">
        <f t="shared" si="13"/>
        <v>14</v>
      </c>
      <c r="AY26" s="2954">
        <f t="shared" si="14"/>
        <v>0</v>
      </c>
      <c r="AZ26" s="16">
        <f t="shared" si="15"/>
        <v>0</v>
      </c>
      <c r="BA26" s="16">
        <f t="shared" si="16"/>
        <v>0</v>
      </c>
      <c r="BB26" s="16">
        <f t="shared" si="17"/>
        <v>0</v>
      </c>
      <c r="BC26" s="16">
        <f t="shared" si="18"/>
        <v>0</v>
      </c>
      <c r="BD26" s="16">
        <f t="shared" si="19"/>
        <v>0</v>
      </c>
      <c r="BE26" s="16">
        <f t="shared" si="20"/>
        <v>0</v>
      </c>
      <c r="BF26" s="16">
        <f t="shared" si="21"/>
        <v>0</v>
      </c>
      <c r="BG26" s="16">
        <f t="shared" si="22"/>
        <v>0</v>
      </c>
      <c r="BH26" s="16">
        <f t="shared" si="23"/>
        <v>0</v>
      </c>
      <c r="BI26" s="16">
        <f t="shared" si="24"/>
        <v>0</v>
      </c>
      <c r="BJ26" s="16">
        <f t="shared" si="25"/>
        <v>0</v>
      </c>
      <c r="BK26" s="16">
        <f t="shared" si="26"/>
        <v>0</v>
      </c>
      <c r="BL26" s="16">
        <f t="shared" si="27"/>
        <v>0</v>
      </c>
      <c r="BM26" s="16">
        <f t="shared" si="28"/>
        <v>0</v>
      </c>
      <c r="BN26" s="16">
        <f t="shared" si="29"/>
        <v>0</v>
      </c>
      <c r="BO26" s="16">
        <f t="shared" si="30"/>
        <v>0</v>
      </c>
      <c r="BP26" s="16">
        <f t="shared" si="31"/>
        <v>0</v>
      </c>
      <c r="BQ26" s="16">
        <f t="shared" si="32"/>
        <v>0</v>
      </c>
      <c r="BR26" s="16">
        <f t="shared" si="33"/>
        <v>0</v>
      </c>
      <c r="BS26" s="16">
        <f t="shared" si="34"/>
        <v>0</v>
      </c>
      <c r="BT26" s="22">
        <f t="shared" si="35"/>
        <v>0</v>
      </c>
    </row>
    <row r="27" spans="1:72" s="2165" customFormat="1" ht="12.75">
      <c r="A27" s="1275"/>
      <c r="B27" s="2980"/>
      <c r="C27" s="2980">
        <v>15</v>
      </c>
      <c r="D27" s="2981" t="s">
        <v>3050</v>
      </c>
      <c r="E27" s="16">
        <f t="shared" si="7"/>
        <v>481.87</v>
      </c>
      <c r="F27" s="32"/>
      <c r="G27" s="33">
        <f t="shared" si="8"/>
        <v>1440.7900000000009</v>
      </c>
      <c r="H27" s="20">
        <f t="shared" si="9"/>
        <v>1440.7900000000009</v>
      </c>
      <c r="I27" s="2212">
        <f>抵押物清单!AA17</f>
        <v>1440.7900000000009</v>
      </c>
      <c r="J27" s="2212"/>
      <c r="K27" s="2212"/>
      <c r="L27" s="2212"/>
      <c r="M27" s="2212"/>
      <c r="N27" s="2212"/>
      <c r="O27" s="2212"/>
      <c r="P27" s="2212"/>
      <c r="Q27" s="2212"/>
      <c r="R27" s="2212"/>
      <c r="S27" s="2212"/>
      <c r="T27" s="2212"/>
      <c r="U27" s="2212"/>
      <c r="V27" s="2212"/>
      <c r="W27" s="2212"/>
      <c r="X27" s="2212"/>
      <c r="Y27" s="2212"/>
      <c r="Z27" s="2212"/>
      <c r="AA27" s="2212"/>
      <c r="AB27" s="2212"/>
      <c r="AC27" s="16">
        <f t="shared" si="10"/>
        <v>0</v>
      </c>
      <c r="AD27" s="2213"/>
      <c r="AE27" s="2213"/>
      <c r="AF27" s="2213"/>
      <c r="AG27" s="2213"/>
      <c r="AH27" s="2213"/>
      <c r="AI27" s="2213"/>
      <c r="AJ27" s="2213"/>
      <c r="AK27" s="2213"/>
      <c r="AL27" s="2213"/>
      <c r="AM27" s="2213"/>
      <c r="AN27" s="2213"/>
      <c r="AO27" s="2213"/>
      <c r="AP27" s="2213"/>
      <c r="AQ27" s="2213"/>
      <c r="AR27" s="2213"/>
      <c r="AS27" s="2213"/>
      <c r="AT27" s="2214"/>
      <c r="AU27" s="2215"/>
      <c r="AV27" s="11">
        <f t="shared" si="11"/>
        <v>0</v>
      </c>
      <c r="AW27" s="11">
        <f t="shared" si="12"/>
        <v>0</v>
      </c>
      <c r="AX27" s="11">
        <f t="shared" si="13"/>
        <v>15</v>
      </c>
      <c r="AY27" s="2954">
        <f t="shared" si="14"/>
        <v>0</v>
      </c>
      <c r="AZ27" s="16">
        <f t="shared" si="15"/>
        <v>0</v>
      </c>
      <c r="BA27" s="16">
        <f t="shared" si="16"/>
        <v>0</v>
      </c>
      <c r="BB27" s="16">
        <f t="shared" si="17"/>
        <v>0</v>
      </c>
      <c r="BC27" s="16">
        <f t="shared" si="18"/>
        <v>0</v>
      </c>
      <c r="BD27" s="16">
        <f t="shared" si="19"/>
        <v>0</v>
      </c>
      <c r="BE27" s="16">
        <f t="shared" si="20"/>
        <v>0</v>
      </c>
      <c r="BF27" s="16">
        <f t="shared" si="21"/>
        <v>0</v>
      </c>
      <c r="BG27" s="16">
        <f t="shared" si="22"/>
        <v>0</v>
      </c>
      <c r="BH27" s="16">
        <f t="shared" si="23"/>
        <v>0</v>
      </c>
      <c r="BI27" s="16">
        <f t="shared" si="24"/>
        <v>0</v>
      </c>
      <c r="BJ27" s="16">
        <f t="shared" si="25"/>
        <v>0</v>
      </c>
      <c r="BK27" s="16">
        <f t="shared" si="26"/>
        <v>0</v>
      </c>
      <c r="BL27" s="16">
        <f t="shared" si="27"/>
        <v>0</v>
      </c>
      <c r="BM27" s="16">
        <f t="shared" si="28"/>
        <v>0</v>
      </c>
      <c r="BN27" s="16">
        <f t="shared" si="29"/>
        <v>0</v>
      </c>
      <c r="BO27" s="16">
        <f t="shared" si="30"/>
        <v>0</v>
      </c>
      <c r="BP27" s="16">
        <f t="shared" si="31"/>
        <v>0</v>
      </c>
      <c r="BQ27" s="16">
        <f t="shared" si="32"/>
        <v>0</v>
      </c>
      <c r="BR27" s="16">
        <f t="shared" si="33"/>
        <v>0</v>
      </c>
      <c r="BS27" s="16">
        <f t="shared" si="34"/>
        <v>0</v>
      </c>
      <c r="BT27" s="22">
        <f t="shared" si="35"/>
        <v>0</v>
      </c>
    </row>
    <row r="28" spans="1:72" s="2165" customFormat="1" ht="12.75">
      <c r="A28" s="1275"/>
      <c r="B28" s="2980"/>
      <c r="C28" s="2980">
        <v>16</v>
      </c>
      <c r="D28" s="2981" t="s">
        <v>3050</v>
      </c>
      <c r="E28" s="16">
        <f t="shared" si="7"/>
        <v>42.62</v>
      </c>
      <c r="F28" s="32"/>
      <c r="G28" s="33">
        <f t="shared" si="8"/>
        <v>127.42999999999847</v>
      </c>
      <c r="H28" s="20">
        <f t="shared" si="9"/>
        <v>127.42999999999847</v>
      </c>
      <c r="I28" s="2212">
        <f>抵押物清单!AA18</f>
        <v>127.42999999999847</v>
      </c>
      <c r="J28" s="2212"/>
      <c r="K28" s="2212"/>
      <c r="L28" s="2212"/>
      <c r="M28" s="2212"/>
      <c r="N28" s="2212"/>
      <c r="O28" s="2212"/>
      <c r="P28" s="2212"/>
      <c r="Q28" s="2212"/>
      <c r="R28" s="2212"/>
      <c r="S28" s="2212"/>
      <c r="T28" s="2212"/>
      <c r="U28" s="2212"/>
      <c r="V28" s="2212"/>
      <c r="W28" s="2212"/>
      <c r="X28" s="2212"/>
      <c r="Y28" s="2212"/>
      <c r="Z28" s="2212"/>
      <c r="AA28" s="2212"/>
      <c r="AB28" s="2212"/>
      <c r="AC28" s="16">
        <f t="shared" si="10"/>
        <v>0</v>
      </c>
      <c r="AD28" s="2213"/>
      <c r="AE28" s="2213"/>
      <c r="AF28" s="2213"/>
      <c r="AG28" s="2213"/>
      <c r="AH28" s="2213"/>
      <c r="AI28" s="2213"/>
      <c r="AJ28" s="2213"/>
      <c r="AK28" s="2213"/>
      <c r="AL28" s="2213"/>
      <c r="AM28" s="2213"/>
      <c r="AN28" s="2213"/>
      <c r="AO28" s="2213"/>
      <c r="AP28" s="2213"/>
      <c r="AQ28" s="2213"/>
      <c r="AR28" s="2213"/>
      <c r="AS28" s="2213"/>
      <c r="AT28" s="2214"/>
      <c r="AU28" s="2215"/>
      <c r="AV28" s="11">
        <f t="shared" si="11"/>
        <v>0</v>
      </c>
      <c r="AW28" s="11">
        <f t="shared" si="12"/>
        <v>0</v>
      </c>
      <c r="AX28" s="11">
        <f t="shared" si="13"/>
        <v>16</v>
      </c>
      <c r="AY28" s="2954">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65" customFormat="1" ht="12.75">
      <c r="A29" s="1275"/>
      <c r="B29" s="2980"/>
      <c r="C29" s="2980">
        <v>17</v>
      </c>
      <c r="D29" s="2981" t="s">
        <v>3050</v>
      </c>
      <c r="E29" s="16">
        <f t="shared" si="7"/>
        <v>7274.41</v>
      </c>
      <c r="F29" s="32"/>
      <c r="G29" s="33">
        <f t="shared" si="8"/>
        <v>21750.44</v>
      </c>
      <c r="H29" s="20">
        <f t="shared" si="9"/>
        <v>21750.44</v>
      </c>
      <c r="I29" s="2212">
        <f>抵押物清单!AA19</f>
        <v>17619.03</v>
      </c>
      <c r="J29" s="2212"/>
      <c r="K29" s="2212">
        <f>抵押物清单!AB19</f>
        <v>4131.41</v>
      </c>
      <c r="L29" s="2212"/>
      <c r="M29" s="2212"/>
      <c r="N29" s="2212"/>
      <c r="O29" s="2212"/>
      <c r="P29" s="2212"/>
      <c r="Q29" s="2212"/>
      <c r="R29" s="2212"/>
      <c r="S29" s="2212"/>
      <c r="T29" s="2212"/>
      <c r="U29" s="2212"/>
      <c r="V29" s="2212"/>
      <c r="W29" s="2212"/>
      <c r="X29" s="2212"/>
      <c r="Y29" s="2212"/>
      <c r="Z29" s="2212"/>
      <c r="AA29" s="2212"/>
      <c r="AB29" s="2212"/>
      <c r="AC29" s="16">
        <f t="shared" si="10"/>
        <v>0</v>
      </c>
      <c r="AD29" s="2213"/>
      <c r="AE29" s="2213"/>
      <c r="AF29" s="2213"/>
      <c r="AG29" s="2213"/>
      <c r="AH29" s="2213"/>
      <c r="AI29" s="2213"/>
      <c r="AJ29" s="2213"/>
      <c r="AK29" s="2213"/>
      <c r="AL29" s="2213"/>
      <c r="AM29" s="2213"/>
      <c r="AN29" s="2213"/>
      <c r="AO29" s="2213"/>
      <c r="AP29" s="2213"/>
      <c r="AQ29" s="2213"/>
      <c r="AR29" s="2213"/>
      <c r="AS29" s="2213"/>
      <c r="AT29" s="2214"/>
      <c r="AU29" s="2215"/>
      <c r="AV29" s="11">
        <f t="shared" si="11"/>
        <v>0</v>
      </c>
      <c r="AW29" s="11">
        <f t="shared" si="12"/>
        <v>0</v>
      </c>
      <c r="AX29" s="11">
        <f t="shared" si="13"/>
        <v>17</v>
      </c>
      <c r="AY29" s="2954">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65" customFormat="1" ht="12.75">
      <c r="A30" s="1275"/>
      <c r="B30" s="2980"/>
      <c r="C30" s="2980">
        <v>18</v>
      </c>
      <c r="D30" s="2981" t="s">
        <v>3050</v>
      </c>
      <c r="E30" s="16">
        <f t="shared" si="7"/>
        <v>9488.9699999999993</v>
      </c>
      <c r="F30" s="32"/>
      <c r="G30" s="33">
        <f t="shared" si="8"/>
        <v>28371.940000000002</v>
      </c>
      <c r="H30" s="20">
        <f t="shared" si="9"/>
        <v>28371.940000000002</v>
      </c>
      <c r="I30" s="2212">
        <f>抵押物清单!AA20</f>
        <v>21281.34</v>
      </c>
      <c r="J30" s="2212"/>
      <c r="K30" s="2212">
        <f>抵押物清单!AB20</f>
        <v>7090.6</v>
      </c>
      <c r="L30" s="2212"/>
      <c r="M30" s="2212"/>
      <c r="N30" s="2212"/>
      <c r="O30" s="2212"/>
      <c r="P30" s="2212"/>
      <c r="Q30" s="2212"/>
      <c r="R30" s="2212"/>
      <c r="S30" s="2212"/>
      <c r="T30" s="2212"/>
      <c r="U30" s="2212"/>
      <c r="V30" s="2212"/>
      <c r="W30" s="2212"/>
      <c r="X30" s="2212"/>
      <c r="Y30" s="2212"/>
      <c r="Z30" s="2212"/>
      <c r="AA30" s="2212"/>
      <c r="AB30" s="2212"/>
      <c r="AC30" s="16">
        <f t="shared" si="10"/>
        <v>0</v>
      </c>
      <c r="AD30" s="2213"/>
      <c r="AE30" s="2213"/>
      <c r="AF30" s="2213"/>
      <c r="AG30" s="2213"/>
      <c r="AH30" s="2213"/>
      <c r="AI30" s="2213"/>
      <c r="AJ30" s="2213"/>
      <c r="AK30" s="2213"/>
      <c r="AL30" s="2213"/>
      <c r="AM30" s="2213"/>
      <c r="AN30" s="2213"/>
      <c r="AO30" s="2213"/>
      <c r="AP30" s="2213"/>
      <c r="AQ30" s="2213"/>
      <c r="AR30" s="2213"/>
      <c r="AS30" s="2213"/>
      <c r="AT30" s="2214"/>
      <c r="AU30" s="2215"/>
      <c r="AV30" s="11">
        <f t="shared" si="11"/>
        <v>0</v>
      </c>
      <c r="AW30" s="11">
        <f t="shared" si="12"/>
        <v>0</v>
      </c>
      <c r="AX30" s="11">
        <f t="shared" si="13"/>
        <v>18</v>
      </c>
      <c r="AY30" s="2954">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65" customFormat="1" ht="12.75">
      <c r="A31" s="1275"/>
      <c r="B31" s="2980"/>
      <c r="C31" s="2980">
        <v>19</v>
      </c>
      <c r="D31" s="2981" t="s">
        <v>3050</v>
      </c>
      <c r="E31" s="16">
        <f t="shared" si="7"/>
        <v>7123.99</v>
      </c>
      <c r="F31" s="32"/>
      <c r="G31" s="33">
        <f t="shared" si="8"/>
        <v>21300.660000000003</v>
      </c>
      <c r="H31" s="20">
        <f t="shared" si="9"/>
        <v>21300.660000000003</v>
      </c>
      <c r="I31" s="2212">
        <f>抵押物清单!AA21</f>
        <v>21300.660000000003</v>
      </c>
      <c r="J31" s="2212"/>
      <c r="K31" s="2212"/>
      <c r="L31" s="2212"/>
      <c r="M31" s="2212"/>
      <c r="N31" s="2212"/>
      <c r="O31" s="2212"/>
      <c r="P31" s="2212"/>
      <c r="Q31" s="2212"/>
      <c r="R31" s="2212"/>
      <c r="S31" s="2212"/>
      <c r="T31" s="2212"/>
      <c r="U31" s="2212"/>
      <c r="V31" s="2212"/>
      <c r="W31" s="2212"/>
      <c r="X31" s="2212"/>
      <c r="Y31" s="2212"/>
      <c r="Z31" s="2212"/>
      <c r="AA31" s="2212"/>
      <c r="AB31" s="2212"/>
      <c r="AC31" s="16">
        <f t="shared" si="10"/>
        <v>0</v>
      </c>
      <c r="AD31" s="2213"/>
      <c r="AE31" s="2213"/>
      <c r="AF31" s="2213"/>
      <c r="AG31" s="2213"/>
      <c r="AH31" s="2213"/>
      <c r="AI31" s="2213"/>
      <c r="AJ31" s="2213"/>
      <c r="AK31" s="2213"/>
      <c r="AL31" s="2213"/>
      <c r="AM31" s="2213"/>
      <c r="AN31" s="2213"/>
      <c r="AO31" s="2213"/>
      <c r="AP31" s="2213"/>
      <c r="AQ31" s="2213"/>
      <c r="AR31" s="2213"/>
      <c r="AS31" s="2213"/>
      <c r="AT31" s="2214"/>
      <c r="AU31" s="2215"/>
      <c r="AV31" s="11">
        <f t="shared" si="11"/>
        <v>0</v>
      </c>
      <c r="AW31" s="11">
        <f t="shared" si="12"/>
        <v>0</v>
      </c>
      <c r="AX31" s="11">
        <f t="shared" si="13"/>
        <v>19</v>
      </c>
      <c r="AY31" s="2954">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65" customFormat="1" ht="12.75">
      <c r="A32" s="1275"/>
      <c r="B32" s="2980"/>
      <c r="C32" s="2980">
        <v>20</v>
      </c>
      <c r="D32" s="2981" t="s">
        <v>3050</v>
      </c>
      <c r="E32" s="16">
        <f t="shared" si="7"/>
        <v>9019.99</v>
      </c>
      <c r="F32" s="32"/>
      <c r="G32" s="33">
        <f t="shared" si="8"/>
        <v>26969.7</v>
      </c>
      <c r="H32" s="20">
        <f t="shared" si="9"/>
        <v>26969.7</v>
      </c>
      <c r="I32" s="2212">
        <f>抵押物清单!E22</f>
        <v>26969.7</v>
      </c>
      <c r="J32" s="2212"/>
      <c r="K32" s="2212"/>
      <c r="L32" s="2212"/>
      <c r="M32" s="2212"/>
      <c r="N32" s="2212"/>
      <c r="O32" s="2212"/>
      <c r="P32" s="2212"/>
      <c r="Q32" s="2212"/>
      <c r="R32" s="2212"/>
      <c r="S32" s="2212"/>
      <c r="T32" s="2212"/>
      <c r="U32" s="2212"/>
      <c r="V32" s="2212"/>
      <c r="W32" s="2212"/>
      <c r="X32" s="2212"/>
      <c r="Y32" s="2212"/>
      <c r="Z32" s="2212"/>
      <c r="AA32" s="2212"/>
      <c r="AB32" s="2212"/>
      <c r="AC32" s="16">
        <f t="shared" si="10"/>
        <v>0</v>
      </c>
      <c r="AD32" s="2213"/>
      <c r="AE32" s="2213"/>
      <c r="AF32" s="2213"/>
      <c r="AG32" s="2213"/>
      <c r="AH32" s="2213"/>
      <c r="AI32" s="2213"/>
      <c r="AJ32" s="2213"/>
      <c r="AK32" s="2213"/>
      <c r="AL32" s="2213"/>
      <c r="AM32" s="2213"/>
      <c r="AN32" s="2213"/>
      <c r="AO32" s="2213"/>
      <c r="AP32" s="2213"/>
      <c r="AQ32" s="2213"/>
      <c r="AR32" s="2213"/>
      <c r="AS32" s="2213"/>
      <c r="AT32" s="2214"/>
      <c r="AU32" s="2215"/>
      <c r="AV32" s="11">
        <f t="shared" si="11"/>
        <v>0</v>
      </c>
      <c r="AW32" s="11">
        <f t="shared" si="12"/>
        <v>0</v>
      </c>
      <c r="AX32" s="11">
        <f t="shared" si="13"/>
        <v>20</v>
      </c>
      <c r="AY32" s="2954">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65" customFormat="1" ht="12.75">
      <c r="A33" s="1275"/>
      <c r="B33" s="2980"/>
      <c r="C33" s="2982" t="s">
        <v>3358</v>
      </c>
      <c r="D33" s="2981" t="s">
        <v>3384</v>
      </c>
      <c r="E33" s="16">
        <f t="shared" si="7"/>
        <v>1130.2</v>
      </c>
      <c r="F33" s="32"/>
      <c r="G33" s="33">
        <f t="shared" si="8"/>
        <v>3379.28</v>
      </c>
      <c r="H33" s="20">
        <f t="shared" si="9"/>
        <v>3379.28</v>
      </c>
      <c r="I33" s="2212"/>
      <c r="J33" s="2212"/>
      <c r="K33" s="2212">
        <f>抵押物清单!AB23</f>
        <v>3379.28</v>
      </c>
      <c r="L33" s="2212"/>
      <c r="M33" s="2212"/>
      <c r="N33" s="2212"/>
      <c r="O33" s="2212"/>
      <c r="P33" s="2212"/>
      <c r="Q33" s="2212"/>
      <c r="R33" s="2212"/>
      <c r="S33" s="2212"/>
      <c r="T33" s="2212"/>
      <c r="U33" s="2212"/>
      <c r="V33" s="2212"/>
      <c r="W33" s="2212"/>
      <c r="X33" s="2212"/>
      <c r="Y33" s="2212"/>
      <c r="Z33" s="2212"/>
      <c r="AA33" s="2212"/>
      <c r="AB33" s="2212"/>
      <c r="AC33" s="16">
        <f t="shared" si="10"/>
        <v>0</v>
      </c>
      <c r="AD33" s="2213"/>
      <c r="AE33" s="2213"/>
      <c r="AF33" s="2213"/>
      <c r="AG33" s="2213"/>
      <c r="AH33" s="2213"/>
      <c r="AI33" s="2213"/>
      <c r="AJ33" s="2213"/>
      <c r="AK33" s="2213"/>
      <c r="AL33" s="2213"/>
      <c r="AM33" s="2213"/>
      <c r="AN33" s="2213"/>
      <c r="AO33" s="2213"/>
      <c r="AP33" s="2213"/>
      <c r="AQ33" s="2213"/>
      <c r="AR33" s="2213"/>
      <c r="AS33" s="2213"/>
      <c r="AT33" s="2214"/>
      <c r="AU33" s="2215"/>
      <c r="AV33" s="11">
        <f t="shared" si="11"/>
        <v>0</v>
      </c>
      <c r="AW33" s="11">
        <f t="shared" si="12"/>
        <v>0</v>
      </c>
      <c r="AX33" s="11" t="str">
        <f t="shared" si="13"/>
        <v>商业楼</v>
      </c>
      <c r="AY33" s="2954">
        <f t="shared" si="14"/>
        <v>1130.2</v>
      </c>
      <c r="AZ33" s="16">
        <f t="shared" si="15"/>
        <v>3379.28</v>
      </c>
      <c r="BA33" s="16">
        <f t="shared" si="16"/>
        <v>3379.28</v>
      </c>
      <c r="BB33" s="16">
        <f t="shared" si="17"/>
        <v>0</v>
      </c>
      <c r="BC33" s="16">
        <f t="shared" si="18"/>
        <v>3379.28</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65" customFormat="1" ht="12.75">
      <c r="A34" s="1275"/>
      <c r="B34" s="2980"/>
      <c r="C34" s="2980" t="s">
        <v>3359</v>
      </c>
      <c r="D34" s="2981" t="s">
        <v>3050</v>
      </c>
      <c r="E34" s="16">
        <f t="shared" si="7"/>
        <v>2329.27</v>
      </c>
      <c r="F34" s="32"/>
      <c r="G34" s="33">
        <f t="shared" si="8"/>
        <v>6964.5</v>
      </c>
      <c r="H34" s="20">
        <f t="shared" si="9"/>
        <v>6964.5</v>
      </c>
      <c r="I34" s="2212"/>
      <c r="J34" s="2212"/>
      <c r="K34" s="2212"/>
      <c r="L34" s="2212"/>
      <c r="M34" s="2212">
        <f>抵押物清单!AC24</f>
        <v>6964.5</v>
      </c>
      <c r="N34" s="2212"/>
      <c r="O34" s="2212"/>
      <c r="P34" s="2212"/>
      <c r="Q34" s="2212"/>
      <c r="R34" s="2212"/>
      <c r="S34" s="2212"/>
      <c r="T34" s="2212"/>
      <c r="U34" s="2212"/>
      <c r="V34" s="2212"/>
      <c r="W34" s="2212"/>
      <c r="X34" s="2212"/>
      <c r="Y34" s="2212"/>
      <c r="Z34" s="2212"/>
      <c r="AA34" s="2212"/>
      <c r="AB34" s="2212"/>
      <c r="AC34" s="16">
        <f t="shared" si="10"/>
        <v>0</v>
      </c>
      <c r="AD34" s="2213"/>
      <c r="AE34" s="2213"/>
      <c r="AF34" s="2213"/>
      <c r="AG34" s="2213"/>
      <c r="AH34" s="2213"/>
      <c r="AI34" s="2213"/>
      <c r="AJ34" s="2213"/>
      <c r="AK34" s="2213"/>
      <c r="AL34" s="2213"/>
      <c r="AM34" s="2213"/>
      <c r="AN34" s="2213"/>
      <c r="AO34" s="2213"/>
      <c r="AP34" s="2213"/>
      <c r="AQ34" s="2213"/>
      <c r="AR34" s="2213"/>
      <c r="AS34" s="2213"/>
      <c r="AT34" s="2214"/>
      <c r="AU34" s="2215"/>
      <c r="AV34" s="11">
        <f t="shared" si="11"/>
        <v>0</v>
      </c>
      <c r="AW34" s="11">
        <f t="shared" si="12"/>
        <v>0</v>
      </c>
      <c r="AX34" s="11" t="str">
        <f t="shared" si="13"/>
        <v>1#地下车库</v>
      </c>
      <c r="AY34" s="2954">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65" customFormat="1" ht="12.75">
      <c r="A35" s="1275"/>
      <c r="B35" s="2980"/>
      <c r="C35" s="2980" t="s">
        <v>3360</v>
      </c>
      <c r="D35" s="2981" t="s">
        <v>3050</v>
      </c>
      <c r="E35" s="16">
        <f t="shared" si="7"/>
        <v>12128.94</v>
      </c>
      <c r="F35" s="32"/>
      <c r="G35" s="33">
        <f t="shared" si="8"/>
        <v>36265.440000000002</v>
      </c>
      <c r="H35" s="20">
        <f t="shared" si="9"/>
        <v>36265.440000000002</v>
      </c>
      <c r="I35" s="2212"/>
      <c r="J35" s="2212"/>
      <c r="K35" s="2212"/>
      <c r="L35" s="2212"/>
      <c r="M35" s="2212">
        <f>抵押物清单!D25</f>
        <v>36265.440000000002</v>
      </c>
      <c r="N35" s="2212"/>
      <c r="O35" s="2212"/>
      <c r="P35" s="2212"/>
      <c r="Q35" s="2212"/>
      <c r="R35" s="2212"/>
      <c r="S35" s="2212"/>
      <c r="T35" s="2212"/>
      <c r="U35" s="2212"/>
      <c r="V35" s="2212"/>
      <c r="W35" s="2212"/>
      <c r="X35" s="2212"/>
      <c r="Y35" s="2212"/>
      <c r="Z35" s="2212"/>
      <c r="AA35" s="2212"/>
      <c r="AB35" s="2212"/>
      <c r="AC35" s="16">
        <f t="shared" si="10"/>
        <v>0</v>
      </c>
      <c r="AD35" s="2213"/>
      <c r="AE35" s="2213"/>
      <c r="AF35" s="2213"/>
      <c r="AG35" s="2213"/>
      <c r="AH35" s="2213"/>
      <c r="AI35" s="2213"/>
      <c r="AJ35" s="2213"/>
      <c r="AK35" s="2213"/>
      <c r="AL35" s="2213"/>
      <c r="AM35" s="2213"/>
      <c r="AN35" s="2213"/>
      <c r="AO35" s="2213"/>
      <c r="AP35" s="2213"/>
      <c r="AQ35" s="2213"/>
      <c r="AR35" s="2213"/>
      <c r="AS35" s="2213"/>
      <c r="AT35" s="2214"/>
      <c r="AU35" s="2215"/>
      <c r="AV35" s="11">
        <f t="shared" si="11"/>
        <v>0</v>
      </c>
      <c r="AW35" s="11">
        <f t="shared" si="12"/>
        <v>0</v>
      </c>
      <c r="AX35" s="11" t="str">
        <f t="shared" si="13"/>
        <v>2#地下车库</v>
      </c>
      <c r="AY35" s="2954">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65" customFormat="1" ht="12.75">
      <c r="A36" s="1275"/>
      <c r="B36" s="2980"/>
      <c r="C36" s="2980" t="s">
        <v>3361</v>
      </c>
      <c r="D36" s="2981" t="s">
        <v>3050</v>
      </c>
      <c r="E36" s="16">
        <f t="shared" si="7"/>
        <v>1295.57</v>
      </c>
      <c r="F36" s="32"/>
      <c r="G36" s="33">
        <f t="shared" si="8"/>
        <v>3873.74</v>
      </c>
      <c r="H36" s="20">
        <f t="shared" si="9"/>
        <v>3873.74</v>
      </c>
      <c r="I36" s="2212"/>
      <c r="J36" s="2212"/>
      <c r="K36" s="2212"/>
      <c r="L36" s="2212"/>
      <c r="M36" s="2212">
        <f>抵押物清单!D26</f>
        <v>3873.74</v>
      </c>
      <c r="N36" s="2212"/>
      <c r="O36" s="2212"/>
      <c r="P36" s="2212"/>
      <c r="Q36" s="2212"/>
      <c r="R36" s="2212"/>
      <c r="S36" s="2212"/>
      <c r="T36" s="2212"/>
      <c r="U36" s="2212"/>
      <c r="V36" s="2212"/>
      <c r="W36" s="2212"/>
      <c r="X36" s="2212"/>
      <c r="Y36" s="2212"/>
      <c r="Z36" s="2212"/>
      <c r="AA36" s="2212"/>
      <c r="AB36" s="2212"/>
      <c r="AC36" s="16">
        <f t="shared" si="10"/>
        <v>0</v>
      </c>
      <c r="AD36" s="2213"/>
      <c r="AE36" s="2213"/>
      <c r="AF36" s="2213"/>
      <c r="AG36" s="2213"/>
      <c r="AH36" s="2213"/>
      <c r="AI36" s="2213"/>
      <c r="AJ36" s="2213"/>
      <c r="AK36" s="2213"/>
      <c r="AL36" s="2213"/>
      <c r="AM36" s="2213"/>
      <c r="AN36" s="2213"/>
      <c r="AO36" s="2213"/>
      <c r="AP36" s="2213"/>
      <c r="AQ36" s="2213"/>
      <c r="AR36" s="2213"/>
      <c r="AS36" s="2213"/>
      <c r="AT36" s="2214"/>
      <c r="AU36" s="2215"/>
      <c r="AV36" s="11">
        <f t="shared" si="11"/>
        <v>0</v>
      </c>
      <c r="AW36" s="11">
        <f t="shared" si="12"/>
        <v>0</v>
      </c>
      <c r="AX36" s="11" t="str">
        <f t="shared" si="13"/>
        <v>3#地下车库</v>
      </c>
      <c r="AY36" s="2954">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2165" customFormat="1" ht="12.75">
      <c r="A37" s="1275"/>
      <c r="B37" s="2980"/>
      <c r="C37" s="2982" t="s">
        <v>3362</v>
      </c>
      <c r="D37" s="2981" t="s">
        <v>3384</v>
      </c>
      <c r="E37" s="16">
        <f t="shared" si="7"/>
        <v>0</v>
      </c>
      <c r="F37" s="32"/>
      <c r="G37" s="33">
        <f t="shared" si="8"/>
        <v>19678.349999999999</v>
      </c>
      <c r="H37" s="20">
        <f t="shared" si="9"/>
        <v>0</v>
      </c>
      <c r="I37" s="2212"/>
      <c r="J37" s="2212"/>
      <c r="K37" s="2212"/>
      <c r="L37" s="2212"/>
      <c r="M37" s="2212"/>
      <c r="N37" s="2212"/>
      <c r="O37" s="2212"/>
      <c r="P37" s="2212"/>
      <c r="Q37" s="2212"/>
      <c r="R37" s="2212"/>
      <c r="S37" s="2212"/>
      <c r="T37" s="2212"/>
      <c r="U37" s="2212"/>
      <c r="V37" s="2212"/>
      <c r="W37" s="2212"/>
      <c r="X37" s="2212"/>
      <c r="Y37" s="2212"/>
      <c r="Z37" s="2212"/>
      <c r="AA37" s="2212"/>
      <c r="AB37" s="2212"/>
      <c r="AC37" s="16">
        <f t="shared" si="10"/>
        <v>0</v>
      </c>
      <c r="AD37" s="2213"/>
      <c r="AE37" s="2213"/>
      <c r="AF37" s="2213"/>
      <c r="AG37" s="2213"/>
      <c r="AH37" s="2213"/>
      <c r="AI37" s="2213"/>
      <c r="AJ37" s="2213"/>
      <c r="AK37" s="2213"/>
      <c r="AL37" s="2213"/>
      <c r="AM37" s="2213"/>
      <c r="AN37" s="2213"/>
      <c r="AO37" s="2213"/>
      <c r="AP37" s="2213"/>
      <c r="AQ37" s="2213"/>
      <c r="AR37" s="2213"/>
      <c r="AS37" s="2213"/>
      <c r="AT37" s="2214">
        <f>抵押物清单!D27</f>
        <v>19678.349999999999</v>
      </c>
      <c r="AU37" s="2215"/>
      <c r="AV37" s="11">
        <f t="shared" si="11"/>
        <v>0</v>
      </c>
      <c r="AW37" s="11">
        <f t="shared" si="12"/>
        <v>0</v>
      </c>
      <c r="AX37" s="11" t="str">
        <f t="shared" si="13"/>
        <v>人防</v>
      </c>
      <c r="AY37" s="2954">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2165" customFormat="1" ht="12.75">
      <c r="A38" s="1275"/>
      <c r="B38" s="2980"/>
      <c r="C38" s="2982" t="s">
        <v>3363</v>
      </c>
      <c r="D38" s="2981" t="s">
        <v>3050</v>
      </c>
      <c r="E38" s="16">
        <f t="shared" si="7"/>
        <v>861.11</v>
      </c>
      <c r="F38" s="32"/>
      <c r="G38" s="33">
        <f t="shared" si="8"/>
        <v>2574.6999999999998</v>
      </c>
      <c r="H38" s="20">
        <f t="shared" si="9"/>
        <v>0</v>
      </c>
      <c r="I38" s="2212"/>
      <c r="J38" s="2212"/>
      <c r="K38" s="2212"/>
      <c r="L38" s="2212"/>
      <c r="M38" s="2212"/>
      <c r="N38" s="2212"/>
      <c r="O38" s="2212"/>
      <c r="P38" s="2212"/>
      <c r="Q38" s="2212"/>
      <c r="R38" s="2212"/>
      <c r="S38" s="2212"/>
      <c r="T38" s="2212"/>
      <c r="U38" s="2212"/>
      <c r="V38" s="2212"/>
      <c r="W38" s="2212"/>
      <c r="X38" s="2212"/>
      <c r="Y38" s="2212"/>
      <c r="Z38" s="2212"/>
      <c r="AA38" s="2212"/>
      <c r="AB38" s="2212"/>
      <c r="AC38" s="16">
        <f t="shared" si="10"/>
        <v>2574.6999999999998</v>
      </c>
      <c r="AD38" s="2213">
        <f>抵押物清单!D28</f>
        <v>2574.6999999999998</v>
      </c>
      <c r="AE38" s="2213"/>
      <c r="AF38" s="2213"/>
      <c r="AG38" s="2213"/>
      <c r="AH38" s="2213"/>
      <c r="AI38" s="2213"/>
      <c r="AJ38" s="2213"/>
      <c r="AK38" s="2213"/>
      <c r="AL38" s="2213"/>
      <c r="AM38" s="2213"/>
      <c r="AN38" s="2213"/>
      <c r="AO38" s="2213"/>
      <c r="AP38" s="2213"/>
      <c r="AQ38" s="2213"/>
      <c r="AR38" s="2213"/>
      <c r="AS38" s="2213"/>
      <c r="AT38" s="2214"/>
      <c r="AU38" s="2215"/>
      <c r="AV38" s="11">
        <f t="shared" si="11"/>
        <v>0</v>
      </c>
      <c r="AW38" s="11">
        <f t="shared" si="12"/>
        <v>0</v>
      </c>
      <c r="AX38" s="11" t="str">
        <f t="shared" si="13"/>
        <v>幼儿园</v>
      </c>
      <c r="AY38" s="2954">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2165" customFormat="1" ht="12.75">
      <c r="A39" s="1275"/>
      <c r="B39" s="2980"/>
      <c r="C39" s="2980"/>
      <c r="D39" s="2981"/>
      <c r="E39" s="16">
        <f t="shared" si="7"/>
        <v>0</v>
      </c>
      <c r="F39" s="32"/>
      <c r="G39" s="33">
        <f t="shared" si="8"/>
        <v>0</v>
      </c>
      <c r="H39" s="20">
        <f t="shared" si="9"/>
        <v>0</v>
      </c>
      <c r="I39" s="2212"/>
      <c r="J39" s="2212"/>
      <c r="K39" s="2212"/>
      <c r="L39" s="2212"/>
      <c r="M39" s="2212"/>
      <c r="N39" s="2212"/>
      <c r="O39" s="2212"/>
      <c r="P39" s="2212"/>
      <c r="Q39" s="2212"/>
      <c r="R39" s="2212"/>
      <c r="S39" s="2212"/>
      <c r="T39" s="2212"/>
      <c r="U39" s="2212"/>
      <c r="V39" s="2212"/>
      <c r="W39" s="2212"/>
      <c r="X39" s="2212"/>
      <c r="Y39" s="2212"/>
      <c r="Z39" s="2212"/>
      <c r="AA39" s="2212"/>
      <c r="AB39" s="2212"/>
      <c r="AC39" s="16">
        <f t="shared" si="10"/>
        <v>0</v>
      </c>
      <c r="AD39" s="2213"/>
      <c r="AE39" s="2213"/>
      <c r="AF39" s="2213"/>
      <c r="AG39" s="2213"/>
      <c r="AH39" s="2213"/>
      <c r="AI39" s="2213"/>
      <c r="AJ39" s="2213"/>
      <c r="AK39" s="2213"/>
      <c r="AL39" s="2213"/>
      <c r="AM39" s="2213"/>
      <c r="AN39" s="2213"/>
      <c r="AO39" s="2213"/>
      <c r="AP39" s="2213"/>
      <c r="AQ39" s="2213"/>
      <c r="AR39" s="2213"/>
      <c r="AS39" s="2213"/>
      <c r="AT39" s="2214"/>
      <c r="AU39" s="2215"/>
      <c r="AV39" s="11">
        <f t="shared" si="11"/>
        <v>0</v>
      </c>
      <c r="AW39" s="11">
        <f t="shared" si="12"/>
        <v>0</v>
      </c>
      <c r="AX39" s="11">
        <f t="shared" si="13"/>
        <v>0</v>
      </c>
      <c r="AY39" s="2954">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65" customFormat="1" ht="12.75">
      <c r="A40" s="1275"/>
      <c r="B40" s="2980"/>
      <c r="C40" s="2980"/>
      <c r="D40" s="2981"/>
      <c r="E40" s="16">
        <f t="shared" si="7"/>
        <v>0</v>
      </c>
      <c r="F40" s="32"/>
      <c r="G40" s="33">
        <f t="shared" si="8"/>
        <v>0</v>
      </c>
      <c r="H40" s="20">
        <f t="shared" si="9"/>
        <v>0</v>
      </c>
      <c r="I40" s="2212"/>
      <c r="J40" s="2212"/>
      <c r="K40" s="2212"/>
      <c r="L40" s="2212"/>
      <c r="M40" s="2212"/>
      <c r="N40" s="2212"/>
      <c r="O40" s="2212"/>
      <c r="P40" s="2212"/>
      <c r="Q40" s="2212"/>
      <c r="R40" s="2212"/>
      <c r="S40" s="2212"/>
      <c r="T40" s="2212"/>
      <c r="U40" s="2212"/>
      <c r="V40" s="2212"/>
      <c r="W40" s="2212"/>
      <c r="X40" s="2212"/>
      <c r="Y40" s="2212"/>
      <c r="Z40" s="2212"/>
      <c r="AA40" s="2212"/>
      <c r="AB40" s="2212"/>
      <c r="AC40" s="16">
        <f t="shared" si="10"/>
        <v>0</v>
      </c>
      <c r="AD40" s="2213"/>
      <c r="AE40" s="2213"/>
      <c r="AF40" s="2213"/>
      <c r="AG40" s="2213"/>
      <c r="AH40" s="2213"/>
      <c r="AI40" s="2213"/>
      <c r="AJ40" s="2213"/>
      <c r="AK40" s="2213"/>
      <c r="AL40" s="2213"/>
      <c r="AM40" s="2213"/>
      <c r="AN40" s="2213"/>
      <c r="AO40" s="2213"/>
      <c r="AP40" s="2213"/>
      <c r="AQ40" s="2213"/>
      <c r="AR40" s="2213"/>
      <c r="AS40" s="2213"/>
      <c r="AT40" s="2214"/>
      <c r="AU40" s="2215"/>
      <c r="AV40" s="11">
        <f t="shared" si="11"/>
        <v>0</v>
      </c>
      <c r="AW40" s="11">
        <f t="shared" si="12"/>
        <v>0</v>
      </c>
      <c r="AX40" s="11">
        <f t="shared" si="13"/>
        <v>0</v>
      </c>
      <c r="AY40" s="2954">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6" t="s">
        <v>0</v>
      </c>
      <c r="B1" s="3096" t="s">
        <v>4</v>
      </c>
      <c r="C1" s="3096" t="s">
        <v>5</v>
      </c>
      <c r="D1" s="3097" t="s">
        <v>53</v>
      </c>
      <c r="E1" s="3097" t="s">
        <v>54</v>
      </c>
      <c r="F1" s="3097"/>
      <c r="G1" s="3097"/>
      <c r="H1" s="3097"/>
      <c r="I1" s="3097"/>
      <c r="J1" s="3097"/>
      <c r="K1" s="3097"/>
      <c r="L1" s="3097"/>
      <c r="M1" s="3097"/>
    </row>
    <row r="2" spans="1:13" ht="27" customHeight="1">
      <c r="A2" s="3096"/>
      <c r="B2" s="3096"/>
      <c r="C2" s="3096"/>
      <c r="D2" s="3097"/>
      <c r="E2" s="3097" t="s">
        <v>37</v>
      </c>
      <c r="F2" s="3097" t="s">
        <v>38</v>
      </c>
      <c r="G2" s="3097"/>
      <c r="H2" s="3097"/>
      <c r="I2" s="3097"/>
      <c r="J2" s="3097" t="s">
        <v>39</v>
      </c>
      <c r="K2" s="3097"/>
      <c r="L2" s="3097"/>
      <c r="M2" s="3097"/>
    </row>
    <row r="3" spans="1:13" ht="28.5">
      <c r="A3" s="3096"/>
      <c r="B3" s="3096"/>
      <c r="C3" s="3096"/>
      <c r="D3" s="3097"/>
      <c r="E3" s="30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7" t="s">
        <v>55</v>
      </c>
      <c r="B9" s="3097"/>
      <c r="C9" s="30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F2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5"/>
      <c r="C1" s="1395"/>
      <c r="D1" s="1395"/>
      <c r="E1" s="1395"/>
      <c r="F1" s="1395"/>
      <c r="G1" s="1395"/>
      <c r="H1" s="1395"/>
      <c r="I1" s="1395"/>
      <c r="J1" s="1395"/>
      <c r="K1" s="1395"/>
      <c r="L1" s="1395"/>
      <c r="M1" s="1395"/>
      <c r="N1" s="1395"/>
      <c r="O1" s="1395"/>
      <c r="P1" s="1395"/>
    </row>
    <row r="2" spans="1:16" ht="15">
      <c r="A2" s="3107" t="s">
        <v>1932</v>
      </c>
      <c r="B2" s="3107"/>
      <c r="C2" s="3107"/>
      <c r="D2" s="970" t="s">
        <v>1908</v>
      </c>
      <c r="E2" s="2225" t="s">
        <v>1909</v>
      </c>
      <c r="F2" s="1395"/>
      <c r="G2" s="2226"/>
      <c r="H2" s="2227"/>
      <c r="I2" s="2228" t="s">
        <v>1933</v>
      </c>
      <c r="J2" s="1395"/>
      <c r="K2" s="1395"/>
      <c r="L2" s="1395"/>
      <c r="M2" s="1395"/>
      <c r="N2" s="1430"/>
      <c r="O2" s="1395"/>
      <c r="P2" s="1395"/>
    </row>
    <row r="3" spans="1:16" ht="15.75" thickBot="1">
      <c r="A3" s="3108" t="s">
        <v>1906</v>
      </c>
      <c r="B3" s="3108"/>
      <c r="C3" s="3108"/>
      <c r="D3" s="46">
        <f>'数据-基础表'!AY6</f>
        <v>1764.17</v>
      </c>
      <c r="E3" s="46">
        <f>'数据-基础表'!AZ5</f>
        <v>5274.8599999999988</v>
      </c>
      <c r="F3" s="1395"/>
      <c r="G3" s="1402"/>
      <c r="H3" s="1250" t="s">
        <v>1907</v>
      </c>
      <c r="I3" s="55">
        <f>ROUND('数据-基础表'!B3/'数据-基础表'!A3,2)</f>
        <v>2.99</v>
      </c>
      <c r="J3" s="1395"/>
      <c r="K3" s="1395"/>
      <c r="L3" s="1395"/>
      <c r="M3" s="1395"/>
      <c r="N3" s="1430"/>
      <c r="O3" s="1395"/>
      <c r="P3" s="1395"/>
    </row>
    <row r="4" spans="1:16" ht="15">
      <c r="A4" s="3109"/>
      <c r="B4" s="3110"/>
      <c r="C4" s="3111"/>
      <c r="D4" s="2229" t="s">
        <v>1908</v>
      </c>
      <c r="E4" s="2230" t="s">
        <v>1909</v>
      </c>
      <c r="F4" s="1395"/>
      <c r="G4" s="2231" t="s">
        <v>1934</v>
      </c>
      <c r="H4" s="1250" t="s">
        <v>1914</v>
      </c>
      <c r="I4" s="55">
        <f>ROUND(SUMIF('数据-基础表'!I9:AS9,"地上",'数据-基础表'!I5:AS5)/'数据-基础表'!A3,2)</f>
        <v>2.1</v>
      </c>
      <c r="J4" s="1395"/>
      <c r="K4" s="1395"/>
      <c r="L4" s="1395"/>
      <c r="M4" s="1395"/>
      <c r="N4" s="1430"/>
      <c r="O4" s="1395"/>
      <c r="P4" s="1395"/>
    </row>
    <row r="5" spans="1:16">
      <c r="A5" s="47" t="s">
        <v>1910</v>
      </c>
      <c r="B5" s="3112" t="s">
        <v>1911</v>
      </c>
      <c r="C5" s="3112"/>
      <c r="D5" s="48">
        <f>ROUND($D$3*E5/$E$3,2)</f>
        <v>603.89</v>
      </c>
      <c r="E5" s="49">
        <f>SUMIF('数据-基础表'!$11:$11,"住宅",'数据-基础表'!$5:$5)</f>
        <v>1805.619999999999</v>
      </c>
      <c r="F5" s="1395"/>
      <c r="G5" s="1402"/>
      <c r="H5" s="1250" t="s">
        <v>1907</v>
      </c>
      <c r="I5" s="55">
        <f>ROUND(E31/D31,2)</f>
        <v>2.99</v>
      </c>
      <c r="J5" s="1395"/>
      <c r="K5" s="1395"/>
      <c r="L5" s="1395"/>
      <c r="M5" s="1395"/>
      <c r="N5" s="1395"/>
      <c r="O5" s="1395"/>
      <c r="P5" s="1395"/>
    </row>
    <row r="6" spans="1:16" ht="15" thickBot="1">
      <c r="A6" s="2232"/>
      <c r="B6" s="3112" t="s">
        <v>1912</v>
      </c>
      <c r="C6" s="3112"/>
      <c r="D6" s="48">
        <f>ROUND($D$3*E6/$E$3,2)</f>
        <v>1160.28</v>
      </c>
      <c r="E6" s="49">
        <f>E3-E5</f>
        <v>3469.24</v>
      </c>
      <c r="F6" s="1395"/>
      <c r="G6" s="2233" t="s">
        <v>1913</v>
      </c>
      <c r="H6" s="1402" t="s">
        <v>1914</v>
      </c>
      <c r="I6" s="942">
        <f>ROUND(F31/D31,2)</f>
        <v>2.99</v>
      </c>
      <c r="J6" s="1395"/>
      <c r="K6" s="1395"/>
      <c r="L6" s="1395"/>
      <c r="M6" s="1395"/>
      <c r="N6" s="1395"/>
      <c r="O6" s="1395"/>
      <c r="P6" s="1395"/>
    </row>
    <row r="7" spans="1:16" ht="15">
      <c r="A7" s="3104"/>
      <c r="B7" s="3105"/>
      <c r="C7" s="3106"/>
      <c r="D7" s="2229" t="s">
        <v>1908</v>
      </c>
      <c r="E7" s="2234" t="s">
        <v>1915</v>
      </c>
      <c r="F7" s="1395"/>
      <c r="G7" s="2226" t="s">
        <v>1916</v>
      </c>
      <c r="H7" s="64"/>
      <c r="I7" s="420"/>
      <c r="J7" s="1395"/>
      <c r="K7" s="1395"/>
      <c r="L7" s="1395"/>
      <c r="M7" s="1395"/>
      <c r="N7" s="1395"/>
      <c r="O7" s="1395"/>
      <c r="P7" s="1395"/>
    </row>
    <row r="8" spans="1:16">
      <c r="A8" s="47" t="s">
        <v>1917</v>
      </c>
      <c r="B8" s="50" t="s">
        <v>1918</v>
      </c>
      <c r="C8" s="48" t="s">
        <v>1919</v>
      </c>
      <c r="D8" s="48">
        <f t="shared" ref="D8:D15" si="0">ROUND($D$3*E8/$E$3,2)</f>
        <v>1764.17</v>
      </c>
      <c r="E8" s="51">
        <f>SUMIF('数据-基础表'!BB10:BK10,"地上",'数据-基础表'!BB5:BK5)</f>
        <v>5274.8599999999988</v>
      </c>
      <c r="F8" s="1395"/>
      <c r="G8" s="2235"/>
      <c r="H8" s="2235"/>
      <c r="I8" s="1395"/>
      <c r="J8" s="1395"/>
      <c r="K8" s="1395"/>
      <c r="L8" s="1395"/>
      <c r="M8" s="1395"/>
      <c r="N8" s="1395"/>
      <c r="O8" s="1395"/>
      <c r="P8" s="1395"/>
    </row>
    <row r="9" spans="1:16">
      <c r="A9" s="2236"/>
      <c r="B9" s="2237"/>
      <c r="C9" s="48" t="s">
        <v>1920</v>
      </c>
      <c r="D9" s="48">
        <f t="shared" si="0"/>
        <v>0</v>
      </c>
      <c r="E9" s="52">
        <v>0</v>
      </c>
      <c r="F9" s="1395"/>
      <c r="G9" s="2235"/>
      <c r="H9" s="2235"/>
      <c r="I9" s="1395"/>
      <c r="J9" s="1395"/>
      <c r="K9" s="1395"/>
      <c r="L9" s="1395"/>
      <c r="M9" s="1395"/>
      <c r="N9" s="1395"/>
      <c r="O9" s="1395"/>
      <c r="P9" s="1395"/>
    </row>
    <row r="10" spans="1:16">
      <c r="A10" s="2236"/>
      <c r="B10" s="2237"/>
      <c r="C10" s="48" t="s">
        <v>1929</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1921</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1922</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1923</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1935</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1930</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1924</v>
      </c>
      <c r="D16" s="50">
        <f>SUM(D8:D15)</f>
        <v>1764.17</v>
      </c>
      <c r="E16" s="53">
        <f>SUM(E8:E15)</f>
        <v>5274.8599999999988</v>
      </c>
      <c r="F16" s="1395"/>
      <c r="G16" s="2235"/>
      <c r="H16" s="2238" t="s">
        <v>1936</v>
      </c>
      <c r="I16" s="2239"/>
      <c r="J16" s="1395"/>
      <c r="K16" s="3101" t="s">
        <v>1936</v>
      </c>
      <c r="L16" s="3102"/>
      <c r="M16" s="3102"/>
      <c r="N16" s="3102"/>
      <c r="O16" s="3102"/>
      <c r="P16" s="3103"/>
    </row>
    <row r="17" spans="1:19" ht="15">
      <c r="A17" s="2240" t="s">
        <v>1937</v>
      </c>
      <c r="B17" s="2241" t="s">
        <v>1938</v>
      </c>
      <c r="C17" s="2242" t="s">
        <v>1939</v>
      </c>
      <c r="D17" s="2243" t="s">
        <v>1927</v>
      </c>
      <c r="E17" s="2244" t="s">
        <v>1928</v>
      </c>
      <c r="F17" s="2245"/>
      <c r="G17" s="2246"/>
      <c r="H17" s="2247" t="s">
        <v>1940</v>
      </c>
      <c r="I17" s="2248" t="s">
        <v>1925</v>
      </c>
      <c r="J17" s="1395"/>
      <c r="K17" s="3098" t="s">
        <v>1941</v>
      </c>
      <c r="L17" s="3099"/>
      <c r="M17" s="3100"/>
      <c r="N17" s="3098" t="s">
        <v>1942</v>
      </c>
      <c r="O17" s="3099"/>
      <c r="P17" s="3100"/>
      <c r="R17" s="2226" t="s">
        <v>1943</v>
      </c>
      <c r="S17" s="64"/>
    </row>
    <row r="18" spans="1:19" ht="15">
      <c r="A18" s="2236"/>
      <c r="B18" s="2249"/>
      <c r="C18" s="2250"/>
      <c r="D18" s="2251"/>
      <c r="E18" s="2252" t="s">
        <v>1944</v>
      </c>
      <c r="F18" s="2253" t="s">
        <v>1945</v>
      </c>
      <c r="G18" s="2254" t="s">
        <v>1946</v>
      </c>
      <c r="H18" s="1265" t="s">
        <v>1947</v>
      </c>
      <c r="I18" s="2255" t="s">
        <v>1948</v>
      </c>
      <c r="J18" s="1395"/>
      <c r="K18" s="1265" t="s">
        <v>1949</v>
      </c>
      <c r="L18" s="2256" t="s">
        <v>1950</v>
      </c>
      <c r="M18" s="1049" t="s">
        <v>1951</v>
      </c>
      <c r="N18" s="1265" t="s">
        <v>1949</v>
      </c>
      <c r="O18" s="2256" t="s">
        <v>1950</v>
      </c>
      <c r="P18" s="1049" t="s">
        <v>1951</v>
      </c>
      <c r="R18" s="1250" t="s">
        <v>1952</v>
      </c>
      <c r="S18" s="1250" t="s">
        <v>1953</v>
      </c>
    </row>
    <row r="19" spans="1:19">
      <c r="A19" s="2257"/>
      <c r="B19" s="50" t="s">
        <v>1926</v>
      </c>
      <c r="C19" s="3011" t="s">
        <v>3385</v>
      </c>
      <c r="D19" s="48">
        <f>ROUND($D$3*E19/$E$3,2)</f>
        <v>603.89</v>
      </c>
      <c r="E19" s="56">
        <f t="shared" ref="E19:E26" si="1">SUM(F19:G19)</f>
        <v>1805.619999999999</v>
      </c>
      <c r="F19" s="57">
        <f>'数据-基础表'!I20+'数据-基础表'!I23+'数据-基础表'!I25</f>
        <v>1805.619999999999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8"/>
      <c r="O19" s="2259"/>
      <c r="P19" s="1406">
        <f>N19+O19</f>
        <v>0</v>
      </c>
      <c r="R19" s="1250">
        <f t="shared" ref="R19:S26" si="5">D19+H19</f>
        <v>603.89</v>
      </c>
      <c r="S19" s="1251">
        <f t="shared" si="5"/>
        <v>1805.619999999999</v>
      </c>
    </row>
    <row r="20" spans="1:19">
      <c r="A20" s="2260"/>
      <c r="B20" s="50" t="s">
        <v>1954</v>
      </c>
      <c r="C20" s="3011" t="s">
        <v>3446</v>
      </c>
      <c r="D20" s="48">
        <f t="shared" ref="D20:D26" si="6">ROUND($D$3*E20/$E$3,2)</f>
        <v>30.09</v>
      </c>
      <c r="E20" s="56">
        <f t="shared" si="1"/>
        <v>89.959999999999923</v>
      </c>
      <c r="F20" s="57">
        <f>'数据-基础表'!K21</f>
        <v>89.959999999999923</v>
      </c>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30.09</v>
      </c>
      <c r="S20" s="1251">
        <f t="shared" si="5"/>
        <v>89.959999999999923</v>
      </c>
    </row>
    <row r="21" spans="1:19">
      <c r="A21" s="2260"/>
      <c r="B21" s="50" t="s">
        <v>1954</v>
      </c>
      <c r="C21" s="3011" t="s">
        <v>3447</v>
      </c>
      <c r="D21" s="48">
        <f t="shared" si="6"/>
        <v>1130.2</v>
      </c>
      <c r="E21" s="56">
        <f t="shared" si="1"/>
        <v>3379.28</v>
      </c>
      <c r="F21" s="57">
        <f>'数据-基础表'!K33</f>
        <v>3379.28</v>
      </c>
      <c r="G21" s="58"/>
      <c r="H21" s="723">
        <f t="shared" si="7"/>
        <v>0</v>
      </c>
      <c r="I21" s="51">
        <f t="shared" si="2"/>
        <v>0</v>
      </c>
      <c r="J21" s="1395"/>
      <c r="K21" s="1394">
        <f t="shared" si="3"/>
        <v>0</v>
      </c>
      <c r="L21" s="1250">
        <f t="shared" si="4"/>
        <v>0</v>
      </c>
      <c r="M21" s="1406">
        <f t="shared" si="8"/>
        <v>0</v>
      </c>
      <c r="N21" s="2258"/>
      <c r="O21" s="2259"/>
      <c r="P21" s="1406">
        <f t="shared" si="9"/>
        <v>0</v>
      </c>
      <c r="R21" s="1250">
        <f t="shared" si="5"/>
        <v>1130.2</v>
      </c>
      <c r="S21" s="1251">
        <f t="shared" si="5"/>
        <v>3379.28</v>
      </c>
    </row>
    <row r="22" spans="1:19">
      <c r="A22" s="2260"/>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1955</v>
      </c>
      <c r="D27" s="1396">
        <f>SUM(D19:D26)</f>
        <v>1764.18</v>
      </c>
      <c r="E27" s="1397">
        <f>IF(SUM(E19:E26)='数据-基础表'!BA5,SUM(E19:E26),IF(F27="地上面积有误","面积有误","地下面积有误"))</f>
        <v>5274.8599999999988</v>
      </c>
      <c r="F27" s="1396">
        <f>IF(SUM(F19:F26)=E8,SUM(F19:F26),"地上面积有误")</f>
        <v>5274.8599999999988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1764.18误差0.01</v>
      </c>
      <c r="S27" s="1250">
        <f>IF(SUM(S19:S26)=$E$3,SUM(S19:S26),SUM(S19:S26)&amp;"误差"&amp;ROUND(SUM(S19:S26)-E3,2))</f>
        <v>5274.8599999999988</v>
      </c>
    </row>
    <row r="28" spans="1:19">
      <c r="A28" s="2260"/>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0"/>
      <c r="B29" s="50" t="s">
        <v>1956</v>
      </c>
      <c r="C29" s="2264"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6"/>
      <c r="B31" s="2267"/>
      <c r="C31" s="1010" t="s">
        <v>1959</v>
      </c>
      <c r="D31" s="729">
        <f>D27+D30</f>
        <v>1764.18</v>
      </c>
      <c r="E31" s="729">
        <f>E27+E30</f>
        <v>5274.8599999999988</v>
      </c>
      <c r="F31" s="730">
        <f>F27+F30</f>
        <v>5274.8599999999988</v>
      </c>
      <c r="G31" s="731">
        <f>G27+G30</f>
        <v>0</v>
      </c>
      <c r="H31" s="1395"/>
      <c r="I31" s="1395"/>
      <c r="J31" s="1395"/>
      <c r="K31" s="1395"/>
      <c r="L31" s="1395"/>
      <c r="M31" s="1395"/>
      <c r="N31" s="1395"/>
      <c r="O31" s="1395"/>
      <c r="P31" s="1395"/>
    </row>
    <row r="32" spans="1:19">
      <c r="A32" s="2231"/>
      <c r="B32" s="2231" t="s">
        <v>1960</v>
      </c>
      <c r="C32" s="2231"/>
      <c r="D32" s="2231"/>
      <c r="E32" s="1277">
        <f>SUMIF(C19:C26,"*住宅*",E19:E26)</f>
        <v>1805.619999999999</v>
      </c>
      <c r="F32" s="2231"/>
      <c r="G32" s="2231"/>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Z15" sqref="Z1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1961</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1962</v>
      </c>
      <c r="B2" s="1269">
        <f>项目基本情况!D3</f>
        <v>43307</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1963</v>
      </c>
      <c r="B4" s="2278"/>
      <c r="C4" s="2279"/>
      <c r="D4" s="2280"/>
      <c r="E4" s="2279" t="s">
        <v>1964</v>
      </c>
      <c r="F4" s="2279"/>
      <c r="G4" s="2279"/>
      <c r="H4" s="2279"/>
      <c r="I4" s="2279"/>
      <c r="J4" s="2281"/>
      <c r="K4" s="2282"/>
      <c r="L4" s="2283"/>
      <c r="M4" s="2279"/>
      <c r="N4" s="2279" t="s">
        <v>1965</v>
      </c>
      <c r="O4" s="2279"/>
      <c r="P4" s="2279"/>
      <c r="Q4" s="2279"/>
      <c r="R4" s="2279"/>
      <c r="S4" s="2281"/>
      <c r="T4" s="2284" t="str">
        <f>'数据-汇总表'!I17</f>
        <v>按面积比例</v>
      </c>
      <c r="U4" s="2278" t="s">
        <v>1966</v>
      </c>
      <c r="V4" s="2279"/>
      <c r="W4" s="2279"/>
      <c r="X4" s="2279"/>
      <c r="Y4" s="2281"/>
      <c r="Z4" s="2242" t="s">
        <v>1967</v>
      </c>
      <c r="AA4" s="2242"/>
      <c r="AB4" s="2242"/>
      <c r="AC4" s="2242"/>
      <c r="AD4" s="2242"/>
      <c r="AE4" s="2240" t="s">
        <v>1968</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1969</v>
      </c>
      <c r="B5" s="2287" t="s">
        <v>1970</v>
      </c>
      <c r="C5" s="2288" t="s">
        <v>1971</v>
      </c>
      <c r="D5" s="2289" t="s">
        <v>1972</v>
      </c>
      <c r="E5" s="1271" t="s">
        <v>1973</v>
      </c>
      <c r="F5" s="2290" t="s">
        <v>1974</v>
      </c>
      <c r="G5" s="1271" t="s">
        <v>1975</v>
      </c>
      <c r="H5" s="1271" t="s">
        <v>1976</v>
      </c>
      <c r="I5" s="1271" t="s">
        <v>1977</v>
      </c>
      <c r="J5" s="2291" t="s">
        <v>1978</v>
      </c>
      <c r="K5" s="2292" t="s">
        <v>1979</v>
      </c>
      <c r="L5" s="2293" t="s">
        <v>1980</v>
      </c>
      <c r="M5" s="2294" t="s">
        <v>1981</v>
      </c>
      <c r="N5" s="2295" t="s">
        <v>3434</v>
      </c>
      <c r="O5" s="2293" t="s">
        <v>1982</v>
      </c>
      <c r="P5" s="2296" t="s">
        <v>1983</v>
      </c>
      <c r="Q5" s="69" t="s">
        <v>1984</v>
      </c>
      <c r="R5" s="2297" t="s">
        <v>1985</v>
      </c>
      <c r="S5" s="2298" t="s">
        <v>1986</v>
      </c>
      <c r="T5" s="2299" t="s">
        <v>1987</v>
      </c>
      <c r="U5" s="1270" t="s">
        <v>1988</v>
      </c>
      <c r="V5" s="1271" t="s">
        <v>1989</v>
      </c>
      <c r="W5" s="1271" t="s">
        <v>1990</v>
      </c>
      <c r="X5" s="71"/>
      <c r="Y5" s="70" t="s">
        <v>1991</v>
      </c>
      <c r="Z5" s="2300" t="s">
        <v>1988</v>
      </c>
      <c r="AA5" s="1271" t="s">
        <v>1989</v>
      </c>
      <c r="AB5" s="1271" t="s">
        <v>1990</v>
      </c>
      <c r="AC5" s="71"/>
      <c r="AD5" s="71" t="s">
        <v>1991</v>
      </c>
      <c r="AE5" s="1270" t="s">
        <v>1992</v>
      </c>
      <c r="AF5" s="1271" t="s">
        <v>1993</v>
      </c>
      <c r="AG5" s="70" t="s">
        <v>1994</v>
      </c>
      <c r="AH5" s="1270" t="s">
        <v>1995</v>
      </c>
      <c r="AI5" s="2300" t="s">
        <v>1996</v>
      </c>
      <c r="AJ5" s="2300" t="s">
        <v>1997</v>
      </c>
      <c r="AK5" s="1271" t="s">
        <v>1998</v>
      </c>
      <c r="AL5" s="1271" t="s">
        <v>1999</v>
      </c>
      <c r="AM5" s="70" t="s">
        <v>2000</v>
      </c>
      <c r="AN5" s="2301" t="s">
        <v>2001</v>
      </c>
      <c r="AO5" s="2072" t="s">
        <v>2002</v>
      </c>
      <c r="AP5" s="1252" t="s">
        <v>2003</v>
      </c>
      <c r="AQ5" s="2302" t="s">
        <v>2004</v>
      </c>
      <c r="AR5" s="2302"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3" t="str">
        <f>'数据-汇总表'!C19</f>
        <v>住宅</v>
      </c>
      <c r="B6" s="2304" t="str">
        <f>IF(A6=0,"","经营性")</f>
        <v>经营性</v>
      </c>
      <c r="C6" s="2305" t="s">
        <v>3066</v>
      </c>
      <c r="D6" s="1054">
        <f>SUMIF(项目基本情况!D$12:I$12,C6,项目基本情况!D$14:I$14)</f>
        <v>70</v>
      </c>
      <c r="E6" s="1051">
        <f>IF(B6="","",SUMIF(项目基本情况!D$12:I$12,C6,项目基本情况!D$13:I$13))</f>
        <v>66111</v>
      </c>
      <c r="F6" s="72">
        <f>SUMIF(项目基本情况!D$12:I$12,C6,项目基本情况!D$15:I$15)</f>
        <v>62.47</v>
      </c>
      <c r="G6" s="73">
        <f>IF(ISERROR(ROUND(POWER(1+H6,D6-F6)*(POWER(1+H6,F6)-1)/(POWER(1+H6,D6)-1),3)),0,ROUND(POWER(1+H6,D6-F6)*(POWER(1+H6,F6)-1)/(POWER(1+H6,D6)-1),3))</f>
        <v>0.98099999999999998</v>
      </c>
      <c r="H6" s="802">
        <v>4.4999999999999998E-2</v>
      </c>
      <c r="I6" s="802">
        <v>0.05</v>
      </c>
      <c r="J6" s="74">
        <v>8.5000000000000006E-2</v>
      </c>
      <c r="K6" s="1254">
        <f>SUMIF('数据-汇总表'!C$19:C$33,A6,'数据-汇总表'!E$19:E$33)</f>
        <v>1805.619999999999</v>
      </c>
      <c r="L6" s="803">
        <v>2300</v>
      </c>
      <c r="M6" s="75">
        <f t="shared" ref="M6:M14" si="0">ROUND(K6*L6/10000,0)</f>
        <v>415</v>
      </c>
      <c r="N6" s="801">
        <v>0.97</v>
      </c>
      <c r="O6" s="75" t="str">
        <f>IF($N$5="成新度","——",ROUND(M6*N6,0))</f>
        <v>——</v>
      </c>
      <c r="P6" s="76" t="str">
        <f>IF($N$5="成新度","——",M6-O6)</f>
        <v>——</v>
      </c>
      <c r="Q6" s="804">
        <v>0.1</v>
      </c>
      <c r="R6" s="77">
        <f ca="1">SUMIF('数据-汇总表'!C$19:C$33,A6,'数据-汇总表'!R$19:R$27)</f>
        <v>603.89</v>
      </c>
      <c r="S6" s="54">
        <f>IF('数据-汇总表'!$I$17="按面积比例",SUMIF('数据-汇总表'!C$19:C$33,A6,'数据-汇总表'!K$19:K$33),SUMIF('数据-汇总表'!C$19:C$33,A6,'数据-汇总表'!N$19:N$33))</f>
        <v>0</v>
      </c>
      <c r="T6" s="1446">
        <f>ROUND($L$14*S6/10000,0)</f>
        <v>0</v>
      </c>
      <c r="U6" s="78">
        <v>1.5</v>
      </c>
      <c r="V6" s="79">
        <v>0.02</v>
      </c>
      <c r="W6" s="79">
        <v>0.05</v>
      </c>
      <c r="X6" s="1264"/>
      <c r="Y6" s="80">
        <f>N6</f>
        <v>0.97</v>
      </c>
      <c r="Z6" s="81"/>
      <c r="AA6" s="74"/>
      <c r="AB6" s="74"/>
      <c r="AC6" s="1264"/>
      <c r="AD6" s="82"/>
      <c r="AE6" s="1265">
        <f ca="1">IF(AN6="",0,SUMIF(INDIRECT("'"&amp;AN6&amp;"'"&amp;"!E:E"),$AE$5,INDIRECT("'"&amp;AN6&amp;"'"&amp;"!F:F")))</f>
        <v>62.47</v>
      </c>
      <c r="AF6" s="1807"/>
      <c r="AG6" s="147">
        <f>IF(AF6="",0,AE6-AF6)</f>
        <v>0</v>
      </c>
      <c r="AH6" s="83"/>
      <c r="AI6" s="85">
        <v>365</v>
      </c>
      <c r="AJ6" s="86"/>
      <c r="AK6" s="87">
        <v>0.02</v>
      </c>
      <c r="AL6" s="88">
        <v>2E-3</v>
      </c>
      <c r="AM6" s="89">
        <v>0.02</v>
      </c>
      <c r="AN6" s="2306" t="s">
        <v>3432</v>
      </c>
      <c r="AO6" s="55">
        <f ca="1">SUMIF(INDIRECT("'"&amp;AN6&amp;"'"&amp;"!A:A"),"总价",INDIRECT("'"&amp;AN6&amp;"'"&amp;"!B:B"))</f>
        <v>1701</v>
      </c>
      <c r="AP6" s="2307">
        <f>IF(C6="住宅",K6*L6,0)</f>
        <v>4152925.9999999977</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t="str">
        <f>'数据-汇总表'!C20</f>
        <v>基准商业</v>
      </c>
      <c r="B7" s="2304" t="str">
        <f t="shared" ref="B7:B13" si="1">IF(A7=0,"","经营性")</f>
        <v>经营性</v>
      </c>
      <c r="C7" s="2305" t="s">
        <v>1377</v>
      </c>
      <c r="D7" s="1054">
        <f>SUMIF(项目基本情况!D$12:I$12,C7,项目基本情况!D$14:I$14)</f>
        <v>40</v>
      </c>
      <c r="E7" s="1051">
        <f>IF(B7="","",SUMIF(项目基本情况!D$12:I$12,C7,项目基本情况!D$13:I$13))</f>
        <v>55153</v>
      </c>
      <c r="F7" s="72">
        <f>SUMIF(项目基本情况!D$12:I$12,C7,项目基本情况!D$15:I$15)</f>
        <v>32.450000000000003</v>
      </c>
      <c r="G7" s="73">
        <f t="shared" ref="G7:G11" si="2">IF(ISERROR(ROUND(POWER(1+H7,D7-F7)*(POWER(1+H7,F7)-1)/(POWER(1+H7,D7)-1),3)),0,ROUND(POWER(1+H7,D7-F7)*(POWER(1+H7,F7)-1)/(POWER(1+H7,D7)-1),3))</f>
        <v>0.92600000000000005</v>
      </c>
      <c r="H7" s="802">
        <v>0.05</v>
      </c>
      <c r="I7" s="802">
        <v>5.5E-2</v>
      </c>
      <c r="J7" s="74">
        <v>8.5000000000000006E-2</v>
      </c>
      <c r="K7" s="1254">
        <f>SUMIF('数据-汇总表'!C$19:C$33,A7,'数据-汇总表'!E$19:E$33)</f>
        <v>89.959999999999923</v>
      </c>
      <c r="L7" s="803">
        <v>2000</v>
      </c>
      <c r="M7" s="75">
        <f t="shared" si="0"/>
        <v>18</v>
      </c>
      <c r="N7" s="801">
        <f>(60-(2018-2015))/60</f>
        <v>0.95</v>
      </c>
      <c r="O7" s="75" t="str">
        <f t="shared" ref="O7:O14" si="3">IF($N$5="成新度","——",ROUND(M7*N7,0))</f>
        <v>——</v>
      </c>
      <c r="P7" s="76" t="str">
        <f t="shared" ref="P7:P14" si="4">IF($N$5="成新度","——",M7-O7)</f>
        <v>——</v>
      </c>
      <c r="Q7" s="804">
        <v>0.1</v>
      </c>
      <c r="R7" s="77">
        <f ca="1">SUMIF('数据-汇总表'!C$19:C$33,A7,'数据-汇总表'!R$19:R$27)</f>
        <v>30.09</v>
      </c>
      <c r="S7" s="54">
        <f>IF('数据-汇总表'!$I$17="按面积比例",SUMIF('数据-汇总表'!C$19:C$33,A7,'数据-汇总表'!K$19:K$33),SUMIF('数据-汇总表'!C$19:C$33,A7,'数据-汇总表'!N$19:N$33))</f>
        <v>0</v>
      </c>
      <c r="T7" s="1446">
        <f t="shared" ref="T7:T13" si="5">ROUND($L$14*S7/10000,0)</f>
        <v>0</v>
      </c>
      <c r="U7" s="78">
        <v>2.8</v>
      </c>
      <c r="V7" s="79">
        <v>2.5000000000000001E-2</v>
      </c>
      <c r="W7" s="79">
        <v>0.1</v>
      </c>
      <c r="X7" s="1264"/>
      <c r="Y7" s="80">
        <f>N7</f>
        <v>0.95</v>
      </c>
      <c r="Z7" s="81"/>
      <c r="AA7" s="74"/>
      <c r="AB7" s="74"/>
      <c r="AC7" s="1264"/>
      <c r="AD7" s="82"/>
      <c r="AE7" s="1265">
        <f t="shared" ref="AE7:AE13" ca="1" si="6">IF(AN7="",0,SUMIF(INDIRECT("'"&amp;AN7&amp;"'"&amp;"!E:E"),$AE$5,INDIRECT("'"&amp;AN7&amp;"'"&amp;"!F:F")))</f>
        <v>32.450000000000003</v>
      </c>
      <c r="AF7" s="1807"/>
      <c r="AG7" s="147">
        <f t="shared" ref="AG7:AG13" si="7">IF(AF7="",0,AE7-AF7)</f>
        <v>0</v>
      </c>
      <c r="AH7" s="83"/>
      <c r="AI7" s="85">
        <v>365</v>
      </c>
      <c r="AJ7" s="86"/>
      <c r="AK7" s="87">
        <v>0.02</v>
      </c>
      <c r="AL7" s="88">
        <v>2E-3</v>
      </c>
      <c r="AM7" s="89">
        <v>0.02</v>
      </c>
      <c r="AN7" s="2306" t="s">
        <v>3390</v>
      </c>
      <c r="AO7" s="55">
        <f t="shared" ref="AO7:AO13" ca="1" si="8">SUMIF(INDIRECT("'"&amp;AN7&amp;"'"&amp;"!A:A"),"总价",INDIRECT("'"&amp;AN7&amp;"'"&amp;"!B:B"))</f>
        <v>122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c r="A8" s="2303" t="str">
        <f>'数据-汇总表'!C21</f>
        <v>商业楼</v>
      </c>
      <c r="B8" s="2304" t="str">
        <f t="shared" si="1"/>
        <v>经营性</v>
      </c>
      <c r="C8" s="2305"/>
      <c r="D8" s="1054">
        <f>SUMIF(项目基本情况!D$12:I$12,C8,项目基本情况!D$14:I$14)</f>
        <v>0</v>
      </c>
      <c r="E8" s="1051">
        <f>IF(B8="","",SUMIF(项目基本情况!D$12:I$12,C8,项目基本情况!D$13:I$13))</f>
        <v>0</v>
      </c>
      <c r="F8" s="72">
        <f>SUMIF(项目基本情况!D$12:I$12,C8,项目基本情况!D$15:I$15)</f>
        <v>0</v>
      </c>
      <c r="G8" s="73">
        <f t="shared" si="2"/>
        <v>0</v>
      </c>
      <c r="H8" s="802">
        <v>0.04</v>
      </c>
      <c r="I8" s="802">
        <v>4.4999999999999998E-2</v>
      </c>
      <c r="J8" s="74">
        <v>8.5000000000000006E-2</v>
      </c>
      <c r="K8" s="1254">
        <f>SUMIF('数据-汇总表'!C$19:C$33,A8,'数据-汇总表'!E$19:E$33)</f>
        <v>3379.28</v>
      </c>
      <c r="L8" s="803"/>
      <c r="M8" s="75">
        <f>ROUND(K8*L8/10000,0)</f>
        <v>0</v>
      </c>
      <c r="N8" s="801"/>
      <c r="O8" s="75" t="str">
        <f t="shared" si="3"/>
        <v>——</v>
      </c>
      <c r="P8" s="76" t="str">
        <f t="shared" si="4"/>
        <v>——</v>
      </c>
      <c r="Q8" s="804"/>
      <c r="R8" s="77">
        <f ca="1">SUMIF('数据-汇总表'!C$19:C$33,A8,'数据-汇总表'!R$19:R$27)</f>
        <v>1130.2</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v>365</v>
      </c>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2006</v>
      </c>
      <c r="B14" s="2304" t="s">
        <v>2007</v>
      </c>
      <c r="C14" s="2309"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2008</v>
      </c>
      <c r="B15" s="2304" t="s">
        <v>2007</v>
      </c>
      <c r="C15" s="2309"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2010</v>
      </c>
      <c r="B16" s="97"/>
      <c r="C16" s="1008"/>
      <c r="D16" s="2311"/>
      <c r="E16" s="97"/>
      <c r="F16" s="97"/>
      <c r="G16" s="98">
        <f>ROUND(SUMPRODUCT(G6:G13,K6:K13)/SUMPRODUCT((G6:G13&gt;0)*(K6:K13)),3)</f>
        <v>0.97799999999999998</v>
      </c>
      <c r="H16" s="99">
        <f>ROUND(SUMPRODUCT(H6:H13,K6:K13)/SUMPRODUCT((H6:H13&gt;0)*(K6:K13)),3)</f>
        <v>4.2000000000000003E-2</v>
      </c>
      <c r="I16" s="100"/>
      <c r="J16" s="100"/>
      <c r="K16" s="101">
        <f>SUM(K6:K15)</f>
        <v>5274.8599999999988</v>
      </c>
      <c r="L16" s="102">
        <f>ROUND(M16*10000/SUM(K6:K14),0)</f>
        <v>821</v>
      </c>
      <c r="M16" s="102">
        <f>SUM(M6:M14)</f>
        <v>433</v>
      </c>
      <c r="N16" s="103">
        <f>ROUND(SUMPRODUCT(M6:M14,N6:N14)/M16,3)</f>
        <v>0.96899999999999997</v>
      </c>
      <c r="O16" s="102">
        <f>SUM(O6:O14)</f>
        <v>0</v>
      </c>
      <c r="P16" s="102">
        <f>SUM(P6:P14)</f>
        <v>0</v>
      </c>
      <c r="Q16" s="104">
        <f>ROUND(SUMPRODUCT(Q6:Q13,K6:K13)/SUMPRODUCT((Q6:Q13&gt;0)*(K6:K13)),2)</f>
        <v>0.1</v>
      </c>
      <c r="R16" s="1258">
        <f ca="1">SUM(R6:R13)</f>
        <v>1764.18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77"/>
      <c r="C18" s="2274"/>
      <c r="D18" s="2275"/>
      <c r="E18" s="2274"/>
      <c r="F18" s="2274"/>
      <c r="G18" s="2274"/>
      <c r="H18" s="2274"/>
      <c r="I18" s="2274"/>
      <c r="J18" s="2274"/>
      <c r="K18" s="168"/>
      <c r="L18" s="168"/>
      <c r="M18" s="3012"/>
      <c r="N18" s="1584"/>
      <c r="O18" s="3013"/>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2012</v>
      </c>
      <c r="B19" s="112">
        <v>0</v>
      </c>
      <c r="C19" s="2274" t="s">
        <v>2013</v>
      </c>
      <c r="D19" s="2275"/>
      <c r="E19" s="2274"/>
      <c r="F19" s="2274"/>
      <c r="G19" s="2274"/>
      <c r="H19" s="2274"/>
      <c r="I19" s="2274"/>
      <c r="J19" s="2274"/>
      <c r="K19" s="168"/>
      <c r="L19" s="3017" t="s">
        <v>3435</v>
      </c>
      <c r="M19" s="3012">
        <v>8</v>
      </c>
      <c r="N19" s="1584">
        <f>抵押物清单!L10</f>
        <v>21347.21</v>
      </c>
      <c r="O19" s="3013">
        <f>ROUND((60-(2018-2015))/60,2)</f>
        <v>0.95</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4" t="s">
        <v>2014</v>
      </c>
      <c r="B20" s="113">
        <v>3.5</v>
      </c>
      <c r="C20" s="2274" t="s">
        <v>2015</v>
      </c>
      <c r="D20" s="2275"/>
      <c r="E20" s="2274"/>
      <c r="F20" s="2274"/>
      <c r="G20" s="2274"/>
      <c r="H20" s="2274"/>
      <c r="I20" s="2274"/>
      <c r="J20" s="2274"/>
      <c r="K20" s="168"/>
      <c r="L20" s="168"/>
      <c r="M20" s="1584">
        <v>11</v>
      </c>
      <c r="N20" s="1584">
        <f>抵押物清单!L13</f>
        <v>23410.959999999999</v>
      </c>
      <c r="O20" s="3018">
        <f>ROUND((60-(2018-2017))/60,3)</f>
        <v>0.98299999999999998</v>
      </c>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2016</v>
      </c>
      <c r="B21" s="113">
        <v>3.5</v>
      </c>
      <c r="C21" s="2274"/>
      <c r="D21" s="2275"/>
      <c r="E21" s="2274"/>
      <c r="F21" s="2274"/>
      <c r="G21" s="2274"/>
      <c r="H21" s="2274"/>
      <c r="I21" s="2274"/>
      <c r="J21" s="2274"/>
      <c r="K21" s="168"/>
      <c r="L21" s="168"/>
      <c r="M21" s="1584">
        <v>13</v>
      </c>
      <c r="N21" s="1584">
        <f>抵押物清单!L15</f>
        <v>12143.82</v>
      </c>
      <c r="O21" s="3018">
        <f>O20</f>
        <v>0.98299999999999998</v>
      </c>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2017</v>
      </c>
      <c r="B22" s="114">
        <f>B19+B20</f>
        <v>3.5</v>
      </c>
      <c r="C22" s="2274"/>
      <c r="D22" s="2275"/>
      <c r="E22" s="2274"/>
      <c r="F22" s="2274"/>
      <c r="G22" s="2274"/>
      <c r="H22" s="2274"/>
      <c r="I22" s="2274"/>
      <c r="J22" s="2274"/>
      <c r="K22" s="168"/>
      <c r="L22" s="168"/>
      <c r="M22" s="1584"/>
      <c r="N22" s="1584">
        <f>N19+N20+N21</f>
        <v>56901.99</v>
      </c>
      <c r="O22" s="1584">
        <f>(N19*O19+N20*O20+N21*O21)/N22</f>
        <v>0.97061980152187988</v>
      </c>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2018</v>
      </c>
      <c r="B23" s="114">
        <f>B19+B21</f>
        <v>3.5</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2019</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2020</v>
      </c>
      <c r="B26" s="2317" t="s">
        <v>2021</v>
      </c>
      <c r="C26" s="2318" t="s">
        <v>2022</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2023</v>
      </c>
      <c r="B27" s="116">
        <v>120</v>
      </c>
      <c r="C27" s="1767" t="s">
        <v>2024</v>
      </c>
      <c r="D27" s="2320"/>
      <c r="E27" s="1430"/>
      <c r="F27" s="1430"/>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2025</v>
      </c>
      <c r="B28" s="119">
        <v>52</v>
      </c>
      <c r="C28" s="2323"/>
      <c r="D28" s="2320"/>
      <c r="E28" s="1430"/>
      <c r="F28" s="1430"/>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2026</v>
      </c>
      <c r="B29" s="121"/>
      <c r="C29" s="1767" t="s">
        <v>2027</v>
      </c>
      <c r="D29" s="2320"/>
      <c r="E29" s="1430"/>
      <c r="F29" s="1430"/>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2028</v>
      </c>
      <c r="B30" s="724">
        <v>200</v>
      </c>
      <c r="C30" s="2323"/>
      <c r="D30" s="2320"/>
      <c r="E30" s="1430"/>
      <c r="F30" s="1430"/>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2029</v>
      </c>
      <c r="B31" s="120">
        <f>B30-B32</f>
        <v>200</v>
      </c>
      <c r="C31" s="1767"/>
      <c r="D31" s="2320"/>
      <c r="E31" s="1430"/>
      <c r="F31" s="1430"/>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2030</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2031</v>
      </c>
      <c r="B33" s="726">
        <v>0.03</v>
      </c>
      <c r="C33" s="1766" t="s">
        <v>2032</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2033</v>
      </c>
      <c r="B34" s="122">
        <v>0.05</v>
      </c>
      <c r="C34" s="1766" t="s">
        <v>2034</v>
      </c>
      <c r="D34" s="2275" t="s">
        <v>2035</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2036</v>
      </c>
      <c r="B35" s="119">
        <v>200</v>
      </c>
      <c r="C35" s="1766" t="s">
        <v>2037</v>
      </c>
      <c r="D35" s="2320"/>
      <c r="E35" s="1430"/>
      <c r="F35" s="1430"/>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2038</v>
      </c>
      <c r="B36" s="123">
        <v>1.4999999999999999E-2</v>
      </c>
      <c r="C36" s="1766" t="s">
        <v>2039</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2040</v>
      </c>
      <c r="B37" s="124">
        <v>0.02</v>
      </c>
      <c r="C37" s="1766" t="s">
        <v>2041</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2" t="s">
        <v>2042</v>
      </c>
      <c r="B38" s="122">
        <v>0.02</v>
      </c>
      <c r="C38" s="1766" t="s">
        <v>2041</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2043</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2044</v>
      </c>
      <c r="B40" s="1303">
        <f ca="1">存贷款利率!G1</f>
        <v>4.7500000000000001E-2</v>
      </c>
      <c r="C40" s="1766" t="s">
        <v>2045</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2046</v>
      </c>
      <c r="B41" s="125">
        <f>B42+B43</f>
        <v>5.5000000000000007E-2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2047</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2048</v>
      </c>
      <c r="B43" s="127">
        <f>B42*(B44+B45+B46)+B47</f>
        <v>5.000000000000001E-3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2049</v>
      </c>
      <c r="B44" s="128">
        <v>0.05</v>
      </c>
      <c r="C44" s="1766" t="s">
        <v>2050</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2051</v>
      </c>
      <c r="B45" s="126">
        <v>0.03</v>
      </c>
      <c r="C45" s="1767" t="s">
        <v>2052</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2053</v>
      </c>
      <c r="B46" s="126">
        <v>0.02</v>
      </c>
      <c r="C46" s="1767" t="s">
        <v>2054</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2055</v>
      </c>
      <c r="B47" s="129"/>
      <c r="C47" s="1767" t="s">
        <v>2056</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2057</v>
      </c>
      <c r="B48" s="130">
        <v>0.04</v>
      </c>
      <c r="C48" s="1774" t="s">
        <v>2058</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2059</v>
      </c>
      <c r="B49" s="126">
        <v>5.0000000000000001E-4</v>
      </c>
      <c r="C49" s="1774" t="s">
        <v>2060</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2061</v>
      </c>
      <c r="B50" s="131">
        <v>1.2E-2</v>
      </c>
      <c r="C50" s="1430"/>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2062</v>
      </c>
      <c r="B51" s="132">
        <v>0.12</v>
      </c>
      <c r="C51" s="1430"/>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2063</v>
      </c>
      <c r="B52" s="133">
        <f>SUMIF(A54:A63,B53,B54:B63)</f>
        <v>15</v>
      </c>
      <c r="C52" s="1430"/>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2064</v>
      </c>
      <c r="B53" s="2333" t="s">
        <v>212</v>
      </c>
      <c r="C53" s="1430" t="s">
        <v>2065</v>
      </c>
      <c r="D53" s="2334" t="s">
        <v>2066</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2067</v>
      </c>
      <c r="B54" s="84">
        <v>15</v>
      </c>
      <c r="C54" s="1430">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2068</v>
      </c>
      <c r="B55" s="84">
        <v>10</v>
      </c>
      <c r="C55" s="1430">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2069</v>
      </c>
      <c r="B56" s="84">
        <v>6</v>
      </c>
      <c r="C56" s="1430">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2070</v>
      </c>
      <c r="B57" s="84"/>
      <c r="C57" s="1430">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2071</v>
      </c>
      <c r="B58" s="84"/>
      <c r="C58" s="1430">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2072</v>
      </c>
      <c r="B59" s="84"/>
      <c r="C59" s="1430">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2073</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2074</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2075</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2076</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13" t="s">
        <v>2077</v>
      </c>
      <c r="B1" s="3114"/>
      <c r="C1" s="3114"/>
      <c r="D1" s="3114"/>
      <c r="E1" s="3114"/>
      <c r="F1" s="3114"/>
      <c r="G1" s="311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3"/>
      <c r="G2" s="2362" t="s">
        <v>2079</v>
      </c>
      <c r="H2" s="2365"/>
      <c r="I2" s="2365"/>
      <c r="J2" s="2365"/>
      <c r="K2" s="2365"/>
      <c r="L2" s="2365"/>
      <c r="M2" s="2365"/>
      <c r="N2" s="2365"/>
      <c r="O2" s="2365"/>
      <c r="P2" s="2365"/>
      <c r="Q2" s="2365"/>
      <c r="R2" s="2365"/>
    </row>
    <row r="3" spans="1:29" ht="81">
      <c r="A3" s="415" t="s">
        <v>2080</v>
      </c>
      <c r="B3" s="1271" t="s">
        <v>2081</v>
      </c>
      <c r="C3" s="2946" t="s">
        <v>3261</v>
      </c>
      <c r="D3" s="2367"/>
      <c r="E3" s="431" t="s">
        <v>2080</v>
      </c>
      <c r="F3" s="2368" t="s">
        <v>2082</v>
      </c>
      <c r="G3" s="2369" t="s">
        <v>2083</v>
      </c>
      <c r="H3" s="2365"/>
      <c r="I3" s="2365"/>
      <c r="J3" s="2365"/>
      <c r="K3" s="2365"/>
      <c r="L3" s="2365"/>
      <c r="M3" s="2365"/>
      <c r="N3" s="2365"/>
      <c r="O3" s="2365"/>
      <c r="P3" s="2365"/>
      <c r="Q3" s="2365"/>
      <c r="R3" s="2365"/>
    </row>
    <row r="4" spans="1:29" ht="54">
      <c r="A4" s="431"/>
      <c r="B4" s="1798" t="s">
        <v>2084</v>
      </c>
      <c r="C4" s="2948" t="s">
        <v>3398</v>
      </c>
      <c r="D4" s="2367"/>
      <c r="E4" s="2371"/>
      <c r="F4" s="42" t="s">
        <v>2085</v>
      </c>
      <c r="G4" s="2372" t="s">
        <v>2086</v>
      </c>
      <c r="H4" s="2365"/>
      <c r="I4" s="2365"/>
      <c r="J4" s="2365"/>
      <c r="K4" s="2365"/>
      <c r="L4" s="2365"/>
      <c r="M4" s="2365"/>
      <c r="N4" s="2365"/>
      <c r="O4" s="2365"/>
      <c r="P4" s="2365"/>
      <c r="Q4" s="2365"/>
      <c r="R4" s="2365"/>
    </row>
    <row r="5" spans="1:29" ht="27">
      <c r="A5" s="431"/>
      <c r="B5" s="1798" t="s">
        <v>2087</v>
      </c>
      <c r="C5" s="2370"/>
      <c r="D5" s="2367"/>
      <c r="E5" s="2371"/>
      <c r="F5" s="1798" t="s">
        <v>2088</v>
      </c>
      <c r="G5" s="2372" t="s">
        <v>2089</v>
      </c>
      <c r="H5" s="2365"/>
      <c r="I5" s="2365"/>
      <c r="J5" s="2365"/>
      <c r="K5" s="2365"/>
      <c r="L5" s="2365"/>
      <c r="M5" s="2365"/>
      <c r="N5" s="2365"/>
      <c r="O5" s="2365"/>
      <c r="P5" s="2365"/>
      <c r="Q5" s="2365"/>
      <c r="R5" s="2365"/>
    </row>
    <row r="6" spans="1:29" ht="67.5">
      <c r="A6" s="431"/>
      <c r="B6" s="1798" t="s">
        <v>2090</v>
      </c>
      <c r="C6" s="2945" t="s">
        <v>3349</v>
      </c>
      <c r="D6" s="2367"/>
      <c r="E6" s="2371"/>
      <c r="F6" s="1798" t="s">
        <v>2091</v>
      </c>
      <c r="G6" s="2372" t="s">
        <v>2092</v>
      </c>
      <c r="H6" s="2365"/>
      <c r="I6" s="2365"/>
      <c r="J6" s="2365"/>
      <c r="K6" s="2365"/>
      <c r="L6" s="2365"/>
      <c r="M6" s="2365"/>
      <c r="N6" s="2365"/>
      <c r="O6" s="2365"/>
      <c r="P6" s="2365"/>
      <c r="Q6" s="2365"/>
      <c r="R6" s="2365"/>
    </row>
    <row r="7" spans="1:29" ht="108.75" thickBot="1">
      <c r="A7" s="431"/>
      <c r="B7" s="1798" t="s">
        <v>2088</v>
      </c>
      <c r="C7" s="2945" t="s">
        <v>3350</v>
      </c>
      <c r="D7" s="2373"/>
      <c r="E7" s="2374"/>
      <c r="F7" s="2375" t="s">
        <v>2093</v>
      </c>
      <c r="G7" s="2376" t="s">
        <v>2094</v>
      </c>
      <c r="H7" s="2365"/>
      <c r="I7" s="2365"/>
      <c r="J7" s="2365"/>
      <c r="K7" s="2365"/>
      <c r="L7" s="2365"/>
      <c r="M7" s="2365"/>
      <c r="N7" s="2365"/>
      <c r="O7" s="2365"/>
      <c r="P7" s="2365"/>
      <c r="Q7" s="2365"/>
      <c r="R7" s="2365"/>
    </row>
    <row r="8" spans="1:29" ht="27">
      <c r="A8" s="431"/>
      <c r="B8" s="1798" t="s">
        <v>2091</v>
      </c>
      <c r="C8" s="2945" t="s">
        <v>3351</v>
      </c>
      <c r="D8" s="2373"/>
      <c r="E8" s="2373"/>
      <c r="F8" s="1136"/>
      <c r="G8" s="1136"/>
      <c r="H8" s="2365"/>
      <c r="I8" s="2365"/>
      <c r="J8" s="2365"/>
      <c r="K8" s="2365"/>
      <c r="L8" s="2365"/>
      <c r="M8" s="2365"/>
      <c r="N8" s="2365"/>
      <c r="O8" s="2365"/>
      <c r="P8" s="2365"/>
      <c r="Q8" s="2365"/>
      <c r="R8" s="2365"/>
    </row>
    <row r="9" spans="1:29" ht="67.5">
      <c r="A9" s="431"/>
      <c r="B9" s="1798" t="s">
        <v>2095</v>
      </c>
      <c r="C9" s="2948" t="s">
        <v>3352</v>
      </c>
      <c r="D9" s="2367"/>
      <c r="E9" s="2373"/>
      <c r="F9" s="1136"/>
      <c r="G9" s="1136"/>
      <c r="H9" s="2365"/>
      <c r="I9" s="2365"/>
      <c r="J9" s="2365"/>
      <c r="K9" s="2365"/>
      <c r="L9" s="2365"/>
      <c r="M9" s="2365"/>
      <c r="N9" s="2365"/>
      <c r="O9" s="2365"/>
      <c r="P9" s="2365"/>
      <c r="Q9" s="2365"/>
      <c r="R9" s="2365"/>
    </row>
    <row r="10" spans="1:29" s="117" customFormat="1" ht="15.75" thickBot="1">
      <c r="A10" s="2377"/>
      <c r="B10" s="2378" t="s">
        <v>2096</v>
      </c>
      <c r="C10" s="2949" t="s">
        <v>3252</v>
      </c>
      <c r="D10" s="2367"/>
      <c r="E10" s="2367"/>
      <c r="F10" s="1136"/>
      <c r="G10" s="1136"/>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4"/>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4"/>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2097</v>
      </c>
      <c r="B13" s="2383"/>
      <c r="C13" s="2383"/>
      <c r="D13" s="2390"/>
      <c r="E13" s="2383"/>
      <c r="F13" s="2383"/>
      <c r="G13" s="2383"/>
    </row>
    <row r="14" spans="1:29" ht="15.75" thickBot="1">
      <c r="A14" s="2394"/>
      <c r="B14" s="2395"/>
      <c r="C14" s="2396" t="s">
        <v>2098</v>
      </c>
      <c r="D14" s="2367"/>
      <c r="E14" s="2397"/>
      <c r="F14" s="2397"/>
      <c r="G14" s="2362" t="s">
        <v>2099</v>
      </c>
    </row>
    <row r="15" spans="1:29" ht="85.5">
      <c r="A15" s="68" t="s">
        <v>2100</v>
      </c>
      <c r="B15" s="1270" t="s">
        <v>2081</v>
      </c>
      <c r="C15" s="2398" t="str">
        <f>C3</f>
        <v>估价对象周边居住用地比例较大、居住小区规模较大，有森林半岛、新龙御都国际等住宅小区，社区发展完善程度较好，综合评价居住社区成熟度较好。</v>
      </c>
      <c r="D15" s="2367"/>
      <c r="E15" s="2399" t="s">
        <v>2101</v>
      </c>
      <c r="F15" s="1270" t="s">
        <v>2102</v>
      </c>
      <c r="G15" s="135" t="str">
        <f>G3</f>
        <v>估价对象位于XX开发区，园区建设成熟度XX，产业集聚程度XX</v>
      </c>
    </row>
    <row r="16" spans="1:29" ht="57">
      <c r="A16" s="645"/>
      <c r="B16" s="2400" t="s">
        <v>2084</v>
      </c>
      <c r="C16" s="2401" t="str">
        <f>C4</f>
        <v>估价对象位于开封市龙亭区，周边商业氛围一般，人流量较大，商业繁华度一般。</v>
      </c>
      <c r="D16" s="2367"/>
      <c r="E16" s="2402"/>
      <c r="F16" s="2403" t="s">
        <v>2085</v>
      </c>
      <c r="G16" s="136" t="str">
        <f>G4</f>
        <v>估价对象周边道路状况、公共交通通达情况、停车便捷程度，综合评价交通便捷度较好</v>
      </c>
    </row>
    <row r="17" spans="1:18" ht="15">
      <c r="A17" s="645"/>
      <c r="B17" s="2400" t="s">
        <v>2087</v>
      </c>
      <c r="C17" s="2401">
        <f>C5</f>
        <v>0</v>
      </c>
      <c r="D17" s="2373"/>
      <c r="E17" s="2402"/>
      <c r="F17" s="2403" t="s">
        <v>2103</v>
      </c>
      <c r="G17" s="1572"/>
    </row>
    <row r="18" spans="1:18" ht="71.25">
      <c r="A18" s="645"/>
      <c r="B18" s="2403" t="s">
        <v>2090</v>
      </c>
      <c r="C18" s="136" t="str">
        <f>C6</f>
        <v>估价对象周边路网较密集，公共交通通达情况较好、停车便捷程度较好，有27路、44路等公交车，综合评价交通便捷度较好。</v>
      </c>
      <c r="D18" s="2373"/>
      <c r="E18" s="2402"/>
      <c r="F18" s="2403" t="s">
        <v>2093</v>
      </c>
      <c r="G18" s="136" t="str">
        <f>G7</f>
        <v>该园区内是否有污染型企业，绿化情况，卫生条件，整体环境状况判断</v>
      </c>
    </row>
    <row r="19" spans="1:18" ht="28.5">
      <c r="A19" s="645"/>
      <c r="B19" s="2403" t="s">
        <v>2104</v>
      </c>
      <c r="C19" s="2958" t="s">
        <v>3248</v>
      </c>
      <c r="D19" s="2367"/>
      <c r="E19" s="2402"/>
      <c r="F19" s="1798" t="s">
        <v>2088</v>
      </c>
      <c r="G19" s="136" t="str">
        <f>G5</f>
        <v>估价对象所在区域公共配套设施齐备情况</v>
      </c>
    </row>
    <row r="20" spans="1:18" ht="71.25">
      <c r="A20" s="645"/>
      <c r="B20" s="2403" t="s">
        <v>2105</v>
      </c>
      <c r="C20" s="2401" t="str">
        <f>C9</f>
        <v>区域自然环境：有大型绿化景观，有中意湖等自然景观；人文环境：开封市博物馆、开封市规划展示馆；综合评价环境状况较好。</v>
      </c>
      <c r="D20" s="2373"/>
      <c r="E20" s="2402"/>
      <c r="F20" s="1798" t="s">
        <v>2106</v>
      </c>
      <c r="G20" s="136" t="str">
        <f>G6</f>
        <v>估价对象所在区域基础设施水平</v>
      </c>
    </row>
    <row r="21" spans="1:18" ht="114">
      <c r="A21" s="645"/>
      <c r="B21" s="1798" t="s">
        <v>2088</v>
      </c>
      <c r="C21" s="136" t="str">
        <f>C7</f>
        <v>估价对象所在区域2公里范围内有：银行（中国银行、河南汴京农村商业银行），购物（大宏万达广场、和润超市），学校（二师附小、金明实验中学）等，无医院，公共配套设施齐备情况一般。</v>
      </c>
      <c r="D21" s="2367"/>
      <c r="E21" s="2402"/>
      <c r="F21" s="2403" t="s">
        <v>2107</v>
      </c>
      <c r="G21" s="2404"/>
    </row>
    <row r="22" spans="1:18" ht="13.5" customHeight="1">
      <c r="A22" s="645"/>
      <c r="B22" s="1798" t="s">
        <v>2091</v>
      </c>
      <c r="C22" s="136" t="str">
        <f>C8</f>
        <v>估价对象所在区域基础设施水平达到“七通”。</v>
      </c>
      <c r="D22" s="2367"/>
      <c r="E22" s="2402"/>
      <c r="F22" s="2403" t="s">
        <v>2096</v>
      </c>
      <c r="G22" s="1572"/>
    </row>
    <row r="23" spans="1:18" s="2365" customFormat="1" ht="15.75" thickBot="1">
      <c r="A23" s="645"/>
      <c r="B23" s="2403" t="s">
        <v>2107</v>
      </c>
      <c r="C23" s="2404" t="s">
        <v>3250</v>
      </c>
      <c r="D23" s="2391"/>
      <c r="E23" s="2405"/>
      <c r="F23" s="2406" t="s">
        <v>2108</v>
      </c>
      <c r="G23" s="2407"/>
      <c r="H23" s="2391"/>
      <c r="I23" s="2392"/>
      <c r="J23" s="2391"/>
      <c r="K23" s="2391"/>
      <c r="L23" s="2392"/>
      <c r="M23" s="2391"/>
      <c r="N23" s="2391"/>
      <c r="O23" s="2392"/>
      <c r="P23" s="2391"/>
      <c r="Q23" s="2391"/>
      <c r="R23" s="2393"/>
    </row>
    <row r="24" spans="1:18" s="2365" customFormat="1" ht="15.75" thickBot="1">
      <c r="A24" s="2408"/>
      <c r="B24" s="2406" t="s">
        <v>2109</v>
      </c>
      <c r="C24" s="137" t="str">
        <f>C10</f>
        <v>晋安路——城市次干道</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G18" sqref="G18"/>
    </sheetView>
  </sheetViews>
  <sheetFormatPr defaultRowHeight="13.5"/>
  <cols>
    <col min="1" max="1" width="23.375" style="1741" customWidth="1"/>
    <col min="2" max="9" width="15.75" style="1741" customWidth="1"/>
    <col min="10" max="16384" width="9" style="1741"/>
  </cols>
  <sheetData>
    <row r="1" spans="1:10" ht="16.5">
      <c r="A1" s="1746" t="s">
        <v>1365</v>
      </c>
      <c r="B1" s="1746">
        <f>SUM(B14:B23)</f>
        <v>474108.83999999997</v>
      </c>
      <c r="C1" s="1745"/>
      <c r="D1" s="1745"/>
      <c r="E1" s="1745"/>
      <c r="F1" s="1745"/>
      <c r="G1" s="1743"/>
    </row>
    <row r="2" spans="1:10" ht="16.5">
      <c r="A2" s="1746" t="s">
        <v>1353</v>
      </c>
      <c r="B2" s="1746">
        <f>SUM(C14:C23)</f>
        <v>123740.38</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178618</v>
      </c>
      <c r="C5" s="1746">
        <f ca="1">ROUND(B5*10000/$B$1,0)</f>
        <v>3767</v>
      </c>
      <c r="D5" s="1746">
        <f ca="1">ROUND(B5*10000/$B$2,0)</f>
        <v>14435</v>
      </c>
      <c r="E5" s="1745"/>
      <c r="F5" s="1743"/>
      <c r="G5" s="1743"/>
    </row>
    <row r="6" spans="1:10" ht="16.5">
      <c r="A6" s="1746" t="s">
        <v>1356</v>
      </c>
      <c r="B6" s="1746">
        <f ca="1">SUM(G14:G23)</f>
        <v>178618</v>
      </c>
      <c r="C6" s="1746">
        <f ca="1">ROUND(B6*10000/$B$1,0)</f>
        <v>3767</v>
      </c>
      <c r="D6" s="1746">
        <f ca="1">ROUND(B6*10000/$B$2,0)</f>
        <v>14435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'结果表（住宅）'!B118</f>
        <v>5274.8599999999988</v>
      </c>
      <c r="C14" s="1744">
        <f>'结果表（住宅）'!C118</f>
        <v>1764.17</v>
      </c>
      <c r="D14" s="1744">
        <f ca="1">'结果表（住宅）'!H118</f>
        <v>1770</v>
      </c>
      <c r="E14" s="1744">
        <f ca="1">ROUND(D14*10000/B14,0)</f>
        <v>3356</v>
      </c>
      <c r="F14" s="1744">
        <f ca="1">ROUND(D14*10000/C14,0)</f>
        <v>10033</v>
      </c>
      <c r="G14" s="1744">
        <f ca="1">'结果表（住宅）'!D122</f>
        <v>1770</v>
      </c>
      <c r="H14" s="1744" t="str">
        <f>'结果表（住宅）'!D124</f>
        <v>——</v>
      </c>
      <c r="I14" s="1744" t="str">
        <f>'结果表（住宅）'!D126</f>
        <v>——</v>
      </c>
      <c r="J14" s="1743"/>
    </row>
    <row r="15" spans="1:10" ht="16.5">
      <c r="A15" s="1742" t="s">
        <v>1349</v>
      </c>
      <c r="B15" s="1749"/>
      <c r="C15" s="1749"/>
      <c r="D15" s="1749">
        <f ca="1">典型户型修正!B20</f>
        <v>4027</v>
      </c>
      <c r="E15" s="1744" t="e">
        <f t="shared" ref="E15:E23" ca="1" si="0">ROUND(D15*10000/B15,0)</f>
        <v>#DIV/0!</v>
      </c>
      <c r="F15" s="1744" t="e">
        <f t="shared" ref="F15:F23" ca="1" si="1">ROUND(D15*10000/C15,0)</f>
        <v>#DIV/0!</v>
      </c>
      <c r="G15" s="1750">
        <f ca="1">典型户型修正!S22</f>
        <v>4027</v>
      </c>
      <c r="H15" s="1750"/>
      <c r="I15" s="1749"/>
      <c r="J15" s="1743"/>
    </row>
    <row r="16" spans="1:10" ht="16.5">
      <c r="A16" s="1742" t="s">
        <v>1348</v>
      </c>
      <c r="B16" s="1749">
        <f>[1]系统读取表!$B$14</f>
        <v>152958.97999999998</v>
      </c>
      <c r="C16" s="1749">
        <f>[1]系统读取表!$C$14</f>
        <v>51156.99</v>
      </c>
      <c r="D16" s="1749">
        <f ca="1">[1]系统读取表!$D$14</f>
        <v>79137</v>
      </c>
      <c r="E16" s="1744">
        <f t="shared" ca="1" si="0"/>
        <v>5174</v>
      </c>
      <c r="F16" s="1744">
        <f t="shared" ca="1" si="1"/>
        <v>15469</v>
      </c>
      <c r="G16" s="1750">
        <f ca="1">[1]系统读取表!$G$14</f>
        <v>79137</v>
      </c>
      <c r="H16" s="1750"/>
      <c r="I16" s="1749"/>
    </row>
    <row r="17" spans="1:9" ht="16.5">
      <c r="A17" s="1742" t="s">
        <v>1347</v>
      </c>
      <c r="B17" s="1749">
        <f>[2]系统读取表!$B$14</f>
        <v>315875</v>
      </c>
      <c r="C17" s="1749">
        <f>[2]系统读取表!$C$14</f>
        <v>70819.22</v>
      </c>
      <c r="D17" s="1749">
        <f ca="1">[2]系统读取表!$D$14</f>
        <v>93684</v>
      </c>
      <c r="E17" s="1744">
        <f t="shared" ca="1" si="0"/>
        <v>2966</v>
      </c>
      <c r="F17" s="1744">
        <f t="shared" ca="1" si="1"/>
        <v>13229</v>
      </c>
      <c r="G17" s="1750">
        <f ca="1">[2]系统读取表!$G$14</f>
        <v>93684</v>
      </c>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N29" sqref="N2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2110</v>
      </c>
      <c r="B1" s="2414"/>
      <c r="C1" s="2415"/>
      <c r="D1" s="2414"/>
      <c r="E1" s="2414"/>
      <c r="F1" s="2416" t="s">
        <v>2111</v>
      </c>
      <c r="G1" s="2069" t="s">
        <v>3443</v>
      </c>
      <c r="H1" s="2417" t="str">
        <f>IF(G1="现房","——","估价对象范围")</f>
        <v>——</v>
      </c>
      <c r="I1" s="2418" t="s">
        <v>3391</v>
      </c>
    </row>
    <row r="2" spans="1:12" ht="21.75" customHeight="1" thickBot="1">
      <c r="A2" s="3148" t="str">
        <f>项目基本情况!S2</f>
        <v>河南省开封市龙亭区晋安路以北，三大街以西房地产</v>
      </c>
      <c r="B2" s="3149"/>
      <c r="C2" s="3149"/>
      <c r="D2" s="3149"/>
      <c r="E2" s="3149"/>
      <c r="F2" s="3149"/>
      <c r="G2" s="3149"/>
      <c r="H2" s="3149"/>
      <c r="I2" s="3150"/>
    </row>
    <row r="3" spans="1:12" ht="12.75">
      <c r="A3" s="3152" t="s">
        <v>2113</v>
      </c>
      <c r="B3" s="3153"/>
      <c r="C3" s="3153"/>
      <c r="D3" s="3153"/>
      <c r="E3" s="3153"/>
      <c r="F3" s="3153"/>
      <c r="G3" s="3153"/>
      <c r="H3" s="3153"/>
      <c r="I3" s="3153"/>
    </row>
    <row r="4" spans="1:12" ht="14.25">
      <c r="A4" s="2421" t="s">
        <v>2114</v>
      </c>
      <c r="B4" s="2422" t="s">
        <v>2115</v>
      </c>
      <c r="C4" s="2423" t="s">
        <v>3433</v>
      </c>
      <c r="D4" s="2423" t="s">
        <v>3432</v>
      </c>
      <c r="E4" s="3145" t="s">
        <v>2116</v>
      </c>
      <c r="F4" s="3146"/>
      <c r="G4" s="3146"/>
      <c r="H4" s="3146"/>
      <c r="I4" s="3154"/>
      <c r="K4" s="2424" t="str">
        <f>IF(ISNUMBER(FIND("比较法",'结果表（住宅）'!C4)),"比较法",IF(ISNUMBER(FIND("成本法",'结果表（住宅）'!C4)),"成本法",IF(ISNUMBER(FIND("假设开发法",'结果表（住宅）'!C4)),"假设开发法",IF(ISNUMBER(FIND("收益法",'结果表（住宅）'!C4)),"收益法","基准地价系数修正法"))))</f>
        <v>比较法</v>
      </c>
      <c r="L4" s="2424"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28" t="s">
        <v>2117</v>
      </c>
      <c r="B5" s="3066">
        <v>25</v>
      </c>
      <c r="C5" s="3131"/>
      <c r="D5" s="3151"/>
      <c r="E5" s="140" t="s">
        <v>2118</v>
      </c>
      <c r="F5" s="2425"/>
      <c r="G5" s="2425"/>
      <c r="H5" s="2425"/>
      <c r="I5" s="1834"/>
    </row>
    <row r="6" spans="1:12" ht="12.75">
      <c r="A6" s="3128"/>
      <c r="B6" s="3066"/>
      <c r="C6" s="3132"/>
      <c r="D6" s="3151"/>
      <c r="E6" s="140" t="s">
        <v>2119</v>
      </c>
      <c r="F6" s="2425"/>
      <c r="G6" s="2425"/>
      <c r="H6" s="2425"/>
      <c r="I6" s="1834"/>
    </row>
    <row r="7" spans="1:12" ht="12.75">
      <c r="A7" s="3128"/>
      <c r="B7" s="3066"/>
      <c r="C7" s="3133"/>
      <c r="D7" s="3151"/>
      <c r="E7" s="140" t="s">
        <v>2120</v>
      </c>
      <c r="F7" s="2425"/>
      <c r="G7" s="2425"/>
      <c r="H7" s="2425"/>
      <c r="I7" s="1834"/>
    </row>
    <row r="8" spans="1:12" ht="12.75">
      <c r="A8" s="3128" t="s">
        <v>2121</v>
      </c>
      <c r="B8" s="3066">
        <v>15</v>
      </c>
      <c r="C8" s="3131"/>
      <c r="D8" s="3151"/>
      <c r="E8" s="140" t="s">
        <v>2122</v>
      </c>
      <c r="F8" s="2425"/>
      <c r="G8" s="2425"/>
      <c r="H8" s="2425"/>
      <c r="I8" s="1834"/>
    </row>
    <row r="9" spans="1:12" ht="12.75">
      <c r="A9" s="3128"/>
      <c r="B9" s="3066"/>
      <c r="C9" s="3133"/>
      <c r="D9" s="3151"/>
      <c r="E9" s="140" t="s">
        <v>2123</v>
      </c>
      <c r="F9" s="2425"/>
      <c r="G9" s="2425"/>
      <c r="H9" s="2425"/>
      <c r="I9" s="1834"/>
    </row>
    <row r="10" spans="1:12" ht="12.75">
      <c r="A10" s="3128" t="s">
        <v>2124</v>
      </c>
      <c r="B10" s="3066">
        <v>15</v>
      </c>
      <c r="C10" s="3131"/>
      <c r="D10" s="3151"/>
      <c r="E10" s="140" t="s">
        <v>2125</v>
      </c>
      <c r="F10" s="2425"/>
      <c r="G10" s="2425"/>
      <c r="H10" s="2425"/>
      <c r="I10" s="1834"/>
    </row>
    <row r="11" spans="1:12" ht="12.75">
      <c r="A11" s="3128"/>
      <c r="B11" s="3066"/>
      <c r="C11" s="3133"/>
      <c r="D11" s="3151"/>
      <c r="E11" s="140" t="s">
        <v>2126</v>
      </c>
      <c r="F11" s="2425"/>
      <c r="G11" s="2425"/>
      <c r="H11" s="2425"/>
      <c r="I11" s="1834"/>
    </row>
    <row r="12" spans="1:12" ht="12.75">
      <c r="A12" s="3128" t="s">
        <v>2127</v>
      </c>
      <c r="B12" s="3066">
        <v>15</v>
      </c>
      <c r="C12" s="3131"/>
      <c r="D12" s="3151"/>
      <c r="E12" s="140" t="s">
        <v>2128</v>
      </c>
      <c r="F12" s="2425"/>
      <c r="G12" s="2425"/>
      <c r="H12" s="2425"/>
      <c r="I12" s="1834"/>
    </row>
    <row r="13" spans="1:12" ht="12.75">
      <c r="A13" s="3128"/>
      <c r="B13" s="3066"/>
      <c r="C13" s="3133"/>
      <c r="D13" s="3151"/>
      <c r="E13" s="140" t="s">
        <v>2129</v>
      </c>
      <c r="F13" s="2425"/>
      <c r="G13" s="2425"/>
      <c r="H13" s="2425"/>
      <c r="I13" s="1834"/>
    </row>
    <row r="14" spans="1:12" ht="12.75">
      <c r="A14" s="3128" t="s">
        <v>2130</v>
      </c>
      <c r="B14" s="3066">
        <v>30</v>
      </c>
      <c r="C14" s="3131">
        <v>5</v>
      </c>
      <c r="D14" s="3151">
        <v>5</v>
      </c>
      <c r="E14" s="140" t="s">
        <v>2131</v>
      </c>
      <c r="F14" s="2425"/>
      <c r="G14" s="2425"/>
      <c r="H14" s="2425"/>
      <c r="I14" s="1834"/>
    </row>
    <row r="15" spans="1:12" ht="12.75">
      <c r="A15" s="3128"/>
      <c r="B15" s="3066"/>
      <c r="C15" s="3132"/>
      <c r="D15" s="3151"/>
      <c r="E15" s="140" t="s">
        <v>2132</v>
      </c>
      <c r="F15" s="2425"/>
      <c r="G15" s="2425"/>
      <c r="H15" s="2425"/>
      <c r="I15" s="1834"/>
    </row>
    <row r="16" spans="1:12" ht="12.75">
      <c r="A16" s="3128"/>
      <c r="B16" s="3066"/>
      <c r="C16" s="3133"/>
      <c r="D16" s="3151"/>
      <c r="E16" s="140" t="s">
        <v>2133</v>
      </c>
      <c r="F16" s="2425"/>
      <c r="G16" s="2425"/>
      <c r="H16" s="2425"/>
      <c r="I16" s="1834"/>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5274.8599999999988</v>
      </c>
      <c r="M18" s="2424">
        <f>IF(C1="",'数据-汇总表'!E3,SUMIF(项目类型,C1,'数据-汇总表'!E17:E26))</f>
        <v>5274.8599999999988</v>
      </c>
    </row>
    <row r="19" spans="1:35" ht="15">
      <c r="A19" s="2430" t="s">
        <v>2139</v>
      </c>
      <c r="B19" s="2431" t="s">
        <v>2140</v>
      </c>
      <c r="C19" s="143">
        <f ca="1">SUMIF(INDIRECT("'"&amp;C4&amp;"'"&amp;"!A:A"),'结果表（住宅）'!B19,INDIRECT("'"&amp;C4&amp;"'"&amp;"!B:B"))</f>
        <v>1839</v>
      </c>
      <c r="D19" s="144">
        <f ca="1">SUMIF(INDIRECT("'"&amp;D4&amp;"'"&amp;"!A:A"),'结果表（住宅）'!B19,INDIRECT("'"&amp;D4&amp;"'"&amp;"!B:B"))</f>
        <v>1701</v>
      </c>
      <c r="E19" s="2430" t="s">
        <v>2141</v>
      </c>
      <c r="F19" s="2431" t="s">
        <v>2140</v>
      </c>
      <c r="G19" s="145">
        <f ca="1">ROUND(C19*$C$18+D19*$D$18,0)</f>
        <v>1770</v>
      </c>
      <c r="H19" s="2432" t="s">
        <v>2142</v>
      </c>
      <c r="I19" s="138"/>
      <c r="K19" s="2424" t="s">
        <v>2143</v>
      </c>
      <c r="L19" s="2424">
        <f>IF(C1="",'数据-汇总表'!D3,SUMIF(项目类型,C1,'数据-汇总表'!D17:D26)+SUMIF(项目类型,C1,'数据-汇总表'!H17:H27))</f>
        <v>1764.17</v>
      </c>
      <c r="M19" s="2424">
        <f>IF(C1="",'数据-汇总表'!D3,SUMIF(项目类型,C1,'数据-汇总表'!D17:D26))</f>
        <v>1764.17</v>
      </c>
    </row>
    <row r="20" spans="1:35" ht="15">
      <c r="A20" s="2433"/>
      <c r="B20" s="1250" t="s">
        <v>2144</v>
      </c>
      <c r="C20" s="146">
        <f ca="1">SUMIF(INDIRECT("'"&amp;C4&amp;"'"&amp;"!A:A"),'结果表（住宅）'!B20,INDIRECT("'"&amp;C4&amp;"'"&amp;"!B:B"))</f>
        <v>10183</v>
      </c>
      <c r="D20" s="147">
        <f ca="1">SUMIF(INDIRECT("'"&amp;D4&amp;"'"&amp;"!A:A"),'结果表（住宅）'!B20,INDIRECT("'"&amp;D4&amp;"'"&amp;"!B:B"))</f>
        <v>9421</v>
      </c>
      <c r="E20" s="2433"/>
      <c r="F20" s="1250" t="s">
        <v>2144</v>
      </c>
      <c r="G20" s="148">
        <f ca="1">ROUND(C20*$C$18+D20*$D$18,0)</f>
        <v>9802</v>
      </c>
      <c r="H20" s="983" t="s">
        <v>2145</v>
      </c>
      <c r="I20" s="138"/>
    </row>
    <row r="21" spans="1:35" ht="15" customHeight="1" thickBot="1">
      <c r="A21" s="1003"/>
      <c r="B21" s="2434" t="s">
        <v>2146</v>
      </c>
      <c r="C21" s="789">
        <f ca="1">ROUND(C19*10000/L19,0)</f>
        <v>10424</v>
      </c>
      <c r="D21" s="790">
        <f ca="1">ROUND(D19*10000/L19,0)</f>
        <v>9642</v>
      </c>
      <c r="E21" s="1003"/>
      <c r="F21" s="2434" t="s">
        <v>2146</v>
      </c>
      <c r="G21" s="149">
        <f ca="1">ROUND(G19*10000/L19,0)</f>
        <v>10033</v>
      </c>
      <c r="H21" s="2435" t="s">
        <v>2145</v>
      </c>
      <c r="I21" s="138"/>
    </row>
    <row r="22" spans="1:35" ht="15" thickBot="1">
      <c r="A22" s="2278" t="s">
        <v>2147</v>
      </c>
      <c r="B22" s="2436"/>
      <c r="C22" s="2437"/>
      <c r="D22" s="791">
        <f ca="1">IF(C19&lt;D19,D19/C19-1,C19/D19-1)</f>
        <v>8.1128747795414569E-2</v>
      </c>
      <c r="E22" s="138"/>
      <c r="F22" s="138"/>
      <c r="G22" s="138"/>
      <c r="H22" s="138"/>
      <c r="I22" s="138"/>
      <c r="J22" s="798"/>
      <c r="K22" s="798"/>
      <c r="L22" s="3019" t="s">
        <v>3441</v>
      </c>
      <c r="M22" s="3019" t="s">
        <v>3442</v>
      </c>
    </row>
    <row r="23" spans="1:35" ht="13.5" thickBot="1">
      <c r="A23" s="2414"/>
      <c r="B23" s="2414"/>
      <c r="C23" s="2414"/>
      <c r="D23" s="2414"/>
      <c r="E23" s="138"/>
      <c r="F23" s="138"/>
      <c r="G23" s="138"/>
      <c r="H23" s="138"/>
      <c r="I23" s="138"/>
      <c r="J23" s="3019" t="s">
        <v>3440</v>
      </c>
      <c r="K23" s="3019" t="s">
        <v>3438</v>
      </c>
      <c r="L23" s="798">
        <f ca="1">G19</f>
        <v>1770</v>
      </c>
      <c r="M23" s="798">
        <f ca="1">G20</f>
        <v>9802</v>
      </c>
    </row>
    <row r="24" spans="1:35" ht="14.25">
      <c r="A24" s="3122" t="s">
        <v>2148</v>
      </c>
      <c r="B24" s="2431" t="s">
        <v>2140</v>
      </c>
      <c r="C24" s="145">
        <f>IF(B30=0,0,D30)</f>
        <v>0</v>
      </c>
      <c r="D24" s="2438"/>
      <c r="E24" s="138"/>
      <c r="F24" s="138"/>
      <c r="G24" s="138"/>
      <c r="H24" s="138"/>
      <c r="I24" s="138"/>
      <c r="J24" s="798"/>
      <c r="K24" s="3019" t="s">
        <v>3439</v>
      </c>
      <c r="L24" s="798">
        <f ca="1">典型户型修正!B20</f>
        <v>4027</v>
      </c>
      <c r="M24" s="798">
        <f ca="1">典型户型修正!B21</f>
        <v>11608</v>
      </c>
    </row>
    <row r="25" spans="1:35" ht="14.25">
      <c r="A25" s="3123"/>
      <c r="B25" s="1250" t="s">
        <v>2144</v>
      </c>
      <c r="C25" s="150">
        <f>IF(B30=0,0,C30)</f>
        <v>0</v>
      </c>
      <c r="D25" s="2439"/>
      <c r="E25" s="138"/>
      <c r="F25" s="138"/>
      <c r="G25" s="138"/>
      <c r="H25" s="138"/>
      <c r="I25" s="138"/>
      <c r="L25" s="3020">
        <f ca="1">L23+L24</f>
        <v>5797</v>
      </c>
    </row>
    <row r="26" spans="1:35" ht="13.5" customHeight="1">
      <c r="A26" s="2440" t="s">
        <v>2149</v>
      </c>
      <c r="B26" s="151" t="s">
        <v>2150</v>
      </c>
      <c r="C26" s="151" t="s">
        <v>2151</v>
      </c>
      <c r="D26" s="152" t="s">
        <v>2152</v>
      </c>
      <c r="E26" s="138"/>
      <c r="F26" s="138"/>
      <c r="G26" s="138"/>
      <c r="H26" s="138"/>
      <c r="I26" s="138"/>
      <c r="K26" s="3019" t="s">
        <v>3444</v>
      </c>
      <c r="L26" s="798">
        <f ca="1">[1]结果表!$G$19</f>
        <v>79137</v>
      </c>
      <c r="M26" s="798">
        <f ca="1">[1]结果表!$I$118</f>
        <v>5174</v>
      </c>
    </row>
    <row r="27" spans="1:35" ht="14.25">
      <c r="A27" s="2440"/>
      <c r="B27" s="151">
        <v>0</v>
      </c>
      <c r="C27" s="151">
        <v>0</v>
      </c>
      <c r="D27" s="152">
        <f>ROUND(C27*B27/10000,0)</f>
        <v>0</v>
      </c>
      <c r="E27" s="138"/>
      <c r="F27" s="138"/>
      <c r="G27" s="138"/>
      <c r="H27" s="138"/>
      <c r="I27" s="138"/>
      <c r="L27" s="3020">
        <f ca="1">L25+L26</f>
        <v>84934</v>
      </c>
    </row>
    <row r="28" spans="1:35" ht="14.25">
      <c r="A28" s="2440"/>
      <c r="B28" s="151"/>
      <c r="C28" s="151"/>
      <c r="D28" s="152"/>
      <c r="E28" s="138"/>
      <c r="F28" s="138"/>
      <c r="G28" s="138"/>
      <c r="H28" s="138"/>
      <c r="I28" s="138"/>
      <c r="J28" s="798"/>
      <c r="K28" s="798" t="s">
        <v>3464</v>
      </c>
      <c r="L28" s="798">
        <f ca="1">[2]结果表!$G$19</f>
        <v>93684</v>
      </c>
      <c r="M28" s="798">
        <f ca="1">[2]结果表!$G$20</f>
        <v>2966</v>
      </c>
    </row>
    <row r="29" spans="1:35" ht="14.25">
      <c r="A29" s="2440"/>
      <c r="B29" s="151"/>
      <c r="C29" s="151"/>
      <c r="D29" s="152"/>
      <c r="E29" s="138"/>
      <c r="F29" s="138"/>
      <c r="G29" s="138"/>
      <c r="H29" s="138"/>
      <c r="I29" s="138"/>
      <c r="J29" s="798"/>
      <c r="K29" s="798"/>
      <c r="L29" s="3357">
        <f ca="1">L27+L28</f>
        <v>178618</v>
      </c>
    </row>
    <row r="30" spans="1:35" ht="14.25">
      <c r="A30" s="151" t="s">
        <v>2153</v>
      </c>
      <c r="B30" s="151"/>
      <c r="C30" s="151"/>
      <c r="D30" s="151"/>
      <c r="E30" s="2921"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1770</v>
      </c>
      <c r="D32" s="2445" t="s">
        <v>2155</v>
      </c>
      <c r="E32" s="138"/>
      <c r="F32" s="138"/>
      <c r="G32" s="138"/>
      <c r="H32" s="138"/>
      <c r="I32" s="138"/>
    </row>
    <row r="33" spans="1:15" ht="15">
      <c r="A33" s="960" t="s">
        <v>2156</v>
      </c>
      <c r="B33" s="2446"/>
      <c r="C33" s="2447"/>
      <c r="D33" s="2448"/>
      <c r="E33" s="2449" t="s">
        <v>2157</v>
      </c>
      <c r="F33" s="2450" t="str">
        <f>IF(D32="楼面单价","取值（单价）","取值（总价）")</f>
        <v>取值（总价）</v>
      </c>
      <c r="G33" s="138"/>
      <c r="H33" s="138"/>
      <c r="I33" s="138"/>
    </row>
    <row r="34" spans="1:15" ht="15">
      <c r="A34" s="2451"/>
      <c r="B34" s="2452" t="s">
        <v>2158</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2159</v>
      </c>
      <c r="F34" s="1739"/>
      <c r="G34" s="138"/>
      <c r="H34" s="138"/>
      <c r="I34" s="138"/>
    </row>
    <row r="35" spans="1:15" ht="15.75" thickBot="1">
      <c r="A35" s="2454"/>
      <c r="B35" s="2455"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140" t="s">
        <v>2162</v>
      </c>
      <c r="B36" s="2457" t="s">
        <v>2163</v>
      </c>
      <c r="C36" s="154"/>
      <c r="D36" s="2458"/>
      <c r="E36" s="2459"/>
      <c r="F36" s="2460"/>
      <c r="G36" s="138"/>
      <c r="H36" s="138"/>
      <c r="I36" s="138"/>
    </row>
    <row r="37" spans="1:15" ht="15.75" thickBot="1">
      <c r="A37" s="3141"/>
      <c r="B37" s="2264" t="s">
        <v>2164</v>
      </c>
      <c r="C37" s="156"/>
      <c r="D37" s="1395"/>
      <c r="E37" s="1395"/>
      <c r="F37" s="2460"/>
      <c r="G37" s="138"/>
      <c r="H37" s="138"/>
      <c r="I37" s="138"/>
    </row>
    <row r="38" spans="1:15" ht="15.75" thickBot="1">
      <c r="A38" s="3142"/>
      <c r="B38" s="2461" t="s">
        <v>2165</v>
      </c>
      <c r="C38" s="727"/>
      <c r="D38" s="2462" t="s">
        <v>2166</v>
      </c>
      <c r="E38" s="1395"/>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19" t="s">
        <v>2176</v>
      </c>
      <c r="B45" s="3120"/>
      <c r="C45" s="3121"/>
      <c r="D45" s="164">
        <f ca="1">ROUND(H101*F45,0)</f>
        <v>1770</v>
      </c>
      <c r="E45" s="165" t="s">
        <v>2177</v>
      </c>
      <c r="F45" s="166">
        <v>1</v>
      </c>
      <c r="G45" s="167" t="s">
        <v>2178</v>
      </c>
      <c r="H45" s="138"/>
      <c r="I45" s="138"/>
      <c r="J45" s="3179" t="s">
        <v>2179</v>
      </c>
      <c r="K45" s="3179"/>
      <c r="L45" s="3179"/>
      <c r="M45" s="3179"/>
      <c r="N45" s="3179"/>
      <c r="O45" s="3179"/>
    </row>
    <row r="46" spans="1:15" ht="14.25" customHeight="1">
      <c r="A46" s="3116" t="s">
        <v>2180</v>
      </c>
      <c r="B46" s="3117"/>
      <c r="C46" s="3117"/>
      <c r="D46" s="3117"/>
      <c r="E46" s="3117"/>
      <c r="F46" s="3117"/>
      <c r="G46" s="3118"/>
      <c r="H46" s="2476"/>
      <c r="I46" s="168"/>
      <c r="J46" s="1812">
        <v>1</v>
      </c>
      <c r="K46" s="3179" t="s">
        <v>2181</v>
      </c>
      <c r="L46" s="3179"/>
      <c r="M46" s="3199"/>
      <c r="N46" s="3199"/>
      <c r="O46" s="3199"/>
    </row>
    <row r="47" spans="1:15" ht="12" customHeight="1">
      <c r="A47" s="169" t="s">
        <v>2182</v>
      </c>
      <c r="B47" s="170"/>
      <c r="C47" s="171"/>
      <c r="D47" s="172" t="s">
        <v>2183</v>
      </c>
      <c r="E47" s="24" t="s">
        <v>2184</v>
      </c>
      <c r="F47" s="173" t="s">
        <v>2185</v>
      </c>
      <c r="G47" s="174" t="s">
        <v>2186</v>
      </c>
      <c r="H47" s="2476"/>
      <c r="I47" s="168"/>
      <c r="J47" s="1812">
        <v>2</v>
      </c>
      <c r="K47" s="3179" t="s">
        <v>2187</v>
      </c>
      <c r="L47" s="3179"/>
      <c r="M47" s="3200">
        <f>'数据-取费表'!B2</f>
        <v>43307</v>
      </c>
      <c r="N47" s="3200"/>
      <c r="O47" s="3200"/>
    </row>
    <row r="48" spans="1:15" ht="25.5">
      <c r="A48" s="3147" t="s">
        <v>2188</v>
      </c>
      <c r="B48" s="3130"/>
      <c r="C48" s="3130"/>
      <c r="D48" s="140">
        <f>IF(H48="情况1",0,IF(H48="情况2",D52,IF(H48="情况3",D53,IF(H48="情况4",D54))))</f>
        <v>0</v>
      </c>
      <c r="E48" s="1801" t="str">
        <f>IF(H48="情况4","(销售额-原购置价)×税（费）率","销售额×税（费）率")</f>
        <v>销售额×税（费）率</v>
      </c>
      <c r="F48" s="175" t="str">
        <f>IF(H48="情况1","免征",'数据-取费表'!B41)</f>
        <v>免征</v>
      </c>
      <c r="G48" s="2477" t="s">
        <v>2189</v>
      </c>
      <c r="H48" s="2478" t="s">
        <v>2190</v>
      </c>
      <c r="I48" s="2476"/>
      <c r="J48" s="1812">
        <v>3</v>
      </c>
      <c r="K48" s="3179" t="s">
        <v>2191</v>
      </c>
      <c r="L48" s="3179"/>
      <c r="M48" s="3201">
        <f ca="1">H101</f>
        <v>1770</v>
      </c>
      <c r="N48" s="3201"/>
      <c r="O48" s="3201"/>
    </row>
    <row r="49" spans="1:35" ht="25.5" customHeight="1">
      <c r="A49" s="176" t="s">
        <v>2192</v>
      </c>
      <c r="B49" s="3115" t="s">
        <v>2193</v>
      </c>
      <c r="C49" s="3115"/>
      <c r="D49" s="177">
        <v>0</v>
      </c>
      <c r="E49" s="23" t="s">
        <v>2194</v>
      </c>
      <c r="F49" s="28" t="s">
        <v>34</v>
      </c>
      <c r="G49" s="3185"/>
      <c r="H49" s="138"/>
      <c r="I49" s="2479"/>
      <c r="J49" s="1812">
        <v>4</v>
      </c>
      <c r="K49" s="3179" t="str">
        <f>IF(项目基本情况!E8="房地产抵押价值","房地产抵押价值","抵押担保权已注销时的房地产抵押价值")</f>
        <v>房地产抵押价值</v>
      </c>
      <c r="L49" s="3179"/>
      <c r="M49" s="3201">
        <f ca="1">IF(项目基本情况!E8="房地产抵押价值",H107,H109)</f>
        <v>1770</v>
      </c>
      <c r="N49" s="3201"/>
      <c r="O49" s="3201"/>
    </row>
    <row r="50" spans="1:35" ht="25.5" customHeight="1">
      <c r="A50" s="178"/>
      <c r="B50" s="3115" t="s">
        <v>2195</v>
      </c>
      <c r="C50" s="3115"/>
      <c r="D50" s="179"/>
      <c r="E50" s="31"/>
      <c r="F50" s="180"/>
      <c r="G50" s="3186"/>
      <c r="H50" s="138"/>
      <c r="I50" s="2479"/>
      <c r="J50" s="3179" t="s">
        <v>2196</v>
      </c>
      <c r="K50" s="3179"/>
      <c r="L50" s="3179"/>
      <c r="M50" s="3179"/>
      <c r="N50" s="3179"/>
      <c r="O50" s="3179"/>
    </row>
    <row r="51" spans="1:35" ht="12" customHeight="1">
      <c r="A51" s="181"/>
      <c r="B51" s="3115" t="s">
        <v>2197</v>
      </c>
      <c r="C51" s="3115"/>
      <c r="D51" s="182"/>
      <c r="E51" s="30"/>
      <c r="F51" s="180"/>
      <c r="G51" s="3187"/>
      <c r="H51" s="138"/>
      <c r="I51" s="2479"/>
      <c r="J51" s="2480" t="s">
        <v>2198</v>
      </c>
      <c r="K51" s="3179" t="s">
        <v>2199</v>
      </c>
      <c r="L51" s="3179"/>
      <c r="M51" s="2480" t="s">
        <v>2200</v>
      </c>
      <c r="N51" s="2480" t="s">
        <v>2201</v>
      </c>
      <c r="O51" s="2480" t="s">
        <v>2202</v>
      </c>
    </row>
    <row r="52" spans="1:35" ht="24" customHeight="1">
      <c r="A52" s="183" t="s">
        <v>2203</v>
      </c>
      <c r="B52" s="3115" t="s">
        <v>2204</v>
      </c>
      <c r="C52" s="3115"/>
      <c r="D52" s="182">
        <f ca="1">ROUND(D45*'数据-取费表'!B41/(1+'数据-取费表'!C42),0)</f>
        <v>93</v>
      </c>
      <c r="E52" s="11" t="s">
        <v>2205</v>
      </c>
      <c r="F52" s="184">
        <f>'数据-取费表'!B41</f>
        <v>5.5000000000000007E-2</v>
      </c>
      <c r="G52" s="2481"/>
      <c r="H52" s="138"/>
      <c r="I52" s="2479"/>
      <c r="J52" s="1812">
        <v>1</v>
      </c>
      <c r="K52" s="3180" t="s">
        <v>2206</v>
      </c>
      <c r="L52" s="3180"/>
      <c r="M52" s="1754">
        <f>D48</f>
        <v>0</v>
      </c>
      <c r="N52" s="1812" t="str">
        <f>E48</f>
        <v>销售额×税（费）率</v>
      </c>
      <c r="O52" s="1755" t="str">
        <f>F48</f>
        <v>免征</v>
      </c>
    </row>
    <row r="53" spans="1:35" ht="12" customHeight="1">
      <c r="A53" s="183" t="s">
        <v>2207</v>
      </c>
      <c r="B53" s="3138" t="s">
        <v>2208</v>
      </c>
      <c r="C53" s="3139"/>
      <c r="D53" s="182">
        <f ca="1">ROUND(D45*'数据-取费表'!B41/(1+'数据-取费表'!C42),0)</f>
        <v>93</v>
      </c>
      <c r="E53" s="11" t="s">
        <v>2205</v>
      </c>
      <c r="F53" s="184">
        <f>'数据-取费表'!B41</f>
        <v>5.5000000000000007E-2</v>
      </c>
      <c r="G53" s="2481"/>
      <c r="H53" s="138"/>
      <c r="I53" s="2479"/>
      <c r="J53" s="1812">
        <v>2</v>
      </c>
      <c r="K53" s="3180" t="s">
        <v>2209</v>
      </c>
      <c r="L53" s="3180"/>
      <c r="M53" s="1754">
        <f t="shared" ref="M53:O54" ca="1" si="0">D55</f>
        <v>1</v>
      </c>
      <c r="N53" s="1812" t="str">
        <f t="shared" si="0"/>
        <v>销售额×税（费）率</v>
      </c>
      <c r="O53" s="1755">
        <f t="shared" si="0"/>
        <v>5.0000000000000001E-4</v>
      </c>
    </row>
    <row r="54" spans="1:35" ht="12" customHeight="1">
      <c r="A54" s="183" t="s">
        <v>2210</v>
      </c>
      <c r="B54" s="3138" t="s">
        <v>2211</v>
      </c>
      <c r="C54" s="3139"/>
      <c r="D54" s="182">
        <f ca="1">C68</f>
        <v>93</v>
      </c>
      <c r="E54" s="30" t="s">
        <v>2212</v>
      </c>
      <c r="F54" s="184">
        <f>'数据-取费表'!B41</f>
        <v>5.5000000000000007E-2</v>
      </c>
      <c r="G54" s="2481"/>
      <c r="H54" s="2482"/>
      <c r="I54" s="2479"/>
      <c r="J54" s="1812">
        <v>3</v>
      </c>
      <c r="K54" s="3180" t="s">
        <v>2213</v>
      </c>
      <c r="L54" s="3180"/>
      <c r="M54" s="1754">
        <f t="shared" ca="1" si="0"/>
        <v>1004</v>
      </c>
      <c r="N54" s="1812" t="str">
        <f t="shared" si="0"/>
        <v>增值额×税（费）率</v>
      </c>
      <c r="O54" s="1756" t="str">
        <f t="shared" si="0"/>
        <v>——</v>
      </c>
    </row>
    <row r="55" spans="1:35" ht="24" customHeight="1">
      <c r="A55" s="3129" t="s">
        <v>2214</v>
      </c>
      <c r="B55" s="3130"/>
      <c r="C55" s="3130"/>
      <c r="D55" s="185">
        <f ca="1">IF(H55="个人住宅",0,ROUND(D45*I55,0))</f>
        <v>1</v>
      </c>
      <c r="E55" s="11" t="s">
        <v>2215</v>
      </c>
      <c r="F55" s="184">
        <f>IF(H55="正常",I55,"免征")</f>
        <v>5.0000000000000001E-4</v>
      </c>
      <c r="G55" s="2481"/>
      <c r="H55" s="2478" t="s">
        <v>2216</v>
      </c>
      <c r="I55" s="186">
        <f>'数据-取费表'!B49</f>
        <v>5.0000000000000001E-4</v>
      </c>
      <c r="J55" s="1812" t="str">
        <f>IF(H59="非个人房产","",4)</f>
        <v/>
      </c>
      <c r="K55" s="3180" t="str">
        <f>IF(H59="非个人房产","——","个人所得税")</f>
        <v>——</v>
      </c>
      <c r="L55" s="3180"/>
      <c r="M55" s="1757" t="str">
        <f>D59</f>
        <v>——</v>
      </c>
      <c r="N55" s="1810" t="str">
        <f>E59</f>
        <v>——</v>
      </c>
      <c r="O55" s="1758" t="str">
        <f>F59</f>
        <v>——</v>
      </c>
    </row>
    <row r="56" spans="1:35" ht="24.75">
      <c r="A56" s="3129" t="s">
        <v>2217</v>
      </c>
      <c r="B56" s="3130"/>
      <c r="C56" s="3130"/>
      <c r="D56" s="185">
        <f ca="1">IF(H56="个人住宅",D57,D58)</f>
        <v>1004</v>
      </c>
      <c r="E56" s="11" t="s">
        <v>2218</v>
      </c>
      <c r="F56" s="184" t="str">
        <f>IF(H56="正常",F58,"免征")</f>
        <v>——</v>
      </c>
      <c r="G56" s="2483" t="s">
        <v>2219</v>
      </c>
      <c r="H56" s="2484" t="s">
        <v>2216</v>
      </c>
      <c r="I56" s="2485"/>
      <c r="J56" s="1812" t="str">
        <f>IF(项目基本情况!K6="上海银行",IF(J55="",4,J55+1),"")</f>
        <v/>
      </c>
      <c r="K56" s="3203" t="str">
        <f>IF(项目基本情况!K6="上海银行","其他处置费用","")</f>
        <v/>
      </c>
      <c r="L56" s="3204"/>
      <c r="M56" s="1754" t="str">
        <f>IF(项目基本情况!K6="上海银行",M69,"")</f>
        <v/>
      </c>
      <c r="N56" s="3206" t="str">
        <f>IF(项目基本情况!K6="上海银行","包含处置中涉及的律师、诉讼、拍卖、评估等费用","")</f>
        <v/>
      </c>
      <c r="O56" s="3207"/>
    </row>
    <row r="57" spans="1:35" ht="12.75">
      <c r="A57" s="183" t="s">
        <v>2192</v>
      </c>
      <c r="B57" s="3145" t="s">
        <v>2220</v>
      </c>
      <c r="C57" s="3154"/>
      <c r="D57" s="187">
        <v>0</v>
      </c>
      <c r="E57" s="23" t="s">
        <v>2194</v>
      </c>
      <c r="F57" s="155"/>
      <c r="G57" s="2481"/>
      <c r="H57" s="2485"/>
      <c r="I57" s="2485"/>
      <c r="J57" s="3180">
        <f>IF(AND(J55="",J56=""),4,IF(项目基本情况!K6="上海银行",'结果表（住宅）'!J56+1,'结果表（住宅）'!J55+1))</f>
        <v>4</v>
      </c>
      <c r="K57" s="3180" t="s">
        <v>2221</v>
      </c>
      <c r="L57" s="2486" t="s">
        <v>2222</v>
      </c>
      <c r="M57" s="1759"/>
      <c r="N57" s="1760">
        <f ca="1">SUMIF(M52:M56,"&lt;9e307")</f>
        <v>1005</v>
      </c>
      <c r="O57" s="2487"/>
      <c r="P57" s="1753">
        <f ca="1">N57/M49</f>
        <v>0.56779661016949157</v>
      </c>
    </row>
    <row r="58" spans="1:35" ht="24.75">
      <c r="A58" s="183" t="s">
        <v>2203</v>
      </c>
      <c r="B58" s="3145" t="s">
        <v>2223</v>
      </c>
      <c r="C58" s="3146"/>
      <c r="D58" s="185">
        <f ca="1">IF(H58="转让取得",C81,C97)</f>
        <v>1004</v>
      </c>
      <c r="E58" s="11" t="s">
        <v>2218</v>
      </c>
      <c r="F58" s="24" t="s">
        <v>34</v>
      </c>
      <c r="G58" s="2481"/>
      <c r="H58" s="2484" t="s">
        <v>2224</v>
      </c>
      <c r="I58" s="2485"/>
      <c r="J58" s="3180"/>
      <c r="K58" s="3180"/>
      <c r="L58" s="2486" t="s">
        <v>2225</v>
      </c>
      <c r="M58" s="1761"/>
      <c r="N58" s="2488" t="str">
        <f ca="1">NUMBERSTRING(INT(N57*10000),2)&amp;"元整"</f>
        <v>壹仟零伍万元整</v>
      </c>
      <c r="O58" s="2489"/>
    </row>
    <row r="59" spans="1:35" ht="24.75" thickBot="1">
      <c r="A59" s="3183" t="s">
        <v>2226</v>
      </c>
      <c r="B59" s="3184"/>
      <c r="C59" s="3184"/>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181">
        <f>J57+1</f>
        <v>5</v>
      </c>
      <c r="K59" s="3180" t="s">
        <v>2228</v>
      </c>
      <c r="L59" s="1812" t="s">
        <v>2222</v>
      </c>
      <c r="M59" s="1762"/>
      <c r="N59" s="1763">
        <f ca="1">M49-N57</f>
        <v>765</v>
      </c>
      <c r="O59" s="2491"/>
    </row>
    <row r="60" spans="1:35" ht="12" customHeight="1">
      <c r="A60" s="2492"/>
      <c r="B60" s="2414"/>
      <c r="C60" s="2414"/>
      <c r="D60" s="2414"/>
      <c r="E60" s="2164"/>
      <c r="F60" s="2485"/>
      <c r="G60" s="2485"/>
      <c r="H60" s="2493"/>
      <c r="I60" s="138"/>
      <c r="J60" s="3182"/>
      <c r="K60" s="3180"/>
      <c r="L60" s="2486" t="s">
        <v>2225</v>
      </c>
      <c r="M60" s="1761"/>
      <c r="N60" s="2488" t="str">
        <f ca="1">NUMBERSTRING(INT(N59*10000),2)&amp;"元整"</f>
        <v>柒佰陆拾伍万元整</v>
      </c>
      <c r="O60" s="2489"/>
    </row>
    <row r="61" spans="1:35" ht="13.5" thickBot="1">
      <c r="A61" s="3127" t="s">
        <v>2229</v>
      </c>
      <c r="B61" s="3127"/>
      <c r="C61" s="3127"/>
      <c r="D61" s="3127"/>
      <c r="E61" s="3127"/>
      <c r="F61" s="2485"/>
      <c r="G61" s="2485"/>
      <c r="H61" s="2493"/>
      <c r="I61" s="138"/>
      <c r="J61" s="1812">
        <f>J59+1</f>
        <v>6</v>
      </c>
      <c r="K61" s="3180" t="s">
        <v>2230</v>
      </c>
      <c r="L61" s="3180"/>
      <c r="M61" s="1764"/>
      <c r="N61" s="1765">
        <f ca="1">ROUND(N59*10000/'数据-汇总表'!E3,0)</f>
        <v>1450</v>
      </c>
      <c r="O61" s="2494"/>
    </row>
    <row r="62" spans="1:35" ht="12.75">
      <c r="A62" s="3143" t="s">
        <v>2231</v>
      </c>
      <c r="B62" s="3144"/>
      <c r="C62" s="1804"/>
      <c r="D62" s="1804" t="s">
        <v>2232</v>
      </c>
      <c r="E62" s="192" t="s">
        <v>2233</v>
      </c>
      <c r="F62" s="2485"/>
      <c r="G62" s="2485"/>
      <c r="H62" s="2493"/>
      <c r="I62" s="138"/>
    </row>
    <row r="63" spans="1:35" ht="12.75">
      <c r="A63" s="203" t="s">
        <v>775</v>
      </c>
      <c r="B63" s="193" t="s">
        <v>2234</v>
      </c>
      <c r="C63" s="194">
        <f ca="1">ROUND((C64+C65)/(1+'数据-取费表'!C42),0)</f>
        <v>1686</v>
      </c>
      <c r="D63" s="195"/>
      <c r="E63" s="196"/>
      <c r="F63" s="2485"/>
      <c r="G63" s="2485"/>
      <c r="H63" s="2493"/>
      <c r="I63" s="138"/>
      <c r="J63" s="3205" t="s">
        <v>2235</v>
      </c>
      <c r="K63" s="2495" t="s">
        <v>2236</v>
      </c>
      <c r="L63" s="1752">
        <f ca="1">IF(M49&gt;10000,M49*0.5%,IF(AND(M49&gt;1000,M49&lt;=10000),M49*1%,IF(AND(M49&gt;100,M49&lt;=1000),M49*3%,IF(AND(M49&gt;10,M49&lt;=100),M49*5%,M49*8%))))</f>
        <v>17.7</v>
      </c>
      <c r="M63" s="24">
        <f ca="1">ROUND(L63,1)</f>
        <v>17.7</v>
      </c>
      <c r="Z63" s="2419"/>
      <c r="AI63" s="2420"/>
    </row>
    <row r="64" spans="1:35" ht="14.25" customHeight="1">
      <c r="A64" s="197" t="s">
        <v>770</v>
      </c>
      <c r="B64" s="198" t="s">
        <v>2237</v>
      </c>
      <c r="C64" s="199">
        <f ca="1">D45</f>
        <v>1770</v>
      </c>
      <c r="D64" s="200" t="s">
        <v>32</v>
      </c>
      <c r="E64" s="201"/>
      <c r="F64" s="2485"/>
      <c r="G64" s="2485"/>
      <c r="H64" s="2493"/>
      <c r="I64" s="138"/>
      <c r="J64" s="3205"/>
      <c r="K64" s="2495" t="s">
        <v>2238</v>
      </c>
      <c r="L64" s="1752">
        <f ca="1">IF(M49&gt;2000,M49*0.5%,IF(AND(M49&gt;1000,M49&lt;=2000),M49*0.6%,IF(AND(M49&gt;500,M49&lt;=1000),M49*0.7%,IF(AND(M49&gt;200,M49&lt;=500),M49*0.8%,IF(AND(M49&gt;100,M49&lt;=200),M49*0.9%,IF(AND(M49&gt;50,M49&lt;=100),M49*1%,IF(AND(M49&gt;20,M49&lt;=50),M49*1.5%,IF(AND(M49&gt;10,M49&lt;=20),M49*2%,IF(AND(M49&gt;1,M49&lt;=10),M49*2.5%)))))))))</f>
        <v>10.620000000000001</v>
      </c>
      <c r="M64" s="24">
        <f t="shared" ref="M64:M65" ca="1" si="1">ROUND(L64,1)</f>
        <v>10.6</v>
      </c>
      <c r="N64" s="138" t="s">
        <v>2239</v>
      </c>
      <c r="Z64" s="2419"/>
      <c r="AI64" s="2420"/>
    </row>
    <row r="65" spans="1:35" ht="14.25" customHeight="1">
      <c r="A65" s="197" t="s">
        <v>771</v>
      </c>
      <c r="B65" s="198" t="s">
        <v>2240</v>
      </c>
      <c r="C65" s="202"/>
      <c r="D65" s="200"/>
      <c r="E65" s="201"/>
      <c r="F65" s="2485"/>
      <c r="G65" s="2485"/>
      <c r="H65" s="2493"/>
      <c r="I65" s="138"/>
      <c r="J65" s="3205"/>
      <c r="K65" s="2495" t="s">
        <v>2241</v>
      </c>
      <c r="L65" s="1752">
        <f ca="1">IF(M49&gt;1000,M49*0.1%,IF(AND(M49&gt;500,M49&lt;=1000),M49*0.5%,IF(AND(M49&gt;50,M49&lt;=500),M49*1%,IF(AND(M49&gt;1,M49&lt;=50),M49*1.5%))))</f>
        <v>1.77</v>
      </c>
      <c r="M65" s="24">
        <f t="shared" ca="1" si="1"/>
        <v>1.8</v>
      </c>
      <c r="N65" s="138" t="s">
        <v>2239</v>
      </c>
      <c r="Z65" s="2419"/>
      <c r="AI65" s="2420"/>
    </row>
    <row r="66" spans="1:35" ht="14.25" customHeight="1">
      <c r="A66" s="203" t="s">
        <v>772</v>
      </c>
      <c r="B66" s="204" t="s">
        <v>2242</v>
      </c>
      <c r="C66" s="205"/>
      <c r="D66" s="206" t="s">
        <v>32</v>
      </c>
      <c r="E66" s="1776" t="s">
        <v>1371</v>
      </c>
      <c r="F66" s="2485"/>
      <c r="G66" s="2485"/>
      <c r="H66" s="2493"/>
      <c r="I66" s="138"/>
      <c r="J66" s="3205"/>
      <c r="K66" s="2495" t="s">
        <v>2243</v>
      </c>
      <c r="L66" s="1752">
        <f ca="1">M49*0.5%</f>
        <v>8.85</v>
      </c>
      <c r="M66" s="24">
        <f ca="1">IF(L66&gt;0.5,0.5,ROUND(L66,0))</f>
        <v>0.5</v>
      </c>
      <c r="N66" s="138" t="s">
        <v>2244</v>
      </c>
      <c r="Z66" s="2419"/>
      <c r="AI66" s="2420"/>
    </row>
    <row r="67" spans="1:35" ht="14.25" customHeight="1">
      <c r="A67" s="203" t="s">
        <v>773</v>
      </c>
      <c r="B67" s="204" t="s">
        <v>2245</v>
      </c>
      <c r="C67" s="207">
        <f ca="1">C63-C66</f>
        <v>1686</v>
      </c>
      <c r="D67" s="200" t="s">
        <v>32</v>
      </c>
      <c r="E67" s="201"/>
      <c r="F67" s="2485"/>
      <c r="G67" s="2485"/>
      <c r="H67" s="2493"/>
      <c r="I67" s="138"/>
      <c r="J67" s="3205"/>
      <c r="K67" s="2495" t="s">
        <v>2246</v>
      </c>
      <c r="L67" s="1752">
        <f ca="1">IF(M49&gt;=10000,(8.25+(M49-10000)*0.01%),IF(AND(M49&gt;=8000,M49&lt;10000),(7.85+(M49-8000)*0.02%),IF(AND(M49&gt;=5000,M49&lt;8000),(6.65+(M49-5000)*0.04%),IF(AND(M49&gt;=2000,M49&lt;5000),(4.25+(PM49-2000)*0.08%),IF(AND(M49&gt;=1000,M49&lt;2000),(2.75+(M49-1000)*0.15%),IF(AND(M49&gt;=100,M49&lt;1000),(0.5+(M49-100)*0.25%),IF(AND(M49&gt;0,M49&lt;100),M49*0.5%)))))))</f>
        <v>3.9050000000000002</v>
      </c>
      <c r="M67" s="24">
        <f ca="1">ROUND(L67*0.9,1)</f>
        <v>3.5</v>
      </c>
      <c r="Z67" s="2419"/>
      <c r="AI67" s="2420"/>
    </row>
    <row r="68" spans="1:35" ht="14.25" customHeight="1" thickBot="1">
      <c r="A68" s="208" t="s">
        <v>774</v>
      </c>
      <c r="B68" s="209" t="s">
        <v>2247</v>
      </c>
      <c r="C68" s="210">
        <f ca="1">IF(C67&lt;=0,0,ROUND(C67*D68,0))</f>
        <v>93</v>
      </c>
      <c r="D68" s="211">
        <f>'数据-取费表'!B41</f>
        <v>5.5000000000000007E-2</v>
      </c>
      <c r="E68" s="212"/>
      <c r="F68" s="2485"/>
      <c r="G68" s="2485"/>
      <c r="H68" s="2493"/>
      <c r="I68" s="138"/>
      <c r="J68" s="3205"/>
      <c r="K68" s="2495" t="s">
        <v>2248</v>
      </c>
      <c r="L68" s="1752">
        <f ca="1">IF(M49&gt;10000,M49*0.5%,IF(AND(M49&gt;5000,M49&lt;=10000),M49*1%,IF(AND(M49&gt;1000,M49&lt;=5000),M49*2%,IF(AND(M49&gt;200,M49&lt;=1000),M49*3%,M49*5%))))</f>
        <v>35.4</v>
      </c>
      <c r="M68" s="24">
        <f ca="1">ROUND(L68,1)</f>
        <v>35.4</v>
      </c>
      <c r="Z68" s="2419"/>
      <c r="AI68" s="2420"/>
    </row>
    <row r="69" spans="1:35" s="2442" customFormat="1" ht="16.5" customHeight="1">
      <c r="A69" s="2496"/>
      <c r="B69" s="2497"/>
      <c r="C69" s="2498"/>
      <c r="D69" s="2499"/>
      <c r="E69" s="2500"/>
      <c r="F69" s="2164"/>
      <c r="G69" s="2164"/>
      <c r="H69" s="2163"/>
      <c r="I69" s="2414"/>
      <c r="J69" s="3205"/>
      <c r="K69" s="2495" t="s">
        <v>2249</v>
      </c>
      <c r="L69" s="2501"/>
      <c r="M69" s="24">
        <f ca="1">ROUND(SUM(M63:M68),0)</f>
        <v>70</v>
      </c>
      <c r="N69" s="1753">
        <f ca="1">M69/M49</f>
        <v>3.954802259887006E-2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64" t="s">
        <v>2250</v>
      </c>
      <c r="B70" s="3165"/>
      <c r="C70" s="3165"/>
      <c r="D70" s="3165"/>
      <c r="E70" s="3165"/>
      <c r="F70" s="3165"/>
      <c r="G70" s="3165"/>
      <c r="H70" s="316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43" t="s">
        <v>2231</v>
      </c>
      <c r="B71" s="3144"/>
      <c r="C71" s="1804"/>
      <c r="D71" s="1804"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1686</v>
      </c>
      <c r="D72" s="200" t="s">
        <v>32</v>
      </c>
      <c r="E72" s="1803"/>
      <c r="F72" s="1797"/>
      <c r="G72" s="1797"/>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8</v>
      </c>
      <c r="D73" s="200" t="s">
        <v>32</v>
      </c>
      <c r="E73" s="1803"/>
      <c r="F73" s="1797"/>
      <c r="G73" s="1797"/>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803"/>
      <c r="F74" s="1797"/>
      <c r="G74" s="1797"/>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38" t="s">
        <v>2259</v>
      </c>
      <c r="F76" s="3115"/>
      <c r="G76" s="3115"/>
      <c r="H76" s="316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4.0500000000000001E-2</v>
      </c>
      <c r="E77" s="15" t="s">
        <v>2261</v>
      </c>
      <c r="F77" s="224"/>
      <c r="G77" s="2509" t="s">
        <v>2262</v>
      </c>
      <c r="H77" s="1808"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8</v>
      </c>
      <c r="D78" s="226">
        <f>'数据-取费表'!B43</f>
        <v>5.000000000000001E-3</v>
      </c>
      <c r="E78" s="3124" t="s">
        <v>2264</v>
      </c>
      <c r="F78" s="3125"/>
      <c r="G78" s="3125"/>
      <c r="H78" s="313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1678</v>
      </c>
      <c r="D79" s="200" t="s">
        <v>32</v>
      </c>
      <c r="E79" s="1803"/>
      <c r="F79" s="1797"/>
      <c r="G79" s="1797"/>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209.75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1004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4" t="s">
        <v>2268</v>
      </c>
      <c r="B83" s="3165"/>
      <c r="C83" s="3165"/>
      <c r="D83" s="3165"/>
      <c r="E83" s="3165"/>
      <c r="F83" s="3165"/>
      <c r="G83" s="3165"/>
      <c r="H83" s="316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43" t="s">
        <v>2231</v>
      </c>
      <c r="B84" s="3144"/>
      <c r="C84" s="1804"/>
      <c r="D84" s="1804"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1686</v>
      </c>
      <c r="D85" s="200" t="s">
        <v>32</v>
      </c>
      <c r="E85" s="1803"/>
      <c r="F85" s="1797"/>
      <c r="G85" s="1797"/>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8</v>
      </c>
      <c r="D86" s="235"/>
      <c r="E86" s="1803"/>
      <c r="F86" s="1797"/>
      <c r="G86" s="1797"/>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9"/>
      <c r="F87" s="1800"/>
      <c r="G87" s="1800"/>
      <c r="H87" s="180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800"/>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4.0500000000000001E-2</v>
      </c>
      <c r="E89" s="237" t="s">
        <v>2273</v>
      </c>
      <c r="F89" s="1800"/>
      <c r="G89" s="1800"/>
      <c r="H89" s="180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800"/>
      <c r="G90" s="1800"/>
      <c r="H90" s="180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124" t="s">
        <v>2277</v>
      </c>
      <c r="F91" s="3125"/>
      <c r="G91" s="3125"/>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124" t="s">
        <v>2281</v>
      </c>
      <c r="F92" s="3125"/>
      <c r="G92" s="3125"/>
      <c r="H92" s="313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8</v>
      </c>
      <c r="D93" s="226">
        <f>'数据-取费表'!B43</f>
        <v>5.000000000000001E-3</v>
      </c>
      <c r="E93" s="3124" t="s">
        <v>2264</v>
      </c>
      <c r="F93" s="3125"/>
      <c r="G93" s="3125"/>
      <c r="H93" s="313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135" t="s">
        <v>2285</v>
      </c>
      <c r="F94" s="3136"/>
      <c r="G94" s="3136"/>
      <c r="H94" s="313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1678</v>
      </c>
      <c r="D95" s="200" t="s">
        <v>32</v>
      </c>
      <c r="E95" s="1803"/>
      <c r="F95" s="1797"/>
      <c r="G95" s="1797"/>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209.75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1004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2286</v>
      </c>
      <c r="B99" s="2414"/>
      <c r="C99" s="2414"/>
      <c r="D99" s="2414"/>
      <c r="E99" s="2164"/>
      <c r="F99" s="2164"/>
      <c r="G99" s="2164"/>
      <c r="H99" s="2163"/>
      <c r="I99" s="138"/>
    </row>
    <row r="100" spans="1:35" ht="18.75" customHeight="1">
      <c r="A100" s="3109" t="s">
        <v>2287</v>
      </c>
      <c r="B100" s="3110"/>
      <c r="C100" s="3110"/>
      <c r="D100" s="3126"/>
      <c r="E100" s="3110" t="s">
        <v>2288</v>
      </c>
      <c r="F100" s="3110"/>
      <c r="G100" s="3110"/>
      <c r="H100" s="3126"/>
      <c r="I100" s="138"/>
    </row>
    <row r="101" spans="1:35" ht="18.75" customHeight="1">
      <c r="A101" s="3188" t="s">
        <v>2289</v>
      </c>
      <c r="B101" s="3189"/>
      <c r="C101" s="736" t="str">
        <f>C4</f>
        <v>比较法-住宅</v>
      </c>
      <c r="D101" s="737" t="str">
        <f>D4</f>
        <v>收益法（住宅）</v>
      </c>
      <c r="E101" s="3202" t="s">
        <v>2290</v>
      </c>
      <c r="F101" s="3156"/>
      <c r="G101" s="2516" t="s">
        <v>2291</v>
      </c>
      <c r="H101" s="1048">
        <f ca="1">H118</f>
        <v>1770</v>
      </c>
      <c r="I101" s="138"/>
    </row>
    <row r="102" spans="1:35" ht="18.75" customHeight="1">
      <c r="A102" s="3158" t="s">
        <v>2292</v>
      </c>
      <c r="B102" s="2516" t="s">
        <v>2291</v>
      </c>
      <c r="C102" s="736">
        <f ca="1">C19</f>
        <v>1839</v>
      </c>
      <c r="D102" s="737">
        <f ca="1">D19</f>
        <v>1701</v>
      </c>
      <c r="E102" s="3202"/>
      <c r="F102" s="3156"/>
      <c r="G102" s="2516" t="s">
        <v>2293</v>
      </c>
      <c r="H102" s="371">
        <f ca="1">I118</f>
        <v>3356</v>
      </c>
      <c r="I102" s="138"/>
    </row>
    <row r="103" spans="1:35" ht="42.75" customHeight="1">
      <c r="A103" s="3158"/>
      <c r="B103" s="2516" t="s">
        <v>2293</v>
      </c>
      <c r="C103" s="738">
        <f ca="1">C20</f>
        <v>10183</v>
      </c>
      <c r="D103" s="739">
        <f ca="1">D20</f>
        <v>9421</v>
      </c>
      <c r="E103" s="3197" t="s">
        <v>2294</v>
      </c>
      <c r="F103" s="3198"/>
      <c r="G103" s="2517" t="s">
        <v>2295</v>
      </c>
      <c r="H103" s="1048">
        <f>IF(D36="正常操作",H104+H105+H106,H105+H106)</f>
        <v>0</v>
      </c>
      <c r="I103" s="138"/>
    </row>
    <row r="104" spans="1:35" ht="18.75" customHeight="1">
      <c r="A104" s="3158" t="s">
        <v>2296</v>
      </c>
      <c r="B104" s="2518" t="s">
        <v>2291</v>
      </c>
      <c r="C104" s="740">
        <f ca="1">H118</f>
        <v>1770</v>
      </c>
      <c r="D104" s="741"/>
      <c r="E104" s="2264" t="s">
        <v>2297</v>
      </c>
      <c r="F104" s="2256"/>
      <c r="G104" s="2517" t="s">
        <v>2295</v>
      </c>
      <c r="H104" s="1049">
        <f>IF(D36="同一抵押权人同一抵押物续贷",C36&amp;"（未扣减，详见特别提示）",C36)</f>
        <v>0</v>
      </c>
      <c r="I104" s="138"/>
    </row>
    <row r="105" spans="1:35" ht="18.75" customHeight="1" thickBot="1">
      <c r="A105" s="3159"/>
      <c r="B105" s="2519" t="s">
        <v>2293</v>
      </c>
      <c r="C105" s="742">
        <f ca="1">I118</f>
        <v>3356</v>
      </c>
      <c r="D105" s="743"/>
      <c r="E105" s="2264" t="s">
        <v>2298</v>
      </c>
      <c r="F105" s="2256"/>
      <c r="G105" s="2517" t="s">
        <v>2295</v>
      </c>
      <c r="H105" s="1049">
        <f>C37</f>
        <v>0</v>
      </c>
      <c r="I105" s="138"/>
    </row>
    <row r="106" spans="1:35" ht="18.75" customHeight="1">
      <c r="A106" s="2414" t="s">
        <v>2299</v>
      </c>
      <c r="B106" s="2414"/>
      <c r="C106" s="2414"/>
      <c r="D106" s="2414"/>
      <c r="E106" s="2520" t="s">
        <v>2300</v>
      </c>
      <c r="F106" s="2256"/>
      <c r="G106" s="2517" t="s">
        <v>2295</v>
      </c>
      <c r="H106" s="1049">
        <f>C38</f>
        <v>0</v>
      </c>
      <c r="I106" s="138"/>
    </row>
    <row r="107" spans="1:35" ht="18.75" customHeight="1">
      <c r="A107" s="138"/>
      <c r="B107" s="138"/>
      <c r="C107" s="138"/>
      <c r="D107" s="138"/>
      <c r="E107" s="3155" t="str">
        <f>IF(项目基本情况!E8="已注销","——","3.房地产抵押价值")</f>
        <v>3.房地产抵押价值</v>
      </c>
      <c r="F107" s="3156"/>
      <c r="G107" s="2516" t="s">
        <v>2291</v>
      </c>
      <c r="H107" s="1048">
        <f ca="1">IF(E107="——","——",H101-H103)</f>
        <v>1770</v>
      </c>
      <c r="I107" s="138"/>
    </row>
    <row r="108" spans="1:35" ht="18.75" customHeight="1">
      <c r="A108" s="138"/>
      <c r="B108" s="138"/>
      <c r="C108" s="138"/>
      <c r="D108" s="138"/>
      <c r="E108" s="3155"/>
      <c r="F108" s="3156"/>
      <c r="G108" s="2516" t="s">
        <v>2293</v>
      </c>
      <c r="H108" s="371">
        <f ca="1">ROUND(H107*10000/'数据-汇总表'!E3,0)</f>
        <v>3356</v>
      </c>
      <c r="I108" s="138"/>
    </row>
    <row r="109" spans="1:35" ht="18.75" customHeight="1">
      <c r="A109" s="138"/>
      <c r="B109" s="138"/>
      <c r="C109" s="138"/>
      <c r="D109" s="138"/>
      <c r="E109" s="3155" t="str">
        <f>IF(项目基本情况!E8="已注销及未注销","4.抵押担保权已注销时的房地产抵押价值",IF(项目基本情况!E8="已注销","3.抵押担保权已注销时的房地产抵押价值","——"))</f>
        <v>——</v>
      </c>
      <c r="F109" s="3156"/>
      <c r="G109" s="2516" t="s">
        <v>2291</v>
      </c>
      <c r="H109" s="348" t="str">
        <f>IF(E109="——","——",H101-H105-H106)</f>
        <v>——</v>
      </c>
      <c r="I109" s="138"/>
    </row>
    <row r="110" spans="1:35" ht="18.75" customHeight="1">
      <c r="A110" s="138"/>
      <c r="B110" s="138"/>
      <c r="C110" s="138"/>
      <c r="D110" s="138"/>
      <c r="E110" s="3155"/>
      <c r="F110" s="3156"/>
      <c r="G110" s="2516" t="s">
        <v>2293</v>
      </c>
      <c r="H110" s="371" t="str">
        <f>IF(H109="——","——",ROUND(H109*10000/'数据-汇总表'!E3,0))</f>
        <v>——</v>
      </c>
      <c r="I110" s="138"/>
    </row>
    <row r="111" spans="1:35" ht="18.75" customHeight="1">
      <c r="A111" s="138"/>
      <c r="B111" s="138"/>
      <c r="C111" s="138"/>
      <c r="D111" s="138"/>
      <c r="E111" s="3190" t="str">
        <f>IF(项目基本情况!E9="抵押净值",IF(OR(项目基本情况!E8="已注销",项目基本情况!E8="房地产抵押价值"),"4.抵押净值","5.抵押净值"),"——")</f>
        <v>——</v>
      </c>
      <c r="F111" s="3191"/>
      <c r="G111" s="2516" t="s">
        <v>2291</v>
      </c>
      <c r="H111" s="1048" t="str">
        <f>IF(E111="——","——",N59)</f>
        <v>——</v>
      </c>
      <c r="I111" s="138"/>
    </row>
    <row r="112" spans="1:35" ht="18.75" customHeight="1" thickBot="1">
      <c r="A112" s="138"/>
      <c r="B112" s="138"/>
      <c r="C112" s="138"/>
      <c r="D112" s="138"/>
      <c r="E112" s="3192"/>
      <c r="F112" s="3193"/>
      <c r="G112" s="2521" t="s">
        <v>2293</v>
      </c>
      <c r="H112" s="790" t="str">
        <f>IF(E111="——","——",N61)</f>
        <v>——</v>
      </c>
      <c r="I112" s="138"/>
    </row>
    <row r="113" spans="1:11" ht="18.75" customHeight="1">
      <c r="A113" s="138"/>
      <c r="B113" s="138"/>
      <c r="C113" s="138"/>
      <c r="D113" s="138"/>
      <c r="E113" s="3160" t="s">
        <v>2299</v>
      </c>
      <c r="F113" s="3160"/>
      <c r="G113" s="3160"/>
      <c r="H113" s="3160"/>
      <c r="I113" s="138"/>
    </row>
    <row r="114" spans="1:11" ht="3.75" customHeight="1">
      <c r="A114" s="2414"/>
      <c r="B114" s="2414"/>
      <c r="C114" s="2414"/>
      <c r="D114" s="2414"/>
      <c r="E114" s="2492"/>
      <c r="F114" s="2492"/>
      <c r="G114" s="2492"/>
      <c r="H114" s="2492"/>
      <c r="I114" s="2414"/>
    </row>
    <row r="115" spans="1:11" ht="18.75" customHeight="1">
      <c r="A115" s="3173" t="s">
        <v>2301</v>
      </c>
      <c r="B115" s="3174"/>
      <c r="C115" s="3174"/>
      <c r="D115" s="3174"/>
      <c r="E115" s="3174"/>
      <c r="F115" s="3174"/>
      <c r="G115" s="3174"/>
      <c r="H115" s="3174"/>
      <c r="I115" s="3175"/>
    </row>
    <row r="116" spans="1:11" ht="27" customHeight="1">
      <c r="A116" s="3066" t="s">
        <v>2302</v>
      </c>
      <c r="B116" s="3161" t="s">
        <v>2303</v>
      </c>
      <c r="C116" s="3161" t="s">
        <v>2304</v>
      </c>
      <c r="D116" s="3177" t="s">
        <v>2305</v>
      </c>
      <c r="E116" s="3178"/>
      <c r="F116" s="3169" t="s">
        <v>2306</v>
      </c>
      <c r="G116" s="3169"/>
      <c r="H116" s="3066" t="s">
        <v>2307</v>
      </c>
      <c r="I116" s="3066"/>
    </row>
    <row r="117" spans="1:11" ht="18.75" customHeight="1">
      <c r="A117" s="3066"/>
      <c r="B117" s="3162"/>
      <c r="C117" s="3162"/>
      <c r="D117" s="1798" t="s">
        <v>2308</v>
      </c>
      <c r="E117" s="1798" t="s">
        <v>2309</v>
      </c>
      <c r="F117" s="1798" t="s">
        <v>2308</v>
      </c>
      <c r="G117" s="1798" t="s">
        <v>2310</v>
      </c>
      <c r="H117" s="1798" t="s">
        <v>2308</v>
      </c>
      <c r="I117" s="1798" t="s">
        <v>2310</v>
      </c>
    </row>
    <row r="118" spans="1:11" ht="24.75" customHeight="1">
      <c r="A118" s="2522" t="str">
        <f>项目基本情况!S2</f>
        <v>河南省开封市龙亭区晋安路以北，三大街以西房地产</v>
      </c>
      <c r="B118" s="1798">
        <f>M18</f>
        <v>5274.8599999999988</v>
      </c>
      <c r="C118" s="1798">
        <f>M19</f>
        <v>1764.17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1770</v>
      </c>
      <c r="I118" s="1798">
        <f ca="1">ROUND(IF(D32="楼面单价",C32,H118*10000/B118),0)</f>
        <v>3356</v>
      </c>
    </row>
    <row r="119" spans="1:11" ht="18.75" customHeight="1">
      <c r="A119" s="3066" t="s">
        <v>2311</v>
      </c>
      <c r="B119" s="3066"/>
      <c r="C119" s="3066"/>
      <c r="D119" s="3166" t="e">
        <f ca="1">NUMBERSTRING(INT(D118*10000),2)&amp;"元整"</f>
        <v>#REF!</v>
      </c>
      <c r="E119" s="3168"/>
      <c r="F119" s="3166" t="e">
        <f ca="1">NUMBERSTRING(INT(F118*10000),2)&amp;"元整"</f>
        <v>#REF!</v>
      </c>
      <c r="G119" s="3168"/>
      <c r="H119" s="3166" t="str">
        <f ca="1">NUMBERSTRING(INT(H118*10000),2)&amp;"元整"</f>
        <v>壹仟柒佰柒拾万元整</v>
      </c>
      <c r="I119" s="3168"/>
    </row>
    <row r="120" spans="1:11" ht="18.75" customHeight="1">
      <c r="A120" s="3194" t="str">
        <f>IF(项目基本情况!B9="房地产市场价值","",MID(E103,3,LEN(E103)-2))</f>
        <v>估价师知悉的法定优先受偿款</v>
      </c>
      <c r="B120" s="3195"/>
      <c r="C120" s="3196"/>
      <c r="D120" s="3194">
        <f>H103</f>
        <v>0</v>
      </c>
      <c r="E120" s="3195"/>
      <c r="F120" s="3195"/>
      <c r="G120" s="3195"/>
      <c r="H120" s="3195"/>
      <c r="I120" s="3196"/>
      <c r="K120" s="2419" t="str">
        <f>IF(D120=0,"故，本次评估不存在"&amp;A120,"故，本次评估"&amp;A120&amp;"为人民币"&amp;D120&amp;"万元整。")</f>
        <v>故，本次评估不存在估价师知悉的法定优先受偿款</v>
      </c>
    </row>
    <row r="121" spans="1:11" ht="18.75" customHeight="1">
      <c r="A121" s="3170" t="s">
        <v>2311</v>
      </c>
      <c r="B121" s="3171"/>
      <c r="C121" s="3172"/>
      <c r="D121" s="3166" t="str">
        <f>IF(D120=0,"零元整",NUMBERSTRING(INT(D120*10000),2)&amp;"元整")</f>
        <v>零元整</v>
      </c>
      <c r="E121" s="3167"/>
      <c r="F121" s="3167"/>
      <c r="G121" s="3167"/>
      <c r="H121" s="3167"/>
      <c r="I121" s="3168"/>
    </row>
    <row r="122" spans="1:11" ht="18.75" customHeight="1">
      <c r="A122" s="3157" t="str">
        <f>IF(项目基本情况!B9="房地产市场价值","",MID(E107,3,LEN(E107)-2))</f>
        <v>房地产抵押价值</v>
      </c>
      <c r="B122" s="3157"/>
      <c r="C122" s="3157"/>
      <c r="D122" s="3194">
        <f ca="1">H107</f>
        <v>1770</v>
      </c>
      <c r="E122" s="3195"/>
      <c r="F122" s="3195"/>
      <c r="G122" s="3195"/>
      <c r="H122" s="3195"/>
      <c r="I122" s="3196"/>
    </row>
    <row r="123" spans="1:11" ht="18.75" customHeight="1">
      <c r="A123" s="3066" t="s">
        <v>2311</v>
      </c>
      <c r="B123" s="3066"/>
      <c r="C123" s="3066"/>
      <c r="D123" s="3166" t="str">
        <f ca="1">NUMBERSTRING(INT(D122*10000),2)&amp;"元整"</f>
        <v>壹仟柒佰柒拾万元整</v>
      </c>
      <c r="E123" s="3167"/>
      <c r="F123" s="3167"/>
      <c r="G123" s="3167"/>
      <c r="H123" s="3167"/>
      <c r="I123" s="3168"/>
    </row>
    <row r="124" spans="1:11" ht="18.75" customHeight="1">
      <c r="A124" s="3157" t="str">
        <f>IF(项目基本情况!B9="房地产市场价值","",MID(E109,3,LEN(E109)-2))</f>
        <v/>
      </c>
      <c r="B124" s="3157"/>
      <c r="C124" s="3157"/>
      <c r="D124" s="3194" t="str">
        <f>H109</f>
        <v>——</v>
      </c>
      <c r="E124" s="3195"/>
      <c r="F124" s="3195"/>
      <c r="G124" s="3195"/>
      <c r="H124" s="3195"/>
      <c r="I124" s="3196"/>
    </row>
    <row r="125" spans="1:11" ht="18.75" customHeight="1">
      <c r="A125" s="3066" t="s">
        <v>2311</v>
      </c>
      <c r="B125" s="3066"/>
      <c r="C125" s="3066"/>
      <c r="D125" s="3166" t="e">
        <f>NUMBERSTRING(INT(D124*10000),2)&amp;"元整"</f>
        <v>#VALUE!</v>
      </c>
      <c r="E125" s="3167"/>
      <c r="F125" s="3167"/>
      <c r="G125" s="3167"/>
      <c r="H125" s="3167"/>
      <c r="I125" s="3168"/>
    </row>
    <row r="126" spans="1:11" ht="18.75" customHeight="1">
      <c r="A126" s="3157" t="str">
        <f>IF(项目基本情况!B9="房地产市场价值","",MID(E111,3,LEN(E111)-2))</f>
        <v/>
      </c>
      <c r="B126" s="3157"/>
      <c r="C126" s="3157"/>
      <c r="D126" s="3194" t="str">
        <f>H111</f>
        <v>——</v>
      </c>
      <c r="E126" s="3195"/>
      <c r="F126" s="3195"/>
      <c r="G126" s="3195"/>
      <c r="H126" s="3195"/>
      <c r="I126" s="3196"/>
    </row>
    <row r="127" spans="1:11" ht="18.75" customHeight="1">
      <c r="A127" s="3066" t="s">
        <v>2311</v>
      </c>
      <c r="B127" s="3066"/>
      <c r="C127" s="3066"/>
      <c r="D127" s="3166" t="e">
        <f>NUMBERSTRING(INT(D126*10000),2)&amp;"元整"</f>
        <v>#VALUE!</v>
      </c>
      <c r="E127" s="3167"/>
      <c r="F127" s="3167"/>
      <c r="G127" s="3167"/>
      <c r="H127" s="3167"/>
      <c r="I127" s="3168"/>
    </row>
    <row r="128" spans="1:11" ht="21.75" customHeight="1">
      <c r="A128" s="3176" t="s">
        <v>2312</v>
      </c>
      <c r="B128" s="3176"/>
      <c r="C128" s="3176"/>
      <c r="D128" s="3176"/>
      <c r="E128" s="3176"/>
      <c r="F128" s="3176"/>
      <c r="G128" s="3176"/>
      <c r="H128" s="3176"/>
      <c r="I128" s="3176"/>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9" sqref="G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9</v>
      </c>
    </row>
    <row r="2" spans="1:9" s="244" customFormat="1" ht="18" customHeight="1">
      <c r="A2" s="245" t="s">
        <v>2321</v>
      </c>
      <c r="B2" s="246">
        <f ca="1">IF(D2="——",C52,C52-E2)</f>
        <v>2969</v>
      </c>
      <c r="C2" s="243" t="s">
        <v>2322</v>
      </c>
      <c r="D2" s="2545" t="s">
        <v>70</v>
      </c>
      <c r="E2" s="1443" t="e">
        <f ca="1">SUMIF(INDIRECT("'"&amp;G2&amp;"'"&amp;"!A:A"),"承租人权益价值",INDIRECT("'"&amp;G2&amp;"'"&amp;"!c:c"))</f>
        <v>#REF!</v>
      </c>
      <c r="F2" s="2546" t="s">
        <v>2322</v>
      </c>
      <c r="G2" s="2547"/>
    </row>
    <row r="3" spans="1:9" s="244" customFormat="1" ht="18" customHeight="1" thickBot="1">
      <c r="A3" s="247" t="s">
        <v>2323</v>
      </c>
      <c r="B3" s="248">
        <f ca="1">ROUND(B2*10000/(IF(B1="",'数据-汇总表'!E3,INDIRECT("'数据-取费表'!k"&amp;$G$1))),0)</f>
        <v>5629</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1588</v>
      </c>
      <c r="D5" s="255" t="s">
        <v>2328</v>
      </c>
      <c r="E5" s="256" t="s">
        <v>2329</v>
      </c>
      <c r="F5" s="256" t="s">
        <v>2330</v>
      </c>
      <c r="G5" s="257"/>
    </row>
    <row r="6" spans="1:9" s="258" customFormat="1" ht="13.5" customHeight="1">
      <c r="A6" s="952" t="s">
        <v>2331</v>
      </c>
      <c r="B6" s="259" t="s">
        <v>2332</v>
      </c>
      <c r="C6" s="260">
        <f>'土地比较法-住宅、综合'!B2</f>
        <v>1526</v>
      </c>
      <c r="D6" s="261"/>
      <c r="E6" s="262"/>
      <c r="F6" s="262"/>
      <c r="G6" s="263"/>
    </row>
    <row r="7" spans="1:9" s="258" customFormat="1" ht="13.5" customHeight="1">
      <c r="A7" s="952" t="s">
        <v>2333</v>
      </c>
      <c r="B7" s="259" t="s">
        <v>2334</v>
      </c>
      <c r="C7" s="264">
        <f>ROUND(C6*F7,0)</f>
        <v>62</v>
      </c>
      <c r="D7" s="264"/>
      <c r="E7" s="262"/>
      <c r="F7" s="265">
        <f>'数据-取费表'!B48+'数据-取费表'!B49</f>
        <v>4.0500000000000001E-2</v>
      </c>
      <c r="G7" s="263"/>
    </row>
    <row r="8" spans="1:9" s="267" customFormat="1">
      <c r="A8" s="952" t="s">
        <v>2335</v>
      </c>
      <c r="B8" s="259" t="s">
        <v>2336</v>
      </c>
      <c r="C8" s="264">
        <f>IF(G8="已包含在土地购买价格中","0",IF(B1="",'数据-取费表'!B29,IF(G9="全部缴纳",C9+C10,H9)))</f>
        <v>0</v>
      </c>
      <c r="D8" s="266"/>
      <c r="E8" s="264"/>
      <c r="F8" s="265"/>
      <c r="G8" s="2548" t="s">
        <v>3431</v>
      </c>
    </row>
    <row r="9" spans="1:9" s="258" customFormat="1" ht="13.5" customHeight="1">
      <c r="A9" s="953" t="s">
        <v>800</v>
      </c>
      <c r="B9" s="268" t="s">
        <v>2337</v>
      </c>
      <c r="C9" s="269">
        <f ca="1">ROUND(D9*E9/10000,0)</f>
        <v>22</v>
      </c>
      <c r="D9" s="1035">
        <f ca="1">IF(B1="",'数据-汇总表'!E5,IF(INDIRECT("'数据-取费表'!c"&amp;$G$1)="住宅",INDIRECT("'数据-取费表'!k"&amp;$G$1),0))</f>
        <v>1805.619999999999</v>
      </c>
      <c r="E9" s="269">
        <f>'数据-取费表'!B27</f>
        <v>120</v>
      </c>
      <c r="F9" s="265"/>
      <c r="G9" s="2549"/>
      <c r="H9" s="1393"/>
      <c r="I9" s="2550" t="s">
        <v>2338</v>
      </c>
    </row>
    <row r="10" spans="1:9" s="258" customFormat="1" ht="13.5" customHeight="1">
      <c r="A10" s="953" t="s">
        <v>801</v>
      </c>
      <c r="B10" s="268" t="s">
        <v>2339</v>
      </c>
      <c r="C10" s="269">
        <f ca="1">ROUND(D10*E10/10000,0)</f>
        <v>18</v>
      </c>
      <c r="D10" s="1035">
        <f ca="1">IF(B1="",'数据-汇总表'!E6,IF(INDIRECT("'数据-取费表'!c"&amp;$G$1)="住宅",INDIRECT("'数据-取费表'!s"&amp;$G$1),INDIRECT("'数据-取费表'!k"&amp;$G$1)+INDIRECT("'数据-取费表'!s"&amp;$G$1)))</f>
        <v>3469.24</v>
      </c>
      <c r="E10" s="269">
        <f>'数据-取费表'!B28</f>
        <v>52</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5274.8599999999988</v>
      </c>
      <c r="E19" s="255">
        <f>'数据-取费表'!B31</f>
        <v>200</v>
      </c>
      <c r="F19" s="275"/>
      <c r="G19" s="2548" t="s">
        <v>3430</v>
      </c>
    </row>
    <row r="20" spans="1:7" s="258" customFormat="1" ht="13.5" customHeight="1">
      <c r="A20" s="299" t="s">
        <v>2352</v>
      </c>
      <c r="B20" s="254" t="s">
        <v>2353</v>
      </c>
      <c r="C20" s="276">
        <f>ROUND((C5+C19)*F20,0)</f>
        <v>32</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283</v>
      </c>
      <c r="D22" s="279">
        <f ca="1">C26</f>
        <v>1.6999999999999999E-3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280</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3</v>
      </c>
      <c r="D25" s="282"/>
      <c r="E25" s="285"/>
      <c r="F25" s="283"/>
      <c r="G25" s="286" t="s">
        <v>2369</v>
      </c>
    </row>
    <row r="26" spans="1:7" s="258" customFormat="1">
      <c r="A26" s="954" t="s">
        <v>795</v>
      </c>
      <c r="B26" s="259" t="s">
        <v>2370</v>
      </c>
      <c r="C26" s="282">
        <f ca="1">ROUND(IF('数据-取费表'!B22&lt;=1,F21*F22*'数据-取费表'!B23/2,F21*(POWER((1+F22),'数据-取费表'!B23/2)-1)),4)</f>
        <v>1.6999999999999999E-3</v>
      </c>
      <c r="D26" s="282"/>
      <c r="E26" s="285"/>
      <c r="F26" s="283"/>
      <c r="G26" s="287"/>
    </row>
    <row r="27" spans="1:7" s="258" customFormat="1" ht="24.75">
      <c r="A27" s="299" t="s">
        <v>2371</v>
      </c>
      <c r="B27" s="288" t="s">
        <v>2372</v>
      </c>
      <c r="C27" s="289">
        <f ca="1">C28</f>
        <v>162</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162</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2235</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578</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433</v>
      </c>
      <c r="D34" s="261"/>
      <c r="E34" s="264"/>
      <c r="F34" s="301">
        <f ca="1">IF('数据-取费表'!B24=0,1,IF(B1="",'数据-取费表'!N16,INDIRECT("'数据-取费表'!n"&amp;$G$1)))</f>
        <v>1</v>
      </c>
      <c r="G34" s="263" t="s">
        <v>2385</v>
      </c>
    </row>
    <row r="35" spans="1:7" ht="13.5" customHeight="1">
      <c r="A35" s="954" t="s">
        <v>796</v>
      </c>
      <c r="B35" s="259" t="s">
        <v>2386</v>
      </c>
      <c r="C35" s="264">
        <f ca="1">ROUND(C34*F35,0)</f>
        <v>13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21</v>
      </c>
      <c r="D36" s="264"/>
      <c r="E36" s="264"/>
      <c r="F36" s="303">
        <f>'数据-取费表'!B34</f>
        <v>0.05</v>
      </c>
      <c r="G36" s="304" t="s">
        <v>2389</v>
      </c>
    </row>
    <row r="37" spans="1:7" s="302" customFormat="1" ht="13.5" customHeight="1">
      <c r="A37" s="954" t="s">
        <v>798</v>
      </c>
      <c r="B37" s="259" t="s">
        <v>2390</v>
      </c>
      <c r="C37" s="293">
        <f ca="1">ROUND(E37*D37*F34/10000,0)</f>
        <v>105</v>
      </c>
      <c r="D37" s="261">
        <f ca="1">D19</f>
        <v>5274.8599999999988</v>
      </c>
      <c r="E37" s="293">
        <f>'数据-取费表'!B35</f>
        <v>200</v>
      </c>
      <c r="F37" s="303"/>
      <c r="G37" s="305" t="s">
        <v>2391</v>
      </c>
    </row>
    <row r="38" spans="1:7" ht="13.5" customHeight="1">
      <c r="A38" s="954" t="s">
        <v>799</v>
      </c>
      <c r="B38" s="259" t="s">
        <v>2392</v>
      </c>
      <c r="C38" s="264">
        <f ca="1">ROUND(C34*F38,0)</f>
        <v>6</v>
      </c>
      <c r="D38" s="264"/>
      <c r="E38" s="264"/>
      <c r="F38" s="303">
        <f>'数据-取费表'!B36</f>
        <v>1.4999999999999999E-2</v>
      </c>
      <c r="G38" s="263" t="s">
        <v>2387</v>
      </c>
    </row>
    <row r="39" spans="1:7" s="258" customFormat="1" ht="13.5" customHeight="1">
      <c r="A39" s="299" t="s">
        <v>2393</v>
      </c>
      <c r="B39" s="254" t="s">
        <v>2394</v>
      </c>
      <c r="C39" s="276">
        <f ca="1">ROUND(C33*F20,0)</f>
        <v>12</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50</v>
      </c>
      <c r="D41" s="279">
        <f ca="1">C44</f>
        <v>1.6999999999999999E-3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49</v>
      </c>
      <c r="D42" s="282"/>
      <c r="E42" s="282"/>
      <c r="F42" s="283"/>
      <c r="G42" s="3208" t="s">
        <v>2403</v>
      </c>
    </row>
    <row r="43" spans="1:7" ht="13.5" customHeight="1">
      <c r="A43" s="954" t="s">
        <v>792</v>
      </c>
      <c r="B43" s="259" t="s">
        <v>2404</v>
      </c>
      <c r="C43" s="282">
        <f ca="1">ROUND(IF('数据-取费表'!B22&lt;=1,C39*F22*'数据-取费表'!B21/2,C39*(POWER((1+F22),'数据-取费表'!B21/2)-1)),0)</f>
        <v>1</v>
      </c>
      <c r="D43" s="282"/>
      <c r="E43" s="282"/>
      <c r="F43" s="283"/>
      <c r="G43" s="3209"/>
    </row>
    <row r="44" spans="1:7" ht="13.5" customHeight="1">
      <c r="A44" s="954" t="s">
        <v>793</v>
      </c>
      <c r="B44" s="259" t="s">
        <v>2405</v>
      </c>
      <c r="C44" s="282">
        <f ca="1">ROUND(IF('数据-取费表'!B22&lt;=1,C40*F22*'数据-取费表'!B21/2,C40*(POWER((1+F22),'数据-取费表'!B21/2)-1)),4)</f>
        <v>1.6999999999999999E-3</v>
      </c>
      <c r="D44" s="282"/>
      <c r="E44" s="282"/>
      <c r="F44" s="283"/>
      <c r="G44" s="3210"/>
    </row>
    <row r="45" spans="1:7" s="258" customFormat="1" ht="13.5" customHeight="1">
      <c r="A45" s="299" t="s">
        <v>2406</v>
      </c>
      <c r="B45" s="288" t="s">
        <v>2372</v>
      </c>
      <c r="C45" s="289">
        <f ca="1">C46</f>
        <v>59</v>
      </c>
      <c r="D45" s="279">
        <f ca="1">C47</f>
        <v>2E-3</v>
      </c>
      <c r="E45" s="280" t="s">
        <v>2398</v>
      </c>
      <c r="F45" s="290"/>
      <c r="G45" s="291" t="s">
        <v>2407</v>
      </c>
    </row>
    <row r="46" spans="1:7" s="258" customFormat="1" ht="13.5" customHeight="1">
      <c r="A46" s="954" t="s">
        <v>791</v>
      </c>
      <c r="B46" s="292" t="s">
        <v>2408</v>
      </c>
      <c r="C46" s="293">
        <f ca="1">ROUND((C33+C39)*F27,0)</f>
        <v>59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757</v>
      </c>
      <c r="D49" s="276"/>
      <c r="E49" s="276"/>
      <c r="F49" s="308"/>
      <c r="G49" s="278" t="s">
        <v>2413</v>
      </c>
    </row>
    <row r="50" spans="1:7" s="302" customFormat="1" ht="24">
      <c r="A50" s="299" t="s">
        <v>2414</v>
      </c>
      <c r="B50" s="254" t="s">
        <v>2415</v>
      </c>
      <c r="C50" s="276"/>
      <c r="D50" s="276"/>
      <c r="E50" s="276"/>
      <c r="F50" s="308">
        <f>IF('数据-取费表'!B24=0,'数据-取费表'!N16,1)</f>
        <v>0.96899999999999997</v>
      </c>
      <c r="G50" s="291" t="s">
        <v>2416</v>
      </c>
    </row>
    <row r="51" spans="1:7" ht="16.5" customHeight="1">
      <c r="A51" s="299" t="s">
        <v>2417</v>
      </c>
      <c r="B51" s="254" t="s">
        <v>2418</v>
      </c>
      <c r="C51" s="276">
        <f ca="1">ROUND(C49*F50,0)</f>
        <v>734</v>
      </c>
      <c r="D51" s="276"/>
      <c r="E51" s="276"/>
      <c r="F51" s="308"/>
      <c r="G51" s="278" t="s">
        <v>2419</v>
      </c>
    </row>
    <row r="52" spans="1:7" s="252" customFormat="1" ht="16.5" thickBot="1">
      <c r="A52" s="309" t="s">
        <v>2420</v>
      </c>
      <c r="B52" s="310"/>
      <c r="C52" s="311">
        <f ca="1">C31+C51</f>
        <v>2969</v>
      </c>
      <c r="D52" s="310"/>
      <c r="E52" s="310"/>
      <c r="F52" s="310"/>
      <c r="G52" s="312"/>
    </row>
    <row r="55" spans="1:7" ht="15">
      <c r="B55" s="314" t="s">
        <v>2421</v>
      </c>
      <c r="C55" s="315"/>
    </row>
    <row r="56" spans="1:7">
      <c r="B56" s="317" t="s">
        <v>1513</v>
      </c>
      <c r="C56" s="319">
        <f ca="1">1-C57</f>
        <v>0.753</v>
      </c>
    </row>
    <row r="57" spans="1:7">
      <c r="B57" s="317" t="s">
        <v>1514</v>
      </c>
      <c r="C57" s="318">
        <f ca="1">ROUND(C51/C52,3)</f>
        <v>0.247</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2" t="str">
        <f>项目基本情况!B1</f>
        <v>河南省开封市龙亭区晋安路以北，三大街以西房地产抵押价值预评估</v>
      </c>
      <c r="C37" s="3022"/>
      <c r="D37" s="3022"/>
      <c r="E37" s="3022"/>
      <c r="F37" s="3022"/>
      <c r="G37" s="3022"/>
      <c r="H37" s="3022"/>
      <c r="I37" s="3022"/>
    </row>
    <row r="38" spans="1:9">
      <c r="A38" s="1019"/>
      <c r="B38" s="1019"/>
    </row>
    <row r="39" spans="1:9">
      <c r="A39" s="1017" t="s">
        <v>818</v>
      </c>
      <c r="B39" s="1017" t="s">
        <v>820</v>
      </c>
    </row>
    <row r="40" spans="1:9">
      <c r="A40" s="1017"/>
      <c r="B40" s="1945" t="str">
        <f>项目基本情况!B5</f>
        <v>河南新晋美置业有限公司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1" t="s">
        <v>2422</v>
      </c>
      <c r="D1" s="242"/>
      <c r="E1" s="242"/>
      <c r="F1" s="242"/>
      <c r="G1" s="1382">
        <f>MATCH(B1,'数据-取费表'!A6:A16,0)+5</f>
        <v>9</v>
      </c>
      <c r="H1" s="1285" t="str">
        <f>IF(ISERROR(FIND("住宅",B1)),"非住宅","住宅")</f>
        <v>非住宅</v>
      </c>
    </row>
    <row r="2" spans="1:8" s="244" customFormat="1" ht="18" customHeight="1">
      <c r="A2" s="245" t="s">
        <v>2321</v>
      </c>
      <c r="B2" s="246">
        <f ca="1">ROUND(IF(D2="——",C52/10000,C52/10000-E2),0)</f>
        <v>938</v>
      </c>
      <c r="C2" s="243" t="s">
        <v>2322</v>
      </c>
      <c r="D2" s="2545" t="s">
        <v>70</v>
      </c>
      <c r="E2" s="1443"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1778</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397074</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4.0500000000000001E-2</v>
      </c>
      <c r="G7" s="263"/>
    </row>
    <row r="8" spans="1:8" s="267" customFormat="1">
      <c r="A8" s="952" t="s">
        <v>2335</v>
      </c>
      <c r="B8" s="259" t="s">
        <v>2336</v>
      </c>
      <c r="C8" s="264">
        <f ca="1">IF(G8="已包含在土地购买价格中",0,C9+C10)</f>
        <v>397074</v>
      </c>
      <c r="D8" s="266"/>
      <c r="E8" s="264"/>
      <c r="F8" s="265"/>
      <c r="G8" s="2548"/>
    </row>
    <row r="9" spans="1:8" s="258" customFormat="1" ht="13.5" customHeight="1">
      <c r="A9" s="953" t="s">
        <v>800</v>
      </c>
      <c r="B9" s="268" t="s">
        <v>2337</v>
      </c>
      <c r="C9" s="269">
        <f ca="1">ROUND(D9*E9,0)</f>
        <v>216674</v>
      </c>
      <c r="D9" s="1035">
        <f ca="1">IF(B1="",'数据-汇总表'!E5,IF(INDIRECT("'数据-取费表'!c"&amp;$G$1)="住宅",INDIRECT("'数据-取费表'!k"&amp;$G$1),0))</f>
        <v>1805.619999999999</v>
      </c>
      <c r="E9" s="269">
        <f>'数据-取费表'!B27</f>
        <v>120</v>
      </c>
      <c r="F9" s="265"/>
      <c r="G9" s="270"/>
    </row>
    <row r="10" spans="1:8" s="258" customFormat="1" ht="13.5" customHeight="1">
      <c r="A10" s="953" t="s">
        <v>801</v>
      </c>
      <c r="B10" s="268" t="s">
        <v>2339</v>
      </c>
      <c r="C10" s="269">
        <f ca="1">ROUND(D10*E10,0)</f>
        <v>180400</v>
      </c>
      <c r="D10" s="1035">
        <f ca="1">IF(B1="",'数据-汇总表'!E6,IF(INDIRECT("'数据-取费表'!c"&amp;$G$1)="住宅",INDIRECT("'数据-取费表'!s"&amp;$G$1),INDIRECT("'数据-取费表'!k"&amp;$G$1)+INDIRECT("'数据-取费表'!s"&amp;$G$1)))</f>
        <v>3469.24</v>
      </c>
      <c r="E10" s="269">
        <f>'数据-取费表'!B28</f>
        <v>52</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1054972</v>
      </c>
      <c r="D19" s="1039">
        <f ca="1">D9+D10</f>
        <v>5274.8599999999988</v>
      </c>
      <c r="E19" s="255">
        <f>'数据-取费表'!B31</f>
        <v>200</v>
      </c>
      <c r="F19" s="275"/>
      <c r="G19" s="2548"/>
    </row>
    <row r="20" spans="1:7" s="258" customFormat="1" ht="13.5" customHeight="1">
      <c r="A20" s="299" t="s">
        <v>2433</v>
      </c>
      <c r="B20" s="254" t="s">
        <v>2434</v>
      </c>
      <c r="C20" s="276">
        <f ca="1">ROUND((C5+C19)*F20,0)</f>
        <v>29041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258536</v>
      </c>
      <c r="D22" s="279">
        <f ca="1">C26</f>
        <v>1.6999999999999999E-3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70027</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186052</v>
      </c>
      <c r="D24" s="282"/>
      <c r="E24" s="282"/>
      <c r="F24" s="283"/>
      <c r="G24" s="284" t="s">
        <v>2445</v>
      </c>
    </row>
    <row r="25" spans="1:7" s="258" customFormat="1" ht="24">
      <c r="A25" s="954" t="s">
        <v>2335</v>
      </c>
      <c r="B25" s="259" t="s">
        <v>2446</v>
      </c>
      <c r="C25" s="1384">
        <f ca="1">ROUND(IF('数据-取费表'!B22&lt;=1,C20*F22*'数据-取费表'!B22/2,C20*(POWER((1+F22),'数据-取费表'!B22/2)-1)),0)</f>
        <v>2457</v>
      </c>
      <c r="D25" s="282"/>
      <c r="E25" s="285"/>
      <c r="F25" s="283"/>
      <c r="G25" s="286" t="s">
        <v>2447</v>
      </c>
    </row>
    <row r="26" spans="1:7" s="258" customFormat="1">
      <c r="A26" s="954" t="s">
        <v>795</v>
      </c>
      <c r="B26" s="259" t="s">
        <v>2370</v>
      </c>
      <c r="C26" s="282">
        <f ca="1">ROUND(IF('数据-取费表'!B22&lt;=1,F21*F22*'数据-取费表'!B22/2,F21*(POWER((1+F22),'数据-取费表'!B22/2)-1)),4)</f>
        <v>1.6999999999999999E-3</v>
      </c>
      <c r="D26" s="282"/>
      <c r="E26" s="285"/>
      <c r="F26" s="283"/>
      <c r="G26" s="287"/>
    </row>
    <row r="27" spans="1:7" s="258" customFormat="1" ht="24.75">
      <c r="A27" s="299" t="s">
        <v>2371</v>
      </c>
      <c r="B27" s="288" t="s">
        <v>2372</v>
      </c>
      <c r="C27" s="289">
        <f ca="1">C28</f>
        <v>148109</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148109</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2043221</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5790442</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4332846</v>
      </c>
      <c r="D34" s="261"/>
      <c r="E34" s="264"/>
      <c r="F34" s="301"/>
      <c r="G34" s="263"/>
    </row>
    <row r="35" spans="1:7" ht="13.5" customHeight="1">
      <c r="A35" s="954" t="s">
        <v>796</v>
      </c>
      <c r="B35" s="259" t="s">
        <v>2386</v>
      </c>
      <c r="C35" s="264">
        <f ca="1">ROUND(C34*F35,0)</f>
        <v>129985</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207646</v>
      </c>
      <c r="D36" s="264"/>
      <c r="E36" s="264"/>
      <c r="F36" s="303">
        <f>'数据-取费表'!B34</f>
        <v>0.05</v>
      </c>
      <c r="G36" s="304" t="s">
        <v>2389</v>
      </c>
    </row>
    <row r="37" spans="1:7" s="302" customFormat="1" ht="13.5" customHeight="1">
      <c r="A37" s="954" t="s">
        <v>798</v>
      </c>
      <c r="B37" s="259" t="s">
        <v>2390</v>
      </c>
      <c r="C37" s="293">
        <f ca="1">ROUND(E37*D37,0)</f>
        <v>1054972</v>
      </c>
      <c r="D37" s="261">
        <f ca="1">D19</f>
        <v>5274.8599999999988</v>
      </c>
      <c r="E37" s="293">
        <f>'数据-取费表'!B35</f>
        <v>200</v>
      </c>
      <c r="F37" s="303"/>
      <c r="G37" s="305"/>
    </row>
    <row r="38" spans="1:7" ht="13.5" customHeight="1">
      <c r="A38" s="954" t="s">
        <v>799</v>
      </c>
      <c r="B38" s="259" t="s">
        <v>2392</v>
      </c>
      <c r="C38" s="264">
        <f ca="1">ROUND(C34*F38,0)</f>
        <v>64993</v>
      </c>
      <c r="D38" s="264"/>
      <c r="E38" s="264"/>
      <c r="F38" s="303">
        <f>'数据-取费表'!B36</f>
        <v>1.4999999999999999E-2</v>
      </c>
      <c r="G38" s="263" t="s">
        <v>2387</v>
      </c>
    </row>
    <row r="39" spans="1:7" s="258" customFormat="1" ht="13.5" customHeight="1">
      <c r="A39" s="299" t="s">
        <v>2393</v>
      </c>
      <c r="B39" s="254" t="s">
        <v>2394</v>
      </c>
      <c r="C39" s="276">
        <f ca="1">ROUND(C33*F20,0)</f>
        <v>115809</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499668</v>
      </c>
      <c r="D41" s="279">
        <f ca="1">C44</f>
        <v>1.6999999999999999E-3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489871</v>
      </c>
      <c r="D42" s="282"/>
      <c r="E42" s="282"/>
      <c r="F42" s="283"/>
      <c r="G42" s="3208" t="s">
        <v>2450</v>
      </c>
    </row>
    <row r="43" spans="1:7" ht="13.5" customHeight="1">
      <c r="A43" s="954" t="s">
        <v>792</v>
      </c>
      <c r="B43" s="259" t="s">
        <v>2404</v>
      </c>
      <c r="C43" s="282">
        <f ca="1">ROUND(IF('数据-取费表'!B22&lt;=1,C39*F22*'数据-取费表'!B20/2,C39*(POWER((1+F22),'数据-取费表'!B20/2)-1)),0)</f>
        <v>9797</v>
      </c>
      <c r="D43" s="282"/>
      <c r="E43" s="282"/>
      <c r="F43" s="283"/>
      <c r="G43" s="3209"/>
    </row>
    <row r="44" spans="1:7" ht="13.5" customHeight="1">
      <c r="A44" s="954" t="s">
        <v>793</v>
      </c>
      <c r="B44" s="259" t="s">
        <v>2405</v>
      </c>
      <c r="C44" s="282">
        <f ca="1">ROUND(IF('数据-取费表'!B22&lt;=1,C40*F22*'数据-取费表'!B20/2,C40*(POWER((1+F22),'数据-取费表'!B20/2)-1)),4)</f>
        <v>1.6999999999999999E-3</v>
      </c>
      <c r="D44" s="282"/>
      <c r="E44" s="282"/>
      <c r="F44" s="283"/>
      <c r="G44" s="3210"/>
    </row>
    <row r="45" spans="1:7" s="258" customFormat="1" ht="13.5" customHeight="1">
      <c r="A45" s="299" t="s">
        <v>2406</v>
      </c>
      <c r="B45" s="288" t="s">
        <v>2372</v>
      </c>
      <c r="C45" s="289">
        <f ca="1">C46</f>
        <v>590625</v>
      </c>
      <c r="D45" s="279">
        <f ca="1">C47</f>
        <v>2E-3</v>
      </c>
      <c r="E45" s="280" t="s">
        <v>2398</v>
      </c>
      <c r="F45" s="290"/>
      <c r="G45" s="291" t="s">
        <v>2407</v>
      </c>
    </row>
    <row r="46" spans="1:7" s="258" customFormat="1" ht="13.5" customHeight="1">
      <c r="A46" s="954" t="s">
        <v>791</v>
      </c>
      <c r="B46" s="292" t="s">
        <v>2408</v>
      </c>
      <c r="C46" s="293">
        <f ca="1">ROUND((C33+C39)*F27,0)</f>
        <v>590625</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7572837</v>
      </c>
      <c r="D49" s="276"/>
      <c r="E49" s="276"/>
      <c r="F49" s="308"/>
      <c r="G49" s="278" t="s">
        <v>2413</v>
      </c>
    </row>
    <row r="50" spans="1:7" s="302" customFormat="1">
      <c r="A50" s="299" t="s">
        <v>2414</v>
      </c>
      <c r="B50" s="254" t="s">
        <v>2415</v>
      </c>
      <c r="C50" s="276"/>
      <c r="D50" s="276"/>
      <c r="E50" s="276"/>
      <c r="F50" s="308">
        <f>IF('数据-取费表'!B24=0,'数据-取费表'!N16,1)</f>
        <v>0.96899999999999997</v>
      </c>
      <c r="G50" s="291"/>
    </row>
    <row r="51" spans="1:7" ht="16.5" customHeight="1">
      <c r="A51" s="299" t="s">
        <v>2417</v>
      </c>
      <c r="B51" s="254" t="s">
        <v>2452</v>
      </c>
      <c r="C51" s="276">
        <f ca="1">ROUND(C49*F50,0)</f>
        <v>7338079</v>
      </c>
      <c r="D51" s="276"/>
      <c r="E51" s="276"/>
      <c r="F51" s="308"/>
      <c r="G51" s="278" t="s">
        <v>2419</v>
      </c>
    </row>
    <row r="52" spans="1:7" s="252" customFormat="1" ht="16.5" thickBot="1">
      <c r="A52" s="309" t="s">
        <v>2420</v>
      </c>
      <c r="B52" s="310"/>
      <c r="C52" s="311">
        <f ca="1">C31+C51</f>
        <v>9381300</v>
      </c>
      <c r="D52" s="310"/>
      <c r="E52" s="310"/>
      <c r="F52" s="310"/>
      <c r="G52" s="312"/>
    </row>
    <row r="55" spans="1:7" ht="15">
      <c r="B55" s="314" t="s">
        <v>2421</v>
      </c>
      <c r="C55" s="315"/>
    </row>
    <row r="56" spans="1:7">
      <c r="B56" s="317" t="s">
        <v>1513</v>
      </c>
      <c r="C56" s="319">
        <f ca="1">1-C57</f>
        <v>0.21799999999999997</v>
      </c>
    </row>
    <row r="57" spans="1:7">
      <c r="B57" s="317" t="s">
        <v>1514</v>
      </c>
      <c r="C57" s="318">
        <f ca="1">ROUND(C51/C52,3)</f>
        <v>0.78200000000000003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O31" sqref="O3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f>F66</f>
        <v>1526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f>ROUND(IF(D3="",B2*10000/'数据-汇总表'!E3,B2*10000/D3),0)</f>
        <v>2893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215" t="s">
        <v>2637</v>
      </c>
      <c r="D4" s="3228"/>
      <c r="E4" s="3229" t="s">
        <v>2638</v>
      </c>
      <c r="F4" s="3230"/>
      <c r="G4" s="3215" t="s">
        <v>2639</v>
      </c>
      <c r="H4" s="3228"/>
      <c r="I4" s="3215" t="s">
        <v>2640</v>
      </c>
      <c r="J4" s="3228"/>
      <c r="K4" s="610" t="s">
        <v>2641</v>
      </c>
      <c r="L4" s="1133"/>
      <c r="M4" s="1134"/>
      <c r="N4" s="1134"/>
      <c r="O4" s="1134"/>
      <c r="P4" s="3231" t="s">
        <v>2642</v>
      </c>
      <c r="Q4" s="3232"/>
      <c r="R4" s="3237" t="s">
        <v>2638</v>
      </c>
      <c r="S4" s="3238"/>
      <c r="T4" s="3237" t="s">
        <v>2639</v>
      </c>
      <c r="U4" s="3238"/>
      <c r="V4" s="3224" t="s">
        <v>2640</v>
      </c>
      <c r="W4" s="3224"/>
      <c r="X4" s="1816"/>
      <c r="Y4" s="3237" t="s">
        <v>2642</v>
      </c>
      <c r="Z4" s="3238"/>
      <c r="AA4" s="3225" t="s">
        <v>2638</v>
      </c>
      <c r="AB4" s="3226" t="s">
        <v>2639</v>
      </c>
      <c r="AC4" s="3225" t="s">
        <v>2640</v>
      </c>
    </row>
    <row r="5" spans="1:30" ht="15">
      <c r="A5" s="404"/>
      <c r="B5" s="405"/>
      <c r="C5" s="3250" t="s">
        <v>3347</v>
      </c>
      <c r="D5" s="3246"/>
      <c r="E5" s="3253" t="s">
        <v>3229</v>
      </c>
      <c r="F5" s="3254"/>
      <c r="G5" s="3245" t="s">
        <v>3231</v>
      </c>
      <c r="H5" s="3246"/>
      <c r="I5" s="3245" t="s">
        <v>3233</v>
      </c>
      <c r="J5" s="3246"/>
      <c r="K5" s="610"/>
      <c r="L5" s="1133"/>
      <c r="M5" s="1134"/>
      <c r="N5" s="1134"/>
      <c r="O5" s="1134"/>
      <c r="P5" s="3233"/>
      <c r="Q5" s="3234"/>
      <c r="R5" s="3239"/>
      <c r="S5" s="3240"/>
      <c r="T5" s="3239"/>
      <c r="U5" s="3240"/>
      <c r="V5" s="3224"/>
      <c r="W5" s="3224"/>
      <c r="X5" s="1816"/>
      <c r="Y5" s="3239"/>
      <c r="Z5" s="3240"/>
      <c r="AA5" s="3226"/>
      <c r="AB5" s="3226"/>
      <c r="AC5" s="3226"/>
    </row>
    <row r="6" spans="1:30" ht="35.25" customHeight="1" thickBot="1">
      <c r="A6" s="406"/>
      <c r="B6" s="407"/>
      <c r="C6" s="3243" t="s">
        <v>3348</v>
      </c>
      <c r="D6" s="3244"/>
      <c r="E6" s="3251" t="s">
        <v>3228</v>
      </c>
      <c r="F6" s="3252"/>
      <c r="G6" s="3243" t="s">
        <v>3230</v>
      </c>
      <c r="H6" s="3244"/>
      <c r="I6" s="3243" t="s">
        <v>3232</v>
      </c>
      <c r="J6" s="3244"/>
      <c r="K6" s="610" t="s">
        <v>2538</v>
      </c>
      <c r="L6" s="1133"/>
      <c r="M6" s="1134"/>
      <c r="N6" s="1134"/>
      <c r="O6" s="1134"/>
      <c r="P6" s="3235"/>
      <c r="Q6" s="3236"/>
      <c r="R6" s="3239"/>
      <c r="S6" s="3240"/>
      <c r="T6" s="3241"/>
      <c r="U6" s="3242"/>
      <c r="V6" s="3224"/>
      <c r="W6" s="3224"/>
      <c r="X6" s="1816"/>
      <c r="Y6" s="3241"/>
      <c r="Z6" s="3242"/>
      <c r="AA6" s="3227"/>
      <c r="AB6" s="3227"/>
      <c r="AC6" s="3227"/>
    </row>
    <row r="7" spans="1:30" s="117" customFormat="1" ht="15.75" thickBot="1">
      <c r="A7" s="408" t="s">
        <v>2539</v>
      </c>
      <c r="B7" s="409"/>
      <c r="C7" s="410">
        <f>'数据-取费表'!B2</f>
        <v>43307</v>
      </c>
      <c r="D7" s="411">
        <v>100</v>
      </c>
      <c r="E7" s="412">
        <v>43189</v>
      </c>
      <c r="F7" s="413">
        <f>SUMIF(70:70,YEAR(E7)&amp;"-"&amp;INT((MONTH(E7)+2)/3),71:71)</f>
        <v>96</v>
      </c>
      <c r="G7" s="2692">
        <v>43189</v>
      </c>
      <c r="H7" s="411">
        <f>SUMIF(70:70,YEAR(G7)&amp;"-"&amp;INT((MONTH(G7)+2)/3),71:71)</f>
        <v>96</v>
      </c>
      <c r="I7" s="2692">
        <v>43138</v>
      </c>
      <c r="J7" s="411">
        <f>SUMIF(70:70,YEAR(I7)&amp;"-"&amp;INT((MONTH(I7)+2)/3),71:71)</f>
        <v>96</v>
      </c>
      <c r="K7" s="611"/>
      <c r="L7" s="1135"/>
      <c r="M7" s="1136"/>
      <c r="N7" s="1136"/>
      <c r="O7" s="1136"/>
      <c r="P7" s="3247" t="s">
        <v>2540</v>
      </c>
      <c r="Q7" s="3249"/>
      <c r="R7" s="770" t="s">
        <v>17</v>
      </c>
      <c r="S7" s="771">
        <f t="shared" ref="S7:S15" si="0">F7</f>
        <v>96</v>
      </c>
      <c r="T7" s="770" t="s">
        <v>17</v>
      </c>
      <c r="U7" s="771">
        <f t="shared" ref="U7:U15" si="1">H7</f>
        <v>96</v>
      </c>
      <c r="V7" s="770" t="s">
        <v>17</v>
      </c>
      <c r="W7" s="771">
        <f t="shared" ref="W7:W15" si="2">J7</f>
        <v>96</v>
      </c>
      <c r="X7" s="772"/>
      <c r="Y7" s="3247" t="s">
        <v>2540</v>
      </c>
      <c r="Z7" s="3248"/>
      <c r="AA7" s="773">
        <f>D7/F7</f>
        <v>1.0416666666666667</v>
      </c>
      <c r="AB7" s="773">
        <f>D7/H7</f>
        <v>1.0416666666666667</v>
      </c>
      <c r="AC7" s="773">
        <f>D7/J7</f>
        <v>1.0416666666666667</v>
      </c>
    </row>
    <row r="8" spans="1:30" s="117" customFormat="1" ht="15.75" thickBot="1">
      <c r="A8" s="408" t="s">
        <v>2541</v>
      </c>
      <c r="B8" s="409"/>
      <c r="C8" s="414" t="s">
        <v>2542</v>
      </c>
      <c r="D8" s="411">
        <v>100</v>
      </c>
      <c r="E8" s="414" t="s">
        <v>2542</v>
      </c>
      <c r="F8" s="413">
        <f>SUMIF(73:73,E8,74:74)-SUMIF(73:73,C8,74:74)+100</f>
        <v>100</v>
      </c>
      <c r="G8" s="414" t="s">
        <v>2542</v>
      </c>
      <c r="H8" s="411">
        <f>SUMIF(73:73,G8,74:74)-SUMIF(73:73,C8,74:74)+100</f>
        <v>100</v>
      </c>
      <c r="I8" s="414" t="s">
        <v>2542</v>
      </c>
      <c r="J8" s="411">
        <f>SUMIF(73:73,I8,74:74)-SUMIF(73:73,C8,74:74)+100</f>
        <v>100</v>
      </c>
      <c r="K8" s="611"/>
      <c r="L8" s="1135"/>
      <c r="M8" s="1136"/>
      <c r="N8" s="1136"/>
      <c r="O8" s="1136"/>
      <c r="P8" s="3247" t="s">
        <v>2543</v>
      </c>
      <c r="Q8" s="3248"/>
      <c r="R8" s="770" t="s">
        <v>17</v>
      </c>
      <c r="S8" s="771">
        <f t="shared" si="0"/>
        <v>100</v>
      </c>
      <c r="T8" s="770" t="s">
        <v>17</v>
      </c>
      <c r="U8" s="771">
        <f t="shared" si="1"/>
        <v>100</v>
      </c>
      <c r="V8" s="770" t="s">
        <v>17</v>
      </c>
      <c r="W8" s="771">
        <f t="shared" si="2"/>
        <v>100</v>
      </c>
      <c r="X8" s="772"/>
      <c r="Y8" s="3247" t="s">
        <v>2543</v>
      </c>
      <c r="Z8" s="3248"/>
      <c r="AA8" s="773">
        <f t="shared" ref="AA8:AA45" si="3">D8/F8</f>
        <v>1</v>
      </c>
      <c r="AB8" s="773">
        <f t="shared" ref="AB8:AB45" si="4">D8/H8</f>
        <v>1</v>
      </c>
      <c r="AC8" s="773">
        <f t="shared" ref="AC8:AC45" si="5">D8/J8</f>
        <v>1</v>
      </c>
    </row>
    <row r="9" spans="1:30" s="117" customFormat="1">
      <c r="A9" s="415" t="s">
        <v>2544</v>
      </c>
      <c r="B9" s="71" t="s">
        <v>2545</v>
      </c>
      <c r="C9" s="2695" t="s">
        <v>3066</v>
      </c>
      <c r="D9" s="135">
        <v>100</v>
      </c>
      <c r="E9" s="2695" t="s">
        <v>3066</v>
      </c>
      <c r="F9" s="135">
        <f>SUMIF(75:75,E9,76:76)-SUMIF(75:75,C9,76:76)+100</f>
        <v>100</v>
      </c>
      <c r="G9" s="2695" t="s">
        <v>3066</v>
      </c>
      <c r="H9" s="135">
        <f>SUMIF(75:75,G9,76:76)-SUMIF(75:75,C9,76:76)+100</f>
        <v>100</v>
      </c>
      <c r="I9" s="2695" t="s">
        <v>3066</v>
      </c>
      <c r="J9" s="135">
        <f>SUMIF(75:75,I9,76:76)-SUMIF(75:75,C9,76:76)+100</f>
        <v>100</v>
      </c>
      <c r="K9" s="611"/>
      <c r="L9" s="1135"/>
      <c r="M9" s="1136"/>
      <c r="N9" s="1136"/>
      <c r="O9" s="1137"/>
      <c r="P9" s="3218" t="s">
        <v>2546</v>
      </c>
      <c r="Q9" s="1798" t="str">
        <f t="shared" ref="Q9:Q15" si="6">B9</f>
        <v>用途</v>
      </c>
      <c r="R9" s="770" t="s">
        <v>17</v>
      </c>
      <c r="S9" s="771">
        <f t="shared" si="0"/>
        <v>100</v>
      </c>
      <c r="T9" s="770" t="s">
        <v>17</v>
      </c>
      <c r="U9" s="771">
        <f t="shared" si="1"/>
        <v>100</v>
      </c>
      <c r="V9" s="770" t="s">
        <v>17</v>
      </c>
      <c r="W9" s="771">
        <f t="shared" si="2"/>
        <v>100</v>
      </c>
      <c r="X9" s="772"/>
      <c r="Y9" s="3066"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218"/>
      <c r="Q10" s="1798" t="str">
        <f t="shared" si="6"/>
        <v>土地使用年限（年）</v>
      </c>
      <c r="R10" s="770" t="s">
        <v>17</v>
      </c>
      <c r="S10" s="771">
        <f t="shared" si="0"/>
        <v>102</v>
      </c>
      <c r="T10" s="770" t="s">
        <v>17</v>
      </c>
      <c r="U10" s="771">
        <f t="shared" si="1"/>
        <v>102</v>
      </c>
      <c r="V10" s="770" t="s">
        <v>17</v>
      </c>
      <c r="W10" s="771">
        <f t="shared" si="2"/>
        <v>102</v>
      </c>
      <c r="X10" s="772"/>
      <c r="Y10" s="3066"/>
      <c r="Z10" s="55" t="str">
        <f t="shared" si="7"/>
        <v>土地使用年限（年）</v>
      </c>
      <c r="AA10" s="773">
        <f t="shared" si="3"/>
        <v>0.98039215686274506</v>
      </c>
      <c r="AB10" s="773">
        <f t="shared" si="4"/>
        <v>0.98039215686274506</v>
      </c>
      <c r="AC10" s="773">
        <f t="shared" si="5"/>
        <v>0.98039215686274506</v>
      </c>
    </row>
    <row r="11" spans="1:30" ht="15.75" thickBot="1">
      <c r="A11" s="428"/>
      <c r="B11" s="422" t="s">
        <v>2549</v>
      </c>
      <c r="C11" s="429">
        <v>3</v>
      </c>
      <c r="D11" s="136">
        <v>100</v>
      </c>
      <c r="E11" s="429">
        <v>2.5</v>
      </c>
      <c r="F11" s="136">
        <f>LOOKUP(E11,80:80,81:81)-LOOKUP(C11,80:80,81:81)+100</f>
        <v>105</v>
      </c>
      <c r="G11" s="430">
        <v>3</v>
      </c>
      <c r="H11" s="136">
        <f>LOOKUP(G11,80:80,81:81)-LOOKUP(C11,80:80,81:81)+100</f>
        <v>100</v>
      </c>
      <c r="I11" s="429">
        <v>3</v>
      </c>
      <c r="J11" s="136">
        <f>LOOKUP(I11,80:80,81:81)-LOOKUP(C11,80:80,81:81)+100</f>
        <v>100</v>
      </c>
      <c r="K11" s="673">
        <v>5</v>
      </c>
      <c r="L11" s="1141"/>
      <c r="M11" s="1134"/>
      <c r="N11" s="1134"/>
      <c r="O11" s="1142"/>
      <c r="P11" s="3218"/>
      <c r="Q11" s="1798" t="str">
        <f t="shared" si="6"/>
        <v>容积率</v>
      </c>
      <c r="R11" s="770" t="s">
        <v>17</v>
      </c>
      <c r="S11" s="771">
        <f t="shared" si="0"/>
        <v>105</v>
      </c>
      <c r="T11" s="770" t="s">
        <v>17</v>
      </c>
      <c r="U11" s="771">
        <f t="shared" si="1"/>
        <v>100</v>
      </c>
      <c r="V11" s="770" t="s">
        <v>17</v>
      </c>
      <c r="W11" s="771">
        <f t="shared" si="2"/>
        <v>100</v>
      </c>
      <c r="X11" s="772"/>
      <c r="Y11" s="3066"/>
      <c r="Z11" s="55" t="str">
        <f t="shared" si="7"/>
        <v>容积率</v>
      </c>
      <c r="AA11" s="773">
        <f t="shared" si="3"/>
        <v>0.95238095238095233</v>
      </c>
      <c r="AB11" s="773">
        <f t="shared" si="4"/>
        <v>1</v>
      </c>
      <c r="AC11" s="773">
        <f t="shared" si="5"/>
        <v>1</v>
      </c>
    </row>
    <row r="12" spans="1:30" s="117" customFormat="1" ht="15" hidden="1">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8"/>
      <c r="Q12" s="1798" t="str">
        <f t="shared" si="6"/>
        <v>配建</v>
      </c>
      <c r="R12" s="770" t="s">
        <v>17</v>
      </c>
      <c r="S12" s="771">
        <f t="shared" si="0"/>
        <v>100</v>
      </c>
      <c r="T12" s="770" t="s">
        <v>17</v>
      </c>
      <c r="U12" s="771">
        <f t="shared" si="1"/>
        <v>100</v>
      </c>
      <c r="V12" s="770" t="s">
        <v>17</v>
      </c>
      <c r="W12" s="771">
        <f t="shared" si="2"/>
        <v>100</v>
      </c>
      <c r="X12" s="772"/>
      <c r="Y12" s="3066"/>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8"/>
      <c r="Q13" s="1798">
        <f t="shared" si="6"/>
        <v>111</v>
      </c>
      <c r="R13" s="770" t="s">
        <v>17</v>
      </c>
      <c r="S13" s="771">
        <f t="shared" si="0"/>
        <v>100</v>
      </c>
      <c r="T13" s="770" t="s">
        <v>17</v>
      </c>
      <c r="U13" s="771">
        <f t="shared" si="1"/>
        <v>100</v>
      </c>
      <c r="V13" s="770" t="s">
        <v>17</v>
      </c>
      <c r="W13" s="771">
        <f t="shared" si="2"/>
        <v>100</v>
      </c>
      <c r="X13" s="772"/>
      <c r="Y13" s="3066"/>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8"/>
      <c r="Q14" s="1798">
        <f t="shared" si="6"/>
        <v>111</v>
      </c>
      <c r="R14" s="770" t="s">
        <v>17</v>
      </c>
      <c r="S14" s="771">
        <f t="shared" si="0"/>
        <v>100</v>
      </c>
      <c r="T14" s="770" t="s">
        <v>17</v>
      </c>
      <c r="U14" s="771">
        <f t="shared" si="1"/>
        <v>100</v>
      </c>
      <c r="V14" s="770" t="s">
        <v>17</v>
      </c>
      <c r="W14" s="771">
        <f t="shared" si="2"/>
        <v>100</v>
      </c>
      <c r="X14" s="772"/>
      <c r="Y14" s="3066"/>
      <c r="Z14" s="55">
        <f t="shared" si="7"/>
        <v>111</v>
      </c>
      <c r="AA14" s="773">
        <f>D14/F14</f>
        <v>1</v>
      </c>
      <c r="AB14" s="773">
        <f>D14/H14</f>
        <v>1</v>
      </c>
      <c r="AC14" s="773">
        <f>D14/J14</f>
        <v>1</v>
      </c>
    </row>
    <row r="15" spans="1:30" ht="142.5">
      <c r="A15" s="440" t="s">
        <v>2550</v>
      </c>
      <c r="B15" s="69" t="s">
        <v>2081</v>
      </c>
      <c r="C15" s="2600" t="str">
        <f>估价对象房地状况!C15</f>
        <v>估价对象周边居住用地比例较大、居住小区规模较大，有森林半岛、新龙御都国际等住宅小区，社区发展完善程度较好，综合评价居住社区成熟度较好。</v>
      </c>
      <c r="D15" s="441">
        <v>100</v>
      </c>
      <c r="E15" s="2960" t="s">
        <v>3262</v>
      </c>
      <c r="F15" s="441">
        <f>SUMIF(88:88,E16,89:89)-SUMIF(88:88,C16,89:89)+100</f>
        <v>100</v>
      </c>
      <c r="G15" s="2960" t="s">
        <v>3269</v>
      </c>
      <c r="H15" s="441">
        <f>SUMIF(88:88,G16,89:89)-SUMIF(88:88,C16,89:89)+100</f>
        <v>100</v>
      </c>
      <c r="I15" s="2960" t="s">
        <v>3275</v>
      </c>
      <c r="J15" s="441">
        <f>SUMIF(88:88,I16,89:89)-SUMIF(88:88,C16,89:89)+100</f>
        <v>100</v>
      </c>
      <c r="K15" s="673">
        <v>3</v>
      </c>
      <c r="L15" s="1143"/>
      <c r="M15" s="1134"/>
      <c r="N15" s="1134"/>
      <c r="O15" s="1142"/>
      <c r="P15" s="3220" t="s">
        <v>2551</v>
      </c>
      <c r="Q15" s="1813" t="str">
        <f t="shared" si="6"/>
        <v>居住社区成熟度</v>
      </c>
      <c r="R15" s="774" t="s">
        <v>17</v>
      </c>
      <c r="S15" s="775">
        <f t="shared" si="0"/>
        <v>100</v>
      </c>
      <c r="T15" s="774" t="s">
        <v>17</v>
      </c>
      <c r="U15" s="775">
        <f t="shared" si="1"/>
        <v>100</v>
      </c>
      <c r="V15" s="774" t="s">
        <v>17</v>
      </c>
      <c r="W15" s="775">
        <f t="shared" si="2"/>
        <v>100</v>
      </c>
      <c r="X15" s="1816"/>
      <c r="Y15" s="3220" t="s">
        <v>2551</v>
      </c>
      <c r="Z15" s="1817" t="str">
        <f t="shared" si="7"/>
        <v>居住社区成熟度</v>
      </c>
      <c r="AA15" s="1814">
        <f t="shared" si="3"/>
        <v>1</v>
      </c>
      <c r="AB15" s="1814">
        <f t="shared" si="4"/>
        <v>1</v>
      </c>
      <c r="AC15" s="1814">
        <f t="shared" si="5"/>
        <v>1</v>
      </c>
    </row>
    <row r="16" spans="1:30" ht="15">
      <c r="A16" s="428"/>
      <c r="B16" s="446"/>
      <c r="C16" s="447" t="s">
        <v>3083</v>
      </c>
      <c r="D16" s="448"/>
      <c r="E16" s="2602" t="s">
        <v>3083</v>
      </c>
      <c r="F16" s="448"/>
      <c r="G16" s="2602" t="s">
        <v>3083</v>
      </c>
      <c r="H16" s="450"/>
      <c r="I16" s="2601" t="s">
        <v>3083</v>
      </c>
      <c r="J16" s="448"/>
      <c r="K16" s="672"/>
      <c r="L16" s="1143"/>
      <c r="M16" s="1134"/>
      <c r="N16" s="1134"/>
      <c r="O16" s="1142"/>
      <c r="P16" s="3221"/>
      <c r="Q16" s="1813"/>
      <c r="R16" s="774"/>
      <c r="S16" s="775"/>
      <c r="T16" s="774"/>
      <c r="U16" s="775"/>
      <c r="V16" s="774"/>
      <c r="W16" s="775"/>
      <c r="X16" s="1816"/>
      <c r="Y16" s="3221"/>
      <c r="Z16" s="1817"/>
      <c r="AA16" s="1814">
        <v>1</v>
      </c>
      <c r="AB16" s="1814">
        <v>1</v>
      </c>
      <c r="AC16" s="1814">
        <v>1</v>
      </c>
    </row>
    <row r="17" spans="1:29" ht="94.5">
      <c r="A17" s="428"/>
      <c r="B17" s="451" t="s">
        <v>2644</v>
      </c>
      <c r="C17" s="2660" t="str">
        <f>估价对象房地状况!C16</f>
        <v>估价对象位于开封市龙亭区，周边商业氛围一般，人流量较大，商业繁华度一般。</v>
      </c>
      <c r="D17" s="450">
        <v>100</v>
      </c>
      <c r="E17" s="2959" t="s">
        <v>3263</v>
      </c>
      <c r="F17" s="450">
        <f>SUMIF(90:90,E18,91:91)-SUMIF(90:90,C18,91:91)+100</f>
        <v>98</v>
      </c>
      <c r="G17" s="2959" t="s">
        <v>3270</v>
      </c>
      <c r="H17" s="455">
        <f>SUMIF(90:90,G18,91:91)-SUMIF(90:90,C18,91:91)+100</f>
        <v>100</v>
      </c>
      <c r="I17" s="2959" t="s">
        <v>3276</v>
      </c>
      <c r="J17" s="455">
        <f>SUMIF(90:90,I18,91:91)-SUMIF(90:90,C18,91:91)+100</f>
        <v>100</v>
      </c>
      <c r="K17" s="673">
        <v>2</v>
      </c>
      <c r="L17" s="1143"/>
      <c r="M17" s="1134"/>
      <c r="N17" s="1134"/>
      <c r="O17" s="1142"/>
      <c r="P17" s="3221"/>
      <c r="Q17" s="1813" t="str">
        <f>B17</f>
        <v>商业繁华度</v>
      </c>
      <c r="R17" s="774" t="s">
        <v>17</v>
      </c>
      <c r="S17" s="775">
        <f>F17</f>
        <v>98</v>
      </c>
      <c r="T17" s="774" t="s">
        <v>17</v>
      </c>
      <c r="U17" s="775">
        <f>H17</f>
        <v>100</v>
      </c>
      <c r="V17" s="774" t="s">
        <v>17</v>
      </c>
      <c r="W17" s="775">
        <f>J17</f>
        <v>100</v>
      </c>
      <c r="X17" s="1816"/>
      <c r="Y17" s="3221"/>
      <c r="Z17" s="1817" t="str">
        <f>Q17</f>
        <v>商业繁华度</v>
      </c>
      <c r="AA17" s="1814">
        <f t="shared" si="3"/>
        <v>1.0204081632653061</v>
      </c>
      <c r="AB17" s="1814">
        <f t="shared" si="4"/>
        <v>1</v>
      </c>
      <c r="AC17" s="1814">
        <f t="shared" si="5"/>
        <v>1</v>
      </c>
    </row>
    <row r="18" spans="1:29" ht="15">
      <c r="A18" s="428"/>
      <c r="B18" s="456"/>
      <c r="C18" s="2605" t="s">
        <v>3084</v>
      </c>
      <c r="D18" s="450"/>
      <c r="E18" s="2607" t="s">
        <v>3104</v>
      </c>
      <c r="F18" s="450"/>
      <c r="G18" s="2607" t="s">
        <v>3084</v>
      </c>
      <c r="H18" s="448"/>
      <c r="I18" s="2606" t="s">
        <v>3084</v>
      </c>
      <c r="J18" s="448"/>
      <c r="K18" s="672"/>
      <c r="L18" s="1143"/>
      <c r="M18" s="1134"/>
      <c r="N18" s="1134"/>
      <c r="O18" s="1142"/>
      <c r="P18" s="3221"/>
      <c r="Q18" s="1813"/>
      <c r="R18" s="774"/>
      <c r="S18" s="775"/>
      <c r="T18" s="774"/>
      <c r="U18" s="775"/>
      <c r="V18" s="774"/>
      <c r="W18" s="775"/>
      <c r="X18" s="1816"/>
      <c r="Y18" s="3221"/>
      <c r="Z18" s="1817"/>
      <c r="AA18" s="1814">
        <v>1</v>
      </c>
      <c r="AB18" s="1814">
        <v>1</v>
      </c>
      <c r="AC18" s="1814">
        <v>1</v>
      </c>
    </row>
    <row r="19" spans="1:29" ht="15" hidden="1">
      <c r="A19" s="428"/>
      <c r="B19" s="451" t="s">
        <v>2678</v>
      </c>
      <c r="C19" s="266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1"/>
      <c r="Q19" s="1813" t="str">
        <f>B19</f>
        <v>办公集聚程度</v>
      </c>
      <c r="R19" s="774" t="s">
        <v>17</v>
      </c>
      <c r="S19" s="775">
        <f>F19</f>
        <v>100</v>
      </c>
      <c r="T19" s="774" t="s">
        <v>17</v>
      </c>
      <c r="U19" s="775">
        <f>H19</f>
        <v>100</v>
      </c>
      <c r="V19" s="774" t="s">
        <v>17</v>
      </c>
      <c r="W19" s="775">
        <f>J19</f>
        <v>100</v>
      </c>
      <c r="X19" s="1816"/>
      <c r="Y19" s="3221"/>
      <c r="Z19" s="1817" t="str">
        <f>Q19</f>
        <v>办公集聚程度</v>
      </c>
      <c r="AA19" s="1814">
        <f t="shared" si="3"/>
        <v>1</v>
      </c>
      <c r="AB19" s="1814">
        <f t="shared" si="4"/>
        <v>1</v>
      </c>
      <c r="AC19" s="1814">
        <f t="shared" si="5"/>
        <v>1</v>
      </c>
    </row>
    <row r="20" spans="1:29" ht="15" hidden="1">
      <c r="A20" s="428"/>
      <c r="B20" s="456"/>
      <c r="C20" s="447"/>
      <c r="D20" s="448"/>
      <c r="E20" s="2602"/>
      <c r="F20" s="448"/>
      <c r="G20" s="2602"/>
      <c r="H20" s="448"/>
      <c r="I20" s="2601"/>
      <c r="J20" s="448"/>
      <c r="K20" s="672"/>
      <c r="L20" s="1143"/>
      <c r="M20" s="1134"/>
      <c r="N20" s="1134"/>
      <c r="O20" s="1142"/>
      <c r="P20" s="3221"/>
      <c r="Q20" s="1813"/>
      <c r="R20" s="774"/>
      <c r="S20" s="775"/>
      <c r="T20" s="774"/>
      <c r="U20" s="775"/>
      <c r="V20" s="774"/>
      <c r="W20" s="775"/>
      <c r="X20" s="1816"/>
      <c r="Y20" s="3221"/>
      <c r="Z20" s="1817"/>
      <c r="AA20" s="1814">
        <v>1</v>
      </c>
      <c r="AB20" s="1814">
        <v>1</v>
      </c>
      <c r="AC20" s="1814">
        <v>1</v>
      </c>
    </row>
    <row r="21" spans="1:29" ht="114">
      <c r="A21" s="428"/>
      <c r="B21" s="451" t="s">
        <v>2700</v>
      </c>
      <c r="C21" s="2604" t="str">
        <f>估价对象房地状况!C18</f>
        <v>估价对象周边路网较密集，公共交通通达情况较好、停车便捷程度较好，有27路、44路等公交车，综合评价交通便捷度较好。</v>
      </c>
      <c r="D21" s="450">
        <v>100</v>
      </c>
      <c r="E21" s="2959" t="s">
        <v>3264</v>
      </c>
      <c r="F21" s="455">
        <f>SUMIF(94:94,E22,95:95)-SUMIF(94:94,C22,95:95)+100</f>
        <v>98</v>
      </c>
      <c r="G21" s="2959" t="s">
        <v>3271</v>
      </c>
      <c r="H21" s="450">
        <f>SUMIF(94:94,G22,95:95)-SUMIF(94:94,C22,95:95)+100</f>
        <v>100</v>
      </c>
      <c r="I21" s="2959" t="s">
        <v>3277</v>
      </c>
      <c r="J21" s="450">
        <f>SUMIF(94:94,I22,95:95)-SUMIF(94:94,C22,95:95)+100</f>
        <v>100</v>
      </c>
      <c r="K21" s="673">
        <v>2</v>
      </c>
      <c r="L21" s="1143"/>
      <c r="M21" s="1134"/>
      <c r="N21" s="1134"/>
      <c r="O21" s="1142"/>
      <c r="P21" s="3221"/>
      <c r="Q21" s="1813" t="str">
        <f>B21</f>
        <v>交通便捷度</v>
      </c>
      <c r="R21" s="774" t="s">
        <v>17</v>
      </c>
      <c r="S21" s="775">
        <f>F21</f>
        <v>98</v>
      </c>
      <c r="T21" s="774" t="s">
        <v>17</v>
      </c>
      <c r="U21" s="775">
        <f>H21</f>
        <v>100</v>
      </c>
      <c r="V21" s="774" t="s">
        <v>17</v>
      </c>
      <c r="W21" s="775">
        <f>J21</f>
        <v>100</v>
      </c>
      <c r="X21" s="1816"/>
      <c r="Y21" s="3221"/>
      <c r="Z21" s="1817" t="str">
        <f>Q21</f>
        <v>交通便捷度</v>
      </c>
      <c r="AA21" s="1814">
        <f t="shared" si="3"/>
        <v>1.0204081632653061</v>
      </c>
      <c r="AB21" s="1814">
        <f t="shared" si="4"/>
        <v>1</v>
      </c>
      <c r="AC21" s="1814">
        <f t="shared" si="5"/>
        <v>1</v>
      </c>
    </row>
    <row r="22" spans="1:29" ht="15">
      <c r="A22" s="428"/>
      <c r="B22" s="1387"/>
      <c r="C22" s="447" t="s">
        <v>3083</v>
      </c>
      <c r="D22" s="450"/>
      <c r="E22" s="2602" t="s">
        <v>3084</v>
      </c>
      <c r="F22" s="448"/>
      <c r="G22" s="2602" t="s">
        <v>3083</v>
      </c>
      <c r="H22" s="448"/>
      <c r="I22" s="2601" t="s">
        <v>3083</v>
      </c>
      <c r="J22" s="448"/>
      <c r="K22" s="672"/>
      <c r="L22" s="1143"/>
      <c r="M22" s="1134"/>
      <c r="N22" s="1134"/>
      <c r="O22" s="1142"/>
      <c r="P22" s="3221"/>
      <c r="Q22" s="1813"/>
      <c r="R22" s="774"/>
      <c r="S22" s="775"/>
      <c r="T22" s="774"/>
      <c r="U22" s="775"/>
      <c r="V22" s="774"/>
      <c r="W22" s="775"/>
      <c r="X22" s="1816"/>
      <c r="Y22" s="3221"/>
      <c r="Z22" s="1817"/>
      <c r="AA22" s="1814">
        <v>1</v>
      </c>
      <c r="AB22" s="1814">
        <v>1</v>
      </c>
      <c r="AC22" s="1814">
        <v>1</v>
      </c>
    </row>
    <row r="23" spans="1:29" ht="42.75">
      <c r="A23" s="404"/>
      <c r="B23" s="451" t="s">
        <v>2739</v>
      </c>
      <c r="C23" s="1392" t="str">
        <f>估价对象房地状况!C19</f>
        <v>区域内多为住宅用地，土地利用方向较一致。</v>
      </c>
      <c r="D23" s="455">
        <v>100</v>
      </c>
      <c r="E23" s="2959" t="s">
        <v>3249</v>
      </c>
      <c r="F23" s="455">
        <f>SUMIF(96:96,E24,97:97)-SUMIF(96:96,C24,97:97)+100</f>
        <v>100</v>
      </c>
      <c r="G23" s="2950" t="s">
        <v>3249</v>
      </c>
      <c r="H23" s="455">
        <f>SUMIF(96:96,G24,97:97)-SUMIF(96:96,C24,97:97)+100</f>
        <v>100</v>
      </c>
      <c r="I23" s="2950" t="s">
        <v>3249</v>
      </c>
      <c r="J23" s="455">
        <f>SUMIF(96:96,I24,97:97)-SUMIF(96:96,C24,97:97)+100</f>
        <v>100</v>
      </c>
      <c r="K23" s="673"/>
      <c r="L23" s="1143"/>
      <c r="M23" s="1134"/>
      <c r="N23" s="1134"/>
      <c r="O23" s="1142"/>
      <c r="P23" s="3221"/>
      <c r="Q23" s="1813" t="str">
        <f t="shared" ref="Q23:Q37" si="8">B23</f>
        <v>区域土地利用方向</v>
      </c>
      <c r="R23" s="774" t="s">
        <v>17</v>
      </c>
      <c r="S23" s="775">
        <f>F23</f>
        <v>100</v>
      </c>
      <c r="T23" s="774" t="s">
        <v>17</v>
      </c>
      <c r="U23" s="775">
        <f>H23</f>
        <v>100</v>
      </c>
      <c r="V23" s="774" t="s">
        <v>17</v>
      </c>
      <c r="W23" s="775">
        <f>J23</f>
        <v>100</v>
      </c>
      <c r="X23" s="1816"/>
      <c r="Y23" s="3221"/>
      <c r="Z23" s="1817" t="str">
        <f>Q23</f>
        <v>区域土地利用方向</v>
      </c>
      <c r="AA23" s="1814">
        <f t="shared" si="3"/>
        <v>1</v>
      </c>
      <c r="AB23" s="1814">
        <f t="shared" si="4"/>
        <v>1</v>
      </c>
      <c r="AC23" s="1814">
        <f t="shared" si="5"/>
        <v>1</v>
      </c>
    </row>
    <row r="24" spans="1:29" ht="15">
      <c r="A24" s="404"/>
      <c r="B24" s="456"/>
      <c r="C24" s="616" t="s">
        <v>3083</v>
      </c>
      <c r="D24" s="448"/>
      <c r="E24" s="616" t="s">
        <v>3083</v>
      </c>
      <c r="F24" s="448"/>
      <c r="G24" s="616" t="s">
        <v>3083</v>
      </c>
      <c r="H24" s="448"/>
      <c r="I24" s="616" t="s">
        <v>3083</v>
      </c>
      <c r="J24" s="448"/>
      <c r="K24" s="812"/>
      <c r="L24" s="1143"/>
      <c r="M24" s="1134"/>
      <c r="N24" s="1134"/>
      <c r="O24" s="1142"/>
      <c r="P24" s="3221"/>
      <c r="Q24" s="1813"/>
      <c r="R24" s="774"/>
      <c r="S24" s="775"/>
      <c r="T24" s="774"/>
      <c r="U24" s="775"/>
      <c r="V24" s="774"/>
      <c r="W24" s="775"/>
      <c r="X24" s="1816"/>
      <c r="Y24" s="3221"/>
      <c r="Z24" s="1817"/>
      <c r="AA24" s="1814"/>
      <c r="AB24" s="1814"/>
      <c r="AC24" s="1814"/>
    </row>
    <row r="25" spans="1:29" ht="135">
      <c r="A25" s="404"/>
      <c r="B25" s="1387" t="s">
        <v>2740</v>
      </c>
      <c r="C25" s="2660" t="str">
        <f>估价对象房地状况!C20</f>
        <v>区域自然环境：有大型绿化景观，有中意湖等自然景观；人文环境：开封市博物馆、开封市规划展示馆；综合评价环境状况较好。</v>
      </c>
      <c r="D25" s="450">
        <v>100</v>
      </c>
      <c r="E25" s="2959" t="s">
        <v>3265</v>
      </c>
      <c r="F25" s="450">
        <f>SUMIF(98:98,E26,99:99)-SUMIF(98:98,C26,99:99)+100</f>
        <v>100</v>
      </c>
      <c r="G25" s="2959" t="s">
        <v>3272</v>
      </c>
      <c r="H25" s="450">
        <f>SUMIF(98:98,G26,99:99)-SUMIF(98:98,C26,99:99)+100</f>
        <v>100</v>
      </c>
      <c r="I25" s="2959" t="s">
        <v>3278</v>
      </c>
      <c r="J25" s="450">
        <f>SUMIF(98:98,I26,99:99)-SUMIF(98:98,C26,99:99)+100</f>
        <v>100</v>
      </c>
      <c r="K25" s="673"/>
      <c r="L25" s="1143"/>
      <c r="M25" s="1134"/>
      <c r="N25" s="1134"/>
      <c r="O25" s="1142"/>
      <c r="P25" s="3221"/>
      <c r="Q25" s="1813" t="str">
        <f t="shared" si="8"/>
        <v>自然及人文环境状况</v>
      </c>
      <c r="R25" s="774" t="s">
        <v>17</v>
      </c>
      <c r="S25" s="775">
        <f>F25</f>
        <v>100</v>
      </c>
      <c r="T25" s="774" t="s">
        <v>17</v>
      </c>
      <c r="U25" s="775">
        <f>H25</f>
        <v>100</v>
      </c>
      <c r="V25" s="774" t="s">
        <v>17</v>
      </c>
      <c r="W25" s="775">
        <f>J25</f>
        <v>100</v>
      </c>
      <c r="X25" s="1816"/>
      <c r="Y25" s="3221"/>
      <c r="Z25" s="1817" t="str">
        <f>Q25</f>
        <v>自然及人文环境状况</v>
      </c>
      <c r="AA25" s="1814">
        <f t="shared" si="3"/>
        <v>1</v>
      </c>
      <c r="AB25" s="1814">
        <f t="shared" si="4"/>
        <v>1</v>
      </c>
      <c r="AC25" s="1814">
        <f t="shared" si="5"/>
        <v>1</v>
      </c>
    </row>
    <row r="26" spans="1:29" ht="15">
      <c r="A26" s="404"/>
      <c r="B26" s="456"/>
      <c r="C26" s="447" t="s">
        <v>3083</v>
      </c>
      <c r="D26" s="448"/>
      <c r="E26" s="2608" t="s">
        <v>3083</v>
      </c>
      <c r="F26" s="448"/>
      <c r="G26" s="2608" t="s">
        <v>3083</v>
      </c>
      <c r="H26" s="448"/>
      <c r="I26" s="447" t="s">
        <v>3083</v>
      </c>
      <c r="J26" s="448"/>
      <c r="K26" s="672"/>
      <c r="L26" s="1143"/>
      <c r="M26" s="1134"/>
      <c r="N26" s="1134"/>
      <c r="O26" s="1142"/>
      <c r="P26" s="3221"/>
      <c r="Q26" s="1813"/>
      <c r="R26" s="774"/>
      <c r="S26" s="775"/>
      <c r="T26" s="774"/>
      <c r="U26" s="775"/>
      <c r="V26" s="774"/>
      <c r="W26" s="775"/>
      <c r="X26" s="1816"/>
      <c r="Y26" s="3221"/>
      <c r="Z26" s="1817"/>
      <c r="AA26" s="1814">
        <v>1</v>
      </c>
      <c r="AB26" s="1814">
        <v>1</v>
      </c>
      <c r="AC26" s="1814">
        <v>1</v>
      </c>
    </row>
    <row r="27" spans="1:29" s="117" customFormat="1" ht="189.75">
      <c r="A27" s="649"/>
      <c r="B27" s="1387" t="s">
        <v>2645</v>
      </c>
      <c r="C27" s="2604" t="str">
        <f>估价对象房地状况!C21</f>
        <v>估价对象所在区域2公里范围内有：银行（中国银行、河南汴京农村商业银行），购物（大宏万达广场、和润超市），学校（二师附小、金明实验中学）等，无医院，公共配套设施齐备情况一般。</v>
      </c>
      <c r="D27" s="450">
        <v>100</v>
      </c>
      <c r="E27" s="452" t="s">
        <v>3266</v>
      </c>
      <c r="F27" s="450">
        <f>SUMIF(100:100,E28,101:101)-SUMIF(100:100,C28,101:101)+100</f>
        <v>98</v>
      </c>
      <c r="G27" s="452" t="s">
        <v>3273</v>
      </c>
      <c r="H27" s="450">
        <f>SUMIF(100:100,G28,101:101)-SUMIF(100:100,C28,101:101)+100</f>
        <v>102</v>
      </c>
      <c r="I27" s="452" t="s">
        <v>3279</v>
      </c>
      <c r="J27" s="450">
        <f>SUMIF(100:100,I28,101:101)-SUMIF(100:100,C28,101:101)+100</f>
        <v>102</v>
      </c>
      <c r="K27" s="673">
        <v>2</v>
      </c>
      <c r="L27" s="1135"/>
      <c r="M27" s="1136"/>
      <c r="N27" s="1136"/>
      <c r="O27" s="1137"/>
      <c r="P27" s="3221"/>
      <c r="Q27" s="1798" t="str">
        <f t="shared" si="8"/>
        <v>公共配套设施</v>
      </c>
      <c r="R27" s="770" t="s">
        <v>17</v>
      </c>
      <c r="S27" s="771">
        <f>F27</f>
        <v>98</v>
      </c>
      <c r="T27" s="770" t="s">
        <v>17</v>
      </c>
      <c r="U27" s="771">
        <f>H27</f>
        <v>102</v>
      </c>
      <c r="V27" s="770" t="s">
        <v>17</v>
      </c>
      <c r="W27" s="771">
        <f>J27</f>
        <v>102</v>
      </c>
      <c r="X27" s="772"/>
      <c r="Y27" s="3221"/>
      <c r="Z27" s="55" t="str">
        <f>Q27</f>
        <v>公共配套设施</v>
      </c>
      <c r="AA27" s="1814">
        <f>D27/F27</f>
        <v>1.0204081632653061</v>
      </c>
      <c r="AB27" s="1814">
        <f>D27/H27</f>
        <v>0.98039215686274506</v>
      </c>
      <c r="AC27" s="1814">
        <f>D27/J27</f>
        <v>0.98039215686274506</v>
      </c>
    </row>
    <row r="28" spans="1:29" s="117" customFormat="1" ht="15">
      <c r="A28" s="649"/>
      <c r="B28" s="456"/>
      <c r="C28" s="2696" t="s">
        <v>3084</v>
      </c>
      <c r="D28" s="448"/>
      <c r="E28" s="2608" t="s">
        <v>3104</v>
      </c>
      <c r="F28" s="448"/>
      <c r="G28" s="2608" t="s">
        <v>3083</v>
      </c>
      <c r="H28" s="448"/>
      <c r="I28" s="447" t="s">
        <v>3083</v>
      </c>
      <c r="J28" s="448"/>
      <c r="K28" s="672"/>
      <c r="L28" s="1135"/>
      <c r="M28" s="1136"/>
      <c r="N28" s="1136"/>
      <c r="O28" s="1137"/>
      <c r="P28" s="3221"/>
      <c r="Q28" s="1798"/>
      <c r="R28" s="770"/>
      <c r="S28" s="771"/>
      <c r="T28" s="770"/>
      <c r="U28" s="771"/>
      <c r="V28" s="770"/>
      <c r="W28" s="771"/>
      <c r="X28" s="772"/>
      <c r="Y28" s="3221"/>
      <c r="Z28" s="55"/>
      <c r="AA28" s="1814">
        <v>1</v>
      </c>
      <c r="AB28" s="1814">
        <v>1</v>
      </c>
      <c r="AC28" s="1814">
        <v>1</v>
      </c>
    </row>
    <row r="29" spans="1:29" s="117" customFormat="1" ht="42.75">
      <c r="A29" s="649"/>
      <c r="B29" s="1387" t="s">
        <v>2646</v>
      </c>
      <c r="C29" s="2604" t="str">
        <f>估价对象房地状况!C22</f>
        <v>估价对象所在区域基础设施水平达到“七通”。</v>
      </c>
      <c r="D29" s="450">
        <v>100</v>
      </c>
      <c r="E29" s="452" t="s">
        <v>3251</v>
      </c>
      <c r="F29" s="450">
        <f>SUMIF(102:102,E30,103:103)-SUMIF(102:102,C30,103:103)+100</f>
        <v>100</v>
      </c>
      <c r="G29" s="452" t="s">
        <v>3251</v>
      </c>
      <c r="H29" s="450">
        <f>SUMIF(102:102,G30,103:103)-SUMIF(102:102,C30,103:103)+100</f>
        <v>100</v>
      </c>
      <c r="I29" s="454" t="s">
        <v>3251</v>
      </c>
      <c r="J29" s="450">
        <f>SUMIF(102:102,I30,103:103)-SUMIF(102:102,C30,103:103)+100</f>
        <v>100</v>
      </c>
      <c r="K29" s="673"/>
      <c r="L29" s="1135"/>
      <c r="M29" s="1136"/>
      <c r="N29" s="1136"/>
      <c r="O29" s="1137"/>
      <c r="P29" s="3221"/>
      <c r="Q29" s="1798"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4">
        <f>D29/F29</f>
        <v>1</v>
      </c>
      <c r="AB29" s="1814">
        <f>D29/H29</f>
        <v>1</v>
      </c>
      <c r="AC29" s="1814">
        <f>D29/J29</f>
        <v>1</v>
      </c>
    </row>
    <row r="30" spans="1:29" s="117" customFormat="1" ht="15">
      <c r="A30" s="649"/>
      <c r="B30" s="456"/>
      <c r="C30" s="2696" t="s">
        <v>3079</v>
      </c>
      <c r="D30" s="448"/>
      <c r="E30" s="2696" t="s">
        <v>3079</v>
      </c>
      <c r="F30" s="448"/>
      <c r="G30" s="2696" t="s">
        <v>3079</v>
      </c>
      <c r="H30" s="448"/>
      <c r="I30" s="2696" t="s">
        <v>3079</v>
      </c>
      <c r="J30" s="448"/>
      <c r="K30" s="672"/>
      <c r="L30" s="1135"/>
      <c r="M30" s="1136"/>
      <c r="N30" s="1136"/>
      <c r="O30" s="1137"/>
      <c r="P30" s="3221"/>
      <c r="Q30" s="1798"/>
      <c r="R30" s="770"/>
      <c r="S30" s="771"/>
      <c r="T30" s="770"/>
      <c r="U30" s="771"/>
      <c r="V30" s="770"/>
      <c r="W30" s="771"/>
      <c r="X30" s="772"/>
      <c r="Y30" s="3221"/>
      <c r="Z30" s="55"/>
      <c r="AA30" s="1814">
        <v>1</v>
      </c>
      <c r="AB30" s="1814">
        <v>1</v>
      </c>
      <c r="AC30" s="1814">
        <v>1</v>
      </c>
    </row>
    <row r="31" spans="1:29" ht="15">
      <c r="A31" s="428"/>
      <c r="B31" s="456" t="s">
        <v>2647</v>
      </c>
      <c r="C31" s="616" t="s">
        <v>3250</v>
      </c>
      <c r="D31" s="435">
        <v>100</v>
      </c>
      <c r="E31" s="634" t="s">
        <v>3267</v>
      </c>
      <c r="F31" s="435">
        <f>SUMIF(104:104,E31,105:105)-SUMIF(104:104,C31,105:105)+100</f>
        <v>99.5</v>
      </c>
      <c r="G31" s="634" t="s">
        <v>3267</v>
      </c>
      <c r="H31" s="435">
        <f>SUMIF(104:104,G31,105:105)-SUMIF(104:104,C31,105:105)+100</f>
        <v>99.5</v>
      </c>
      <c r="I31" s="634" t="s">
        <v>3267</v>
      </c>
      <c r="J31" s="435">
        <f>SUMIF(104:104,I31,105:105)-SUMIF(104:104,C31,105:105)+100</f>
        <v>99.5</v>
      </c>
      <c r="K31" s="673">
        <v>0.5</v>
      </c>
      <c r="L31" s="1143"/>
      <c r="M31" s="1134"/>
      <c r="N31" s="1134"/>
      <c r="O31" s="1142"/>
      <c r="P31" s="3221"/>
      <c r="Q31" s="1813" t="str">
        <f t="shared" si="8"/>
        <v>临街状况</v>
      </c>
      <c r="R31" s="774" t="s">
        <v>17</v>
      </c>
      <c r="S31" s="775">
        <f t="shared" ref="S31:S45" si="10">F31</f>
        <v>99.5</v>
      </c>
      <c r="T31" s="774" t="s">
        <v>17</v>
      </c>
      <c r="U31" s="775">
        <f t="shared" ref="U31:U45" si="11">H31</f>
        <v>99.5</v>
      </c>
      <c r="V31" s="774" t="s">
        <v>17</v>
      </c>
      <c r="W31" s="775">
        <f t="shared" ref="W31:W45" si="12">J31</f>
        <v>99.5</v>
      </c>
      <c r="X31" s="1816"/>
      <c r="Y31" s="3221"/>
      <c r="Z31" s="1817" t="str">
        <f t="shared" ref="Z31:Z45" si="13">Q31</f>
        <v>临街状况</v>
      </c>
      <c r="AA31" s="1814">
        <f t="shared" si="3"/>
        <v>1.0050251256281406</v>
      </c>
      <c r="AB31" s="1814">
        <f t="shared" si="4"/>
        <v>1.0050251256281406</v>
      </c>
      <c r="AC31" s="1814">
        <f t="shared" si="5"/>
        <v>1.0050251256281406</v>
      </c>
    </row>
    <row r="32" spans="1:29" ht="27">
      <c r="A32" s="428"/>
      <c r="B32" s="1387" t="s">
        <v>2682</v>
      </c>
      <c r="C32" s="2950" t="s">
        <v>3260</v>
      </c>
      <c r="D32" s="450">
        <v>100</v>
      </c>
      <c r="E32" s="2959" t="s">
        <v>3268</v>
      </c>
      <c r="F32" s="450">
        <f>SUMIF(106:106,E33,107:107)-SUMIF(106:106,C33,107:107)+100</f>
        <v>100</v>
      </c>
      <c r="G32" s="2959" t="s">
        <v>3274</v>
      </c>
      <c r="H32" s="450">
        <f>SUMIF(106:106,G33,107:107)-SUMIF(106:106,C33,107:107)+100</f>
        <v>100.5</v>
      </c>
      <c r="I32" s="2950" t="s">
        <v>3280</v>
      </c>
      <c r="J32" s="450">
        <f>SUMIF(106:106,I33,107:107)-SUMIF(106:106,C33,107:107)+100</f>
        <v>100</v>
      </c>
      <c r="K32" s="673">
        <v>0.5</v>
      </c>
      <c r="L32" s="1143"/>
      <c r="M32" s="1134"/>
      <c r="N32" s="1134"/>
      <c r="O32" s="1142"/>
      <c r="P32" s="3221"/>
      <c r="Q32" s="1813" t="str">
        <f t="shared" si="8"/>
        <v>毗邻道路的类型与等级</v>
      </c>
      <c r="R32" s="774" t="s">
        <v>17</v>
      </c>
      <c r="S32" s="775">
        <f t="shared" si="10"/>
        <v>100</v>
      </c>
      <c r="T32" s="774" t="s">
        <v>17</v>
      </c>
      <c r="U32" s="775">
        <f t="shared" si="11"/>
        <v>100.5</v>
      </c>
      <c r="V32" s="774" t="s">
        <v>17</v>
      </c>
      <c r="W32" s="775">
        <f t="shared" si="12"/>
        <v>100</v>
      </c>
      <c r="X32" s="1816"/>
      <c r="Y32" s="3221"/>
      <c r="Z32" s="1817" t="str">
        <f t="shared" si="13"/>
        <v>毗邻道路的类型与等级</v>
      </c>
      <c r="AA32" s="1814">
        <f t="shared" si="3"/>
        <v>1</v>
      </c>
      <c r="AB32" s="1814">
        <f t="shared" si="4"/>
        <v>0.99502487562189057</v>
      </c>
      <c r="AC32" s="1814">
        <f t="shared" si="5"/>
        <v>1</v>
      </c>
    </row>
    <row r="33" spans="1:29" ht="15">
      <c r="A33" s="428"/>
      <c r="B33" s="456"/>
      <c r="C33" s="447" t="s">
        <v>3257</v>
      </c>
      <c r="D33" s="448"/>
      <c r="E33" s="2608" t="s">
        <v>3257</v>
      </c>
      <c r="F33" s="448"/>
      <c r="G33" s="2608" t="s">
        <v>3255</v>
      </c>
      <c r="H33" s="448"/>
      <c r="I33" s="447" t="s">
        <v>3257</v>
      </c>
      <c r="J33" s="448"/>
      <c r="K33" s="613"/>
      <c r="L33" s="1143"/>
      <c r="M33" s="1134"/>
      <c r="N33" s="1134"/>
      <c r="O33" s="1142"/>
      <c r="P33" s="3221"/>
      <c r="Q33" s="1813"/>
      <c r="R33" s="774"/>
      <c r="S33" s="775"/>
      <c r="T33" s="774"/>
      <c r="U33" s="775"/>
      <c r="V33" s="774"/>
      <c r="W33" s="775"/>
      <c r="X33" s="1816"/>
      <c r="Y33" s="3221"/>
      <c r="Z33" s="1817"/>
      <c r="AA33" s="1814">
        <v>1</v>
      </c>
      <c r="AB33" s="1814">
        <v>1</v>
      </c>
      <c r="AC33" s="1814">
        <v>1</v>
      </c>
    </row>
    <row r="34" spans="1:29" ht="15.75" thickBot="1">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1"/>
      <c r="Q34" s="1813" t="str">
        <f t="shared" si="8"/>
        <v>土地级别</v>
      </c>
      <c r="R34" s="774" t="s">
        <v>17</v>
      </c>
      <c r="S34" s="775">
        <f t="shared" si="10"/>
        <v>100</v>
      </c>
      <c r="T34" s="774" t="s">
        <v>17</v>
      </c>
      <c r="U34" s="775">
        <f t="shared" si="11"/>
        <v>100</v>
      </c>
      <c r="V34" s="774" t="s">
        <v>17</v>
      </c>
      <c r="W34" s="775">
        <f t="shared" si="12"/>
        <v>100</v>
      </c>
      <c r="X34" s="1816"/>
      <c r="Y34" s="3221"/>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1"/>
      <c r="Q35" s="1813">
        <f t="shared" si="8"/>
        <v>111</v>
      </c>
      <c r="R35" s="774" t="s">
        <v>17</v>
      </c>
      <c r="S35" s="775">
        <f t="shared" si="10"/>
        <v>100</v>
      </c>
      <c r="T35" s="774" t="s">
        <v>17</v>
      </c>
      <c r="U35" s="775">
        <f t="shared" si="11"/>
        <v>100</v>
      </c>
      <c r="V35" s="774" t="s">
        <v>17</v>
      </c>
      <c r="W35" s="775">
        <f t="shared" si="12"/>
        <v>100</v>
      </c>
      <c r="X35" s="1816"/>
      <c r="Y35" s="3221"/>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2" t="s">
        <v>2556</v>
      </c>
      <c r="Q36" s="1813">
        <f t="shared" si="8"/>
        <v>111</v>
      </c>
      <c r="R36" s="774" t="s">
        <v>17</v>
      </c>
      <c r="S36" s="775">
        <f t="shared" si="10"/>
        <v>100</v>
      </c>
      <c r="T36" s="774" t="s">
        <v>17</v>
      </c>
      <c r="U36" s="775">
        <f t="shared" si="11"/>
        <v>100</v>
      </c>
      <c r="V36" s="774" t="s">
        <v>17</v>
      </c>
      <c r="W36" s="775">
        <f t="shared" si="12"/>
        <v>100</v>
      </c>
      <c r="X36" s="1816"/>
      <c r="Y36" s="3223" t="s">
        <v>2556</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3"/>
      <c r="Q37" s="1813">
        <f t="shared" si="8"/>
        <v>111</v>
      </c>
      <c r="R37" s="777" t="s">
        <v>17</v>
      </c>
      <c r="S37" s="778">
        <f t="shared" si="10"/>
        <v>100</v>
      </c>
      <c r="T37" s="777" t="s">
        <v>17</v>
      </c>
      <c r="U37" s="778">
        <f t="shared" si="11"/>
        <v>100</v>
      </c>
      <c r="V37" s="777" t="s">
        <v>17</v>
      </c>
      <c r="W37" s="778">
        <f t="shared" si="12"/>
        <v>100</v>
      </c>
      <c r="X37" s="779"/>
      <c r="Y37" s="3223"/>
      <c r="Z37" s="780">
        <f t="shared" si="13"/>
        <v>111</v>
      </c>
      <c r="AA37" s="1814">
        <f t="shared" si="3"/>
        <v>1</v>
      </c>
      <c r="AB37" s="1814">
        <f t="shared" si="4"/>
        <v>1</v>
      </c>
      <c r="AC37" s="1814">
        <f t="shared" si="5"/>
        <v>1</v>
      </c>
    </row>
    <row r="38" spans="1:29" ht="15">
      <c r="A38" s="472" t="s">
        <v>2554</v>
      </c>
      <c r="B38" s="456" t="s">
        <v>2742</v>
      </c>
      <c r="C38" s="679">
        <f>63408.37+61995.08</f>
        <v>125403.45000000001</v>
      </c>
      <c r="D38" s="467">
        <v>100</v>
      </c>
      <c r="E38" s="679">
        <v>26311</v>
      </c>
      <c r="F38" s="467">
        <f>LOOKUP(E38,117:117,118:118)-LOOKUP(C38,117:117,118:118)+100</f>
        <v>98</v>
      </c>
      <c r="G38" s="679">
        <v>22827.599999999999</v>
      </c>
      <c r="H38" s="467">
        <f>LOOKUP(G38,117:117,118:118)-LOOKUP(C38,117:117,118:118)+100</f>
        <v>98</v>
      </c>
      <c r="I38" s="530">
        <v>31638.6</v>
      </c>
      <c r="J38" s="467">
        <f>LOOKUP(I38,117:117,118:118)-LOOKUP(C38,117:117,118:118)+100</f>
        <v>98</v>
      </c>
      <c r="K38" s="613"/>
      <c r="L38" s="1143"/>
      <c r="M38" s="1134"/>
      <c r="N38" s="1134"/>
      <c r="O38" s="1142"/>
      <c r="P38" s="3223"/>
      <c r="Q38" s="1813" t="str">
        <f>B38</f>
        <v>宗地面积</v>
      </c>
      <c r="R38" s="774" t="s">
        <v>17</v>
      </c>
      <c r="S38" s="775">
        <f t="shared" si="10"/>
        <v>98</v>
      </c>
      <c r="T38" s="774" t="s">
        <v>17</v>
      </c>
      <c r="U38" s="775">
        <f t="shared" si="11"/>
        <v>98</v>
      </c>
      <c r="V38" s="774" t="s">
        <v>17</v>
      </c>
      <c r="W38" s="775">
        <f t="shared" si="12"/>
        <v>98</v>
      </c>
      <c r="X38" s="1816"/>
      <c r="Y38" s="3223"/>
      <c r="Z38" s="1817" t="str">
        <f t="shared" si="13"/>
        <v>宗地面积</v>
      </c>
      <c r="AA38" s="1814">
        <f t="shared" si="3"/>
        <v>1.0204081632653061</v>
      </c>
      <c r="AB38" s="1814">
        <f t="shared" si="4"/>
        <v>1.0204081632653061</v>
      </c>
      <c r="AC38" s="1814">
        <f t="shared" si="5"/>
        <v>1.0204081632653061</v>
      </c>
    </row>
    <row r="39" spans="1:29" ht="15">
      <c r="A39" s="472"/>
      <c r="B39" s="422" t="s">
        <v>2743</v>
      </c>
      <c r="C39" s="2610" t="s">
        <v>3244</v>
      </c>
      <c r="D39" s="435">
        <v>100</v>
      </c>
      <c r="E39" s="2610" t="s">
        <v>3244</v>
      </c>
      <c r="F39" s="435">
        <f>SUMIF(119:119,E39,120:120)-SUMIF(119:119,C39,120:120)+100</f>
        <v>100</v>
      </c>
      <c r="G39" s="2610" t="s">
        <v>3244</v>
      </c>
      <c r="H39" s="435">
        <f>SUMIF(119:119,G39,120:120)-SUMIF(119:119,C39,120:120)+100</f>
        <v>100</v>
      </c>
      <c r="I39" s="2610" t="s">
        <v>3244</v>
      </c>
      <c r="J39" s="435">
        <f>SUMIF(119:119,I39,120:120)-SUMIF(119:119,C39,120:120)+100</f>
        <v>100</v>
      </c>
      <c r="K39" s="612"/>
      <c r="L39" s="1143"/>
      <c r="M39" s="1134"/>
      <c r="N39" s="1134"/>
      <c r="O39" s="1142"/>
      <c r="P39" s="3223"/>
      <c r="Q39" s="1813" t="str">
        <f t="shared" ref="Q39:Q45" si="14">B39</f>
        <v>宗地形状</v>
      </c>
      <c r="R39" s="774" t="s">
        <v>17</v>
      </c>
      <c r="S39" s="775">
        <f t="shared" si="10"/>
        <v>100</v>
      </c>
      <c r="T39" s="774" t="s">
        <v>17</v>
      </c>
      <c r="U39" s="775">
        <f t="shared" si="11"/>
        <v>100</v>
      </c>
      <c r="V39" s="774" t="s">
        <v>17</v>
      </c>
      <c r="W39" s="775">
        <f t="shared" si="12"/>
        <v>100</v>
      </c>
      <c r="X39" s="1816"/>
      <c r="Y39" s="3223"/>
      <c r="Z39" s="1817" t="str">
        <f t="shared" si="13"/>
        <v>宗地形状</v>
      </c>
      <c r="AA39" s="1814">
        <f t="shared" si="3"/>
        <v>1</v>
      </c>
      <c r="AB39" s="1814">
        <f t="shared" si="4"/>
        <v>1</v>
      </c>
      <c r="AC39" s="1814">
        <f t="shared" si="5"/>
        <v>1</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3"/>
      <c r="M40" s="1134"/>
      <c r="N40" s="1134"/>
      <c r="O40" s="1142"/>
      <c r="P40" s="3223"/>
      <c r="Q40" s="1813" t="str">
        <f t="shared" si="14"/>
        <v>临街宽度及深度</v>
      </c>
      <c r="R40" s="774" t="s">
        <v>17</v>
      </c>
      <c r="S40" s="775">
        <f t="shared" si="10"/>
        <v>100</v>
      </c>
      <c r="T40" s="774" t="s">
        <v>17</v>
      </c>
      <c r="U40" s="775">
        <f t="shared" si="11"/>
        <v>100</v>
      </c>
      <c r="V40" s="774" t="s">
        <v>17</v>
      </c>
      <c r="W40" s="775">
        <f t="shared" si="12"/>
        <v>100</v>
      </c>
      <c r="X40" s="1816"/>
      <c r="Y40" s="3223"/>
      <c r="Z40" s="1817" t="str">
        <f t="shared" si="13"/>
        <v>临街宽度及深度</v>
      </c>
      <c r="AA40" s="1814">
        <f t="shared" si="3"/>
        <v>1</v>
      </c>
      <c r="AB40" s="1814">
        <f t="shared" si="4"/>
        <v>1</v>
      </c>
      <c r="AC40" s="1814">
        <f t="shared" si="5"/>
        <v>1</v>
      </c>
    </row>
    <row r="41" spans="1:29" s="117" customFormat="1" ht="15">
      <c r="A41" s="473"/>
      <c r="B41" s="422" t="s">
        <v>2745</v>
      </c>
      <c r="C41" s="2698" t="s">
        <v>3079</v>
      </c>
      <c r="D41" s="136">
        <v>100</v>
      </c>
      <c r="E41" s="2698" t="s">
        <v>3241</v>
      </c>
      <c r="F41" s="435">
        <f>SUMIF(123:123,E41,124:124)-SUMIF(123:123,C41,124:124)+100</f>
        <v>96</v>
      </c>
      <c r="G41" s="2698" t="s">
        <v>3241</v>
      </c>
      <c r="H41" s="435">
        <f>SUMIF(123:123,G41,124:124)-SUMIF(123:123,C41,124:124)+100</f>
        <v>96</v>
      </c>
      <c r="I41" s="2698" t="s">
        <v>3238</v>
      </c>
      <c r="J41" s="435">
        <f>SUMIF(123:123,I41,124:124)-SUMIF(123:123,C41,124:124)+100</f>
        <v>98</v>
      </c>
      <c r="K41" s="612">
        <v>1</v>
      </c>
      <c r="L41" s="1135"/>
      <c r="M41" s="1136"/>
      <c r="N41" s="1136"/>
      <c r="O41" s="1137"/>
      <c r="P41" s="3223"/>
      <c r="Q41" s="1813" t="str">
        <f t="shared" si="14"/>
        <v>宗地开发程度</v>
      </c>
      <c r="R41" s="770" t="s">
        <v>17</v>
      </c>
      <c r="S41" s="771">
        <f t="shared" si="10"/>
        <v>96</v>
      </c>
      <c r="T41" s="770" t="s">
        <v>17</v>
      </c>
      <c r="U41" s="771">
        <f t="shared" si="11"/>
        <v>96</v>
      </c>
      <c r="V41" s="770" t="s">
        <v>17</v>
      </c>
      <c r="W41" s="771">
        <f t="shared" si="12"/>
        <v>98</v>
      </c>
      <c r="X41" s="772"/>
      <c r="Y41" s="3223"/>
      <c r="Z41" s="55" t="str">
        <f t="shared" si="13"/>
        <v>宗地开发程度</v>
      </c>
      <c r="AA41" s="773">
        <f t="shared" si="3"/>
        <v>1.0416666666666667</v>
      </c>
      <c r="AB41" s="773">
        <f t="shared" si="4"/>
        <v>1.0416666666666667</v>
      </c>
      <c r="AC41" s="773">
        <f t="shared" si="5"/>
        <v>1.0204081632653061</v>
      </c>
    </row>
    <row r="42" spans="1:29" ht="15.75" thickBot="1">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3"/>
      <c r="M42" s="1134"/>
      <c r="N42" s="1134"/>
      <c r="O42" s="1142"/>
      <c r="P42" s="3223" t="s">
        <v>2556</v>
      </c>
      <c r="Q42" s="1813" t="str">
        <f t="shared" si="14"/>
        <v>工程地质条件</v>
      </c>
      <c r="R42" s="774" t="s">
        <v>17</v>
      </c>
      <c r="S42" s="775">
        <f t="shared" si="10"/>
        <v>100</v>
      </c>
      <c r="T42" s="774" t="s">
        <v>17</v>
      </c>
      <c r="U42" s="775">
        <f t="shared" si="11"/>
        <v>100</v>
      </c>
      <c r="V42" s="774" t="s">
        <v>17</v>
      </c>
      <c r="W42" s="775">
        <f t="shared" si="12"/>
        <v>100</v>
      </c>
      <c r="X42" s="1816"/>
      <c r="Y42" s="3223" t="s">
        <v>2556</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3"/>
      <c r="Q43" s="1813">
        <f t="shared" si="14"/>
        <v>111</v>
      </c>
      <c r="R43" s="774" t="s">
        <v>17</v>
      </c>
      <c r="S43" s="775">
        <f t="shared" si="10"/>
        <v>100</v>
      </c>
      <c r="T43" s="774" t="s">
        <v>17</v>
      </c>
      <c r="U43" s="775">
        <f t="shared" si="11"/>
        <v>100</v>
      </c>
      <c r="V43" s="774" t="s">
        <v>17</v>
      </c>
      <c r="W43" s="775">
        <f t="shared" si="12"/>
        <v>100</v>
      </c>
      <c r="X43" s="1816"/>
      <c r="Y43" s="3223"/>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3"/>
      <c r="Q44" s="1813">
        <f t="shared" si="14"/>
        <v>111</v>
      </c>
      <c r="R44" s="774" t="s">
        <v>17</v>
      </c>
      <c r="S44" s="775">
        <f t="shared" si="10"/>
        <v>100</v>
      </c>
      <c r="T44" s="774" t="s">
        <v>17</v>
      </c>
      <c r="U44" s="775">
        <f t="shared" si="11"/>
        <v>100</v>
      </c>
      <c r="V44" s="774" t="s">
        <v>17</v>
      </c>
      <c r="W44" s="775">
        <f t="shared" si="12"/>
        <v>100</v>
      </c>
      <c r="X44" s="1816"/>
      <c r="Y44" s="3223"/>
      <c r="Z44" s="1817">
        <f t="shared" si="13"/>
        <v>111</v>
      </c>
      <c r="AA44" s="1814">
        <f t="shared" si="3"/>
        <v>1</v>
      </c>
      <c r="AB44" s="1814">
        <f t="shared" si="4"/>
        <v>1</v>
      </c>
      <c r="AC44" s="1814">
        <f t="shared" si="5"/>
        <v>1</v>
      </c>
    </row>
    <row r="45" spans="1:29" s="471" customFormat="1" ht="15.75" hidden="1"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3"/>
      <c r="Q45" s="1813">
        <f t="shared" si="14"/>
        <v>111</v>
      </c>
      <c r="R45" s="777" t="s">
        <v>17</v>
      </c>
      <c r="S45" s="778">
        <f t="shared" si="10"/>
        <v>100</v>
      </c>
      <c r="T45" s="777" t="s">
        <v>17</v>
      </c>
      <c r="U45" s="778">
        <f t="shared" si="11"/>
        <v>100</v>
      </c>
      <c r="V45" s="777" t="s">
        <v>17</v>
      </c>
      <c r="W45" s="778">
        <f t="shared" si="12"/>
        <v>100</v>
      </c>
      <c r="X45" s="779"/>
      <c r="Y45" s="3223"/>
      <c r="Z45" s="780">
        <f t="shared" si="13"/>
        <v>111</v>
      </c>
      <c r="AA45" s="1814">
        <f t="shared" si="3"/>
        <v>1</v>
      </c>
      <c r="AB45" s="1814">
        <f t="shared" si="4"/>
        <v>1</v>
      </c>
      <c r="AC45" s="1814">
        <f t="shared" si="5"/>
        <v>1</v>
      </c>
    </row>
    <row r="46" spans="1:29" ht="15">
      <c r="A46" s="479" t="s">
        <v>2711</v>
      </c>
      <c r="B46" s="2700" t="s">
        <v>2747</v>
      </c>
      <c r="C46" s="682" t="s">
        <v>1</v>
      </c>
      <c r="D46" s="481"/>
      <c r="E46" s="482">
        <v>2846</v>
      </c>
      <c r="F46" s="483"/>
      <c r="G46" s="484">
        <v>2508</v>
      </c>
      <c r="H46" s="485"/>
      <c r="I46" s="482">
        <v>2737</v>
      </c>
      <c r="J46" s="485"/>
      <c r="K46" s="783"/>
      <c r="L46" s="1146"/>
      <c r="M46" s="1147"/>
      <c r="N46" s="1134"/>
      <c r="O46" s="1147"/>
      <c r="P46" s="3218" t="str">
        <f>A46</f>
        <v>成交单价</v>
      </c>
      <c r="Q46" s="3218"/>
      <c r="R46" s="3224">
        <f>E46</f>
        <v>2846</v>
      </c>
      <c r="S46" s="3224"/>
      <c r="T46" s="3224">
        <f>G46</f>
        <v>2508</v>
      </c>
      <c r="U46" s="3224"/>
      <c r="V46" s="3224">
        <f>I46</f>
        <v>2737</v>
      </c>
      <c r="W46" s="3224"/>
      <c r="X46" s="759"/>
      <c r="Y46" s="781"/>
      <c r="Z46" s="759"/>
      <c r="AA46" s="759"/>
      <c r="AB46" s="759"/>
      <c r="AC46" s="759"/>
    </row>
    <row r="47" spans="1:29" ht="15.75" thickBot="1">
      <c r="A47" s="486" t="s">
        <v>2660</v>
      </c>
      <c r="B47" s="683"/>
      <c r="C47" s="490">
        <f>R48</f>
        <v>2893</v>
      </c>
      <c r="D47" s="489"/>
      <c r="E47" s="490">
        <f>R47</f>
        <v>3142</v>
      </c>
      <c r="F47" s="491"/>
      <c r="G47" s="488">
        <f>T47</f>
        <v>2669</v>
      </c>
      <c r="H47" s="489"/>
      <c r="I47" s="490">
        <f>V47</f>
        <v>2868</v>
      </c>
      <c r="J47" s="489"/>
      <c r="K47" s="784"/>
      <c r="L47" s="1146"/>
      <c r="M47" s="1147"/>
      <c r="N47" s="1147"/>
      <c r="O47" s="1147"/>
      <c r="P47" s="3218" t="str">
        <f>A47</f>
        <v>比较价值（元/平方米）</v>
      </c>
      <c r="Q47" s="3218"/>
      <c r="R47" s="3211">
        <f>ROUND(PRODUCT(R46,AA7:AA45),0)</f>
        <v>3142</v>
      </c>
      <c r="S47" s="3211"/>
      <c r="T47" s="3211">
        <f>ROUND(PRODUCT(T46,AB7:AB45),0)</f>
        <v>2669</v>
      </c>
      <c r="U47" s="3211"/>
      <c r="V47" s="3211">
        <f>ROUND(PRODUCT(V46,AC7:AC45),0)</f>
        <v>2868</v>
      </c>
      <c r="W47" s="3211"/>
      <c r="X47" s="759"/>
      <c r="Y47" s="759"/>
      <c r="Z47" s="759"/>
      <c r="AA47" s="759"/>
      <c r="AB47" s="759"/>
      <c r="AC47" s="759"/>
    </row>
    <row r="48" spans="1:29" ht="15.75" thickBot="1">
      <c r="A48" s="492" t="s">
        <v>2748</v>
      </c>
      <c r="B48" s="493"/>
      <c r="C48" s="494">
        <f>R48</f>
        <v>2893</v>
      </c>
      <c r="D48" s="494"/>
      <c r="E48" s="494"/>
      <c r="F48" s="494"/>
      <c r="G48" s="494"/>
      <c r="H48" s="494"/>
      <c r="I48" s="494"/>
      <c r="J48" s="494"/>
      <c r="K48" s="785"/>
      <c r="L48" s="1146"/>
      <c r="M48" s="1147"/>
      <c r="N48" s="1147"/>
      <c r="O48" s="1147"/>
      <c r="P48" s="3212" t="str">
        <f>A48</f>
        <v>估价对象XX用房的比较价值（楼面单价，元/平方米）</v>
      </c>
      <c r="Q48" s="3213"/>
      <c r="R48" s="3214">
        <f>ROUND(AVERAGE(R47:V47),0)</f>
        <v>2893</v>
      </c>
      <c r="S48" s="3214"/>
      <c r="T48" s="3214"/>
      <c r="U48" s="3214"/>
      <c r="V48" s="3214"/>
      <c r="W48" s="321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0.10400562192550944</v>
      </c>
      <c r="F51" s="500" t="str">
        <f>IF(OR(E51&gt;=0.3,E51&lt;=-0.3),"超过30%","")</f>
        <v/>
      </c>
      <c r="G51" s="499">
        <f>IF(G46&lt;G47,G47/G46-1,G46/G47-1)</f>
        <v>6.4194577352472137E-2</v>
      </c>
      <c r="H51" s="500" t="str">
        <f>IF(OR(G51&gt;=0.3,G51&lt;=-0.3),"超过30%","")</f>
        <v/>
      </c>
      <c r="I51" s="499">
        <f>IF(I46&lt;I47,I47/I46-1,I46/I47-1)</f>
        <v>4.7862623310193753E-2</v>
      </c>
      <c r="J51" s="500" t="str">
        <f>IF(OR(I51&gt;=0.3,I51&lt;=-0.3),"超过30%","")</f>
        <v/>
      </c>
      <c r="K51" s="1108"/>
      <c r="L51" s="1109"/>
      <c r="M51" s="1147"/>
      <c r="N51" s="1147"/>
      <c r="O51" s="1147"/>
    </row>
    <row r="52" spans="1:15" ht="13.5" customHeight="1">
      <c r="A52" s="1147"/>
      <c r="B52" s="1147"/>
      <c r="C52" s="497" t="s">
        <v>2663</v>
      </c>
      <c r="D52" s="501"/>
      <c r="E52" s="499">
        <f>IF(E47&lt;G47,G47/E47-1,E47/G47-1)</f>
        <v>0.17721993255901092</v>
      </c>
      <c r="F52" s="500" t="str">
        <f>IF(OR(E52&gt;=0.2,E52&lt;=-0.2),"超过20%","")</f>
        <v/>
      </c>
      <c r="G52" s="499">
        <f>IF(G47&lt;I47,I47/G47-1,G47/I47-1)</f>
        <v>7.4559760209816472E-2</v>
      </c>
      <c r="H52" s="500" t="str">
        <f>IF(OR(G52&gt;=0.2,G52&lt;=-0.2),"超过20%","")</f>
        <v/>
      </c>
      <c r="I52" s="499">
        <f>IF(I47&lt;E47,E47/I47-1,I47/E47-1)</f>
        <v>9.5536959553695899E-2</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0.13476874003189798</v>
      </c>
      <c r="F53" s="500" t="str">
        <f>IF(OR(E53&gt;=0.3,E53&lt;=-0.3),"超过30%","")</f>
        <v/>
      </c>
      <c r="G53" s="499">
        <f>IF(G46&lt;I46,I46/G46-1,G46/I46-1)</f>
        <v>9.1307814992025449E-2</v>
      </c>
      <c r="H53" s="500" t="str">
        <f>IF(OR(G53&gt;=0.3,G53&lt;=-0.3),"超过30%","")</f>
        <v/>
      </c>
      <c r="I53" s="499">
        <f>IF(I46&lt;E46,E46/I46-1,I46/E46-1)</f>
        <v>3.9824625502374866E-2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1" t="s">
        <v>2751</v>
      </c>
      <c r="D55" s="2702" t="s">
        <v>2752</v>
      </c>
      <c r="E55" s="686" t="s">
        <v>2753</v>
      </c>
      <c r="F55" s="1110" t="s">
        <v>2754</v>
      </c>
      <c r="G55" s="3215" t="s">
        <v>2755</v>
      </c>
      <c r="H55" s="3216"/>
      <c r="I55" s="144" t="s">
        <v>2756</v>
      </c>
      <c r="J55" s="2703" t="str">
        <f>项目基本情况!F35</f>
        <v>河南省开封市</v>
      </c>
      <c r="K55" s="2704" t="s">
        <v>2757</v>
      </c>
      <c r="L55" s="1109"/>
      <c r="M55" s="1147"/>
      <c r="N55" s="1147"/>
      <c r="O55" s="1147"/>
    </row>
    <row r="56" spans="1:15" s="692" customFormat="1">
      <c r="A56" s="688" t="s">
        <v>2758</v>
      </c>
      <c r="B56" s="689">
        <f>C48</f>
        <v>2893</v>
      </c>
      <c r="C56" s="690">
        <v>1</v>
      </c>
      <c r="D56" s="1166">
        <v>1</v>
      </c>
      <c r="E56" s="690">
        <f>'数据-汇总表'!E8+'数据-汇总表'!E9</f>
        <v>5274.8599999999988</v>
      </c>
      <c r="F56" s="1106">
        <f t="shared" ref="F56:F65" si="15">ROUND(B56*E56/10000,0)</f>
        <v>1526</v>
      </c>
      <c r="G56" s="3217"/>
      <c r="H56" s="3218"/>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219"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219"/>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219"/>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219"/>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05"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05"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06"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5274.8599999999988</v>
      </c>
      <c r="F66" s="697">
        <f>IF(B46="楼面地价",SUM(F56:F65),ROUND(C48*E66/10000,0))</f>
        <v>1526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07" t="s">
        <v>2773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08" t="s">
        <v>2774</v>
      </c>
      <c r="B71" s="332" t="str">
        <f>"北京市平均增长率"&amp;TEXT(SUMIF(基准地价修正!N21:N25,A71,基准地价修正!P21:P25),"0.00%")</f>
        <v>北京市平均增长率2.45%</v>
      </c>
      <c r="C71" s="603">
        <v>100</v>
      </c>
      <c r="D71" s="595">
        <v>98</v>
      </c>
      <c r="E71" s="595">
        <v>96</v>
      </c>
      <c r="F71" s="595">
        <v>94</v>
      </c>
      <c r="G71" s="595">
        <v>92</v>
      </c>
      <c r="H71" s="595">
        <v>90</v>
      </c>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2957" t="s">
        <v>3235</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99.5</v>
      </c>
      <c r="E105" s="544">
        <f t="shared" ref="E105:M105" si="22">D105-$K31</f>
        <v>99</v>
      </c>
      <c r="F105" s="544">
        <f t="shared" si="22"/>
        <v>98.5</v>
      </c>
      <c r="G105" s="544">
        <f t="shared" si="22"/>
        <v>98</v>
      </c>
      <c r="H105" s="544">
        <f t="shared" si="22"/>
        <v>97.5</v>
      </c>
      <c r="I105" s="544">
        <f t="shared" si="22"/>
        <v>97</v>
      </c>
      <c r="J105" s="544">
        <f t="shared" si="22"/>
        <v>96.5</v>
      </c>
      <c r="K105" s="544">
        <f t="shared" si="22"/>
        <v>96</v>
      </c>
      <c r="L105" s="544">
        <f t="shared" si="22"/>
        <v>95.5</v>
      </c>
      <c r="M105" s="544">
        <f t="shared" si="22"/>
        <v>95</v>
      </c>
      <c r="N105" s="1156"/>
      <c r="O105" s="1156"/>
      <c r="P105" s="45"/>
      <c r="Q105" s="504"/>
    </row>
    <row r="106" spans="1:17" ht="27.75" thickTop="1">
      <c r="A106" s="534"/>
      <c r="B106" s="538" t="s">
        <v>2682</v>
      </c>
      <c r="C106" s="2943" t="s">
        <v>3253</v>
      </c>
      <c r="D106" s="2943" t="s">
        <v>3254</v>
      </c>
      <c r="E106" s="2943" t="s">
        <v>3256</v>
      </c>
      <c r="F106" s="2943" t="s">
        <v>3258</v>
      </c>
      <c r="G106" s="2943" t="s">
        <v>3259</v>
      </c>
      <c r="H106" s="583"/>
      <c r="I106" s="583"/>
      <c r="J106" s="583"/>
      <c r="K106" s="584"/>
      <c r="L106" s="585"/>
      <c r="M106" s="586"/>
      <c r="N106" s="1155"/>
      <c r="O106" s="1155"/>
      <c r="P106" s="45"/>
      <c r="Q106" s="504"/>
    </row>
    <row r="107" spans="1:17" ht="15.75" thickBot="1">
      <c r="A107" s="534"/>
      <c r="B107" s="543"/>
      <c r="C107" s="544">
        <v>100</v>
      </c>
      <c r="D107" s="544">
        <f>C107-$K32</f>
        <v>99.5</v>
      </c>
      <c r="E107" s="544">
        <f t="shared" ref="E107:M107" si="23">D107-$K32</f>
        <v>99</v>
      </c>
      <c r="F107" s="544">
        <f t="shared" si="23"/>
        <v>98.5</v>
      </c>
      <c r="G107" s="544">
        <f t="shared" si="23"/>
        <v>98</v>
      </c>
      <c r="H107" s="544">
        <f t="shared" si="23"/>
        <v>97.5</v>
      </c>
      <c r="I107" s="544">
        <f t="shared" si="23"/>
        <v>97</v>
      </c>
      <c r="J107" s="544">
        <f t="shared" si="23"/>
        <v>96.5</v>
      </c>
      <c r="K107" s="544">
        <f t="shared" si="23"/>
        <v>96</v>
      </c>
      <c r="L107" s="544">
        <f t="shared" si="23"/>
        <v>95.5</v>
      </c>
      <c r="M107" s="544">
        <f t="shared" si="23"/>
        <v>95</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2554</v>
      </c>
      <c r="B116" s="528" t="s">
        <v>2782</v>
      </c>
      <c r="C116" s="529" t="str">
        <f>C117&amp;"(含)"&amp;"-"&amp;D117</f>
        <v>0(含)-50000</v>
      </c>
      <c r="D116" s="529" t="str">
        <f t="shared" ref="D116:M116" si="25">D117&amp;"(含)"&amp;"-"&amp;E117</f>
        <v>50000(含)-100000</v>
      </c>
      <c r="E116" s="529" t="str">
        <f t="shared" si="25"/>
        <v>100000(含)-150000</v>
      </c>
      <c r="F116" s="529" t="str">
        <f t="shared" si="25"/>
        <v>150000(含)-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2783</v>
      </c>
      <c r="C119" s="2944" t="s">
        <v>3243</v>
      </c>
      <c r="D119" s="2944" t="s">
        <v>3245</v>
      </c>
      <c r="E119" s="2944" t="s">
        <v>3246</v>
      </c>
      <c r="F119" s="2944" t="s">
        <v>3247</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43" t="s">
        <v>3236</v>
      </c>
      <c r="D123" s="2943" t="s">
        <v>3237</v>
      </c>
      <c r="E123" s="2943" t="s">
        <v>3239</v>
      </c>
      <c r="F123" s="2943" t="s">
        <v>3240</v>
      </c>
      <c r="G123" s="2943" t="s">
        <v>3242</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9</v>
      </c>
    </row>
    <row r="2" spans="1:33" ht="18" customHeight="1">
      <c r="A2" s="245" t="s">
        <v>2321</v>
      </c>
      <c r="B2" s="248">
        <f ca="1">C32</f>
        <v>3299</v>
      </c>
      <c r="C2" s="320" t="s">
        <v>2454</v>
      </c>
      <c r="D2" s="320"/>
      <c r="E2" s="320"/>
      <c r="F2" s="320"/>
      <c r="G2" s="320"/>
      <c r="H2" s="320"/>
      <c r="I2" s="320"/>
      <c r="J2" s="320"/>
      <c r="K2" s="320"/>
    </row>
    <row r="3" spans="1:33" ht="18" customHeight="1" thickBot="1">
      <c r="A3" s="247" t="s">
        <v>2323</v>
      </c>
      <c r="B3" s="248">
        <f ca="1">ROUND(B2*10000/IF(C1="",'数据-汇总表'!E3,INDIRECT("'数据-取费表'!K"&amp;$K$1)),0)</f>
        <v>6254</v>
      </c>
      <c r="C3" s="320" t="s">
        <v>2455</v>
      </c>
      <c r="D3" s="320"/>
      <c r="E3" s="320"/>
      <c r="F3" s="320"/>
      <c r="G3" s="320"/>
      <c r="H3" s="320"/>
      <c r="I3" s="320"/>
      <c r="J3" s="320"/>
      <c r="K3" s="320"/>
    </row>
    <row r="4" spans="1:33" s="959" customFormat="1" ht="16.5" customHeight="1">
      <c r="A4" s="956" t="s">
        <v>2456</v>
      </c>
      <c r="B4" s="957"/>
      <c r="C4" s="999">
        <f ca="1">SUM(C8:K8)</f>
        <v>3663</v>
      </c>
      <c r="D4" s="957"/>
      <c r="E4" s="957"/>
      <c r="F4" s="957"/>
      <c r="G4" s="957"/>
      <c r="H4" s="957"/>
      <c r="I4" s="957"/>
      <c r="J4" s="957"/>
      <c r="K4" s="958"/>
    </row>
    <row r="5" spans="1:33" s="963" customFormat="1" ht="15">
      <c r="A5" s="960" t="s">
        <v>2457</v>
      </c>
      <c r="B5" s="961" t="s">
        <v>2458</v>
      </c>
      <c r="C5" s="2552" t="s">
        <v>3066</v>
      </c>
      <c r="D5" s="2552" t="s">
        <v>1377</v>
      </c>
      <c r="E5" s="2552" t="s">
        <v>48</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f>'比较法-住宅'!B3</f>
        <v>10183</v>
      </c>
      <c r="D6" s="965">
        <f>'比较法-商业'!B3</f>
        <v>13627</v>
      </c>
      <c r="E6" s="965">
        <f ca="1">'收益法（住宅）'!B3</f>
        <v>9421</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1805.619999999999</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2462</v>
      </c>
      <c r="B8" s="177" t="s">
        <v>2463</v>
      </c>
      <c r="C8" s="1000">
        <f>'比较法-住宅'!B2</f>
        <v>1839</v>
      </c>
      <c r="D8" s="1000">
        <f>'比较法-商业'!B2</f>
        <v>123</v>
      </c>
      <c r="E8" s="1000">
        <f ca="1">'收益法（住宅）'!B2</f>
        <v>1701</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0.03</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5274.8599999999988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5274.8599999999988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40</v>
      </c>
      <c r="D18" s="1036"/>
      <c r="E18" s="24"/>
      <c r="F18" s="979"/>
      <c r="G18" s="2554"/>
      <c r="H18" s="1580"/>
      <c r="I18" s="2555" t="s">
        <v>2484</v>
      </c>
      <c r="J18" s="982"/>
      <c r="K18" s="983"/>
    </row>
    <row r="19" spans="1:33" s="978" customFormat="1" ht="13.5" customHeight="1">
      <c r="A19" s="974" t="s">
        <v>805</v>
      </c>
      <c r="B19" s="975" t="s">
        <v>2485</v>
      </c>
      <c r="C19" s="24">
        <f ca="1">ROUND(D19*E19/10000,0)</f>
        <v>22</v>
      </c>
      <c r="D19" s="1036">
        <f ca="1">IF(C1="",'数据-汇总表'!E5,IF(INDIRECT("'数据-取费表'!c"&amp;$K$1)="住宅",INDIRECT("'数据-取费表'!k"&amp;$K$1),0))</f>
        <v>1805.619999999999</v>
      </c>
      <c r="E19" s="24">
        <f>'数据-取费表'!B27</f>
        <v>120</v>
      </c>
      <c r="F19" s="979"/>
      <c r="G19" s="15"/>
      <c r="H19" s="1582"/>
      <c r="I19" s="984"/>
      <c r="J19" s="984"/>
      <c r="K19" s="985"/>
    </row>
    <row r="20" spans="1:33" s="978" customFormat="1" ht="13.5" customHeight="1">
      <c r="A20" s="974" t="s">
        <v>806</v>
      </c>
      <c r="B20" s="975" t="s">
        <v>2486</v>
      </c>
      <c r="C20" s="24">
        <f ca="1">ROUND(D20*E20/10000,0)</f>
        <v>18</v>
      </c>
      <c r="D20" s="1036">
        <f ca="1">IF(C1="",'数据-汇总表'!E6,IF(INDIRECT("'数据-取费表'!c"&amp;$K$1)="住宅",INDIRECT("'数据-取费表'!s"&amp;$K$1),INDIRECT("'数据-取费表'!k"&amp;$K$1)+INDIRECT("'数据-取费表'!s"&amp;$K$1)))</f>
        <v>3469.24</v>
      </c>
      <c r="E20" s="24">
        <f>'数据-取费表'!B28</f>
        <v>52</v>
      </c>
      <c r="F20" s="979"/>
      <c r="G20" s="15"/>
      <c r="H20" s="984"/>
      <c r="I20" s="984"/>
      <c r="J20" s="984"/>
      <c r="K20" s="985"/>
    </row>
    <row r="21" spans="1:33" s="978" customFormat="1" ht="13.5" customHeight="1">
      <c r="A21" s="964" t="s">
        <v>802</v>
      </c>
      <c r="B21" s="988" t="s">
        <v>2487</v>
      </c>
      <c r="C21" s="989">
        <f ca="1">C16+C17+C18</f>
        <v>40</v>
      </c>
      <c r="D21" s="990"/>
      <c r="E21" s="325"/>
      <c r="F21" s="325"/>
      <c r="G21" s="140" t="s">
        <v>2488</v>
      </c>
      <c r="H21" s="982"/>
      <c r="I21" s="982"/>
      <c r="J21" s="982"/>
      <c r="K21" s="983"/>
    </row>
    <row r="22" spans="1:33" s="978" customFormat="1" ht="13.5" customHeight="1">
      <c r="A22" s="964" t="s">
        <v>2460</v>
      </c>
      <c r="B22" s="988" t="s">
        <v>2489</v>
      </c>
      <c r="C22" s="989">
        <f ca="1">ROUND(C21*F22,0)</f>
        <v>1</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0.02</v>
      </c>
      <c r="G23" s="8" t="s">
        <v>2492</v>
      </c>
      <c r="H23" s="971"/>
      <c r="I23" s="971"/>
      <c r="J23" s="971"/>
      <c r="K23" s="972"/>
    </row>
    <row r="24" spans="1:33" s="978" customFormat="1" ht="13.5" customHeight="1">
      <c r="A24" s="964" t="s">
        <v>2493</v>
      </c>
      <c r="B24" s="988" t="s">
        <v>2494</v>
      </c>
      <c r="C24" s="324">
        <f>ROUND(F24/(1+'数据-取费表'!C42),4)</f>
        <v>3.8600000000000002E-2</v>
      </c>
      <c r="D24" s="325" t="s">
        <v>15</v>
      </c>
      <c r="E24" s="325"/>
      <c r="F24" s="991">
        <f>'数据-取费表'!B48+'数据-取费表'!B49</f>
        <v>4.0500000000000001E-2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2500</v>
      </c>
      <c r="B28" s="2557" t="s">
        <v>2501</v>
      </c>
      <c r="C28" s="331">
        <f ca="1">C30</f>
        <v>4</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4</v>
      </c>
      <c r="D30" s="328"/>
      <c r="E30" s="329"/>
      <c r="F30" s="334"/>
      <c r="G30" s="140"/>
      <c r="H30" s="982"/>
      <c r="I30" s="982"/>
      <c r="J30" s="982"/>
      <c r="K30" s="983"/>
    </row>
    <row r="31" spans="1:33" s="978" customFormat="1" ht="13.5" customHeight="1" thickBot="1">
      <c r="A31" s="2558" t="s">
        <v>2505</v>
      </c>
      <c r="B31" s="1008" t="s">
        <v>2506</v>
      </c>
      <c r="C31" s="1009">
        <f ca="1">ROUND(C4*F31/(1+'数据-取费表'!C42),0)</f>
        <v>192</v>
      </c>
      <c r="D31" s="1010"/>
      <c r="E31" s="1011"/>
      <c r="F31" s="1012">
        <f>'数据-取费表'!B41</f>
        <v>5.5000000000000007E-2</v>
      </c>
      <c r="G31" s="1013" t="s">
        <v>2507</v>
      </c>
      <c r="H31" s="1014"/>
      <c r="I31" s="1014"/>
      <c r="J31" s="1014"/>
      <c r="K31" s="1015"/>
    </row>
    <row r="32" spans="1:33" s="973" customFormat="1" ht="13.5" customHeight="1" thickBot="1">
      <c r="A32" s="1003" t="s">
        <v>2508</v>
      </c>
      <c r="B32" s="1004"/>
      <c r="C32" s="1005">
        <f ca="1">ROUND((C4-C21-C22-C23-C25-C28-C31)/(1+C24+D25+D28),0)</f>
        <v>3299</v>
      </c>
      <c r="D32" s="1004"/>
      <c r="E32" s="1004"/>
      <c r="F32" s="1004"/>
      <c r="G32" s="1006" t="s">
        <v>2509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55" t="s">
        <v>1403</v>
      </c>
      <c r="C6" s="1299">
        <f ca="1">ROUND(F6*F8*F7*(1-F9),0)</f>
        <v>0</v>
      </c>
      <c r="D6" s="164" t="s">
        <v>3020</v>
      </c>
      <c r="E6" s="347" t="s">
        <v>1405</v>
      </c>
      <c r="F6" s="348">
        <f ca="1">INDIRECT("'数据-取费表'!u"&amp;$G$1)</f>
        <v>0</v>
      </c>
      <c r="G6" s="1854"/>
      <c r="H6" s="1294" t="s">
        <v>1035</v>
      </c>
      <c r="I6" s="3255" t="s">
        <v>1403</v>
      </c>
      <c r="J6" s="346">
        <f ca="1">ROUND(M6*M8*M7*(1-M9),0)</f>
        <v>0</v>
      </c>
      <c r="K6" s="1837" t="s">
        <v>3021</v>
      </c>
      <c r="L6" s="347" t="s">
        <v>1405</v>
      </c>
      <c r="M6" s="348">
        <f ca="1">INDIRECT("'数据-取费表'!z"&amp;$G$1)</f>
        <v>0</v>
      </c>
    </row>
    <row r="7" spans="1:37" ht="18" customHeight="1">
      <c r="A7" s="1298"/>
      <c r="B7" s="3256"/>
      <c r="C7" s="1300"/>
      <c r="D7" s="352"/>
      <c r="E7" s="1301" t="s">
        <v>1406</v>
      </c>
      <c r="F7" s="348">
        <f ca="1">IF(INDIRECT("'数据-取费表'!ah"&amp;$G$1)="",INDIRECT("'数据-取费表'!k"&amp;$G$1),INDIRECT("'数据-取费表'!ah"&amp;$G$1))</f>
        <v>0</v>
      </c>
      <c r="G7" s="1854"/>
      <c r="H7" s="349"/>
      <c r="I7" s="3256"/>
      <c r="J7" s="351"/>
      <c r="K7" s="352"/>
      <c r="L7" s="347" t="s">
        <v>1406</v>
      </c>
      <c r="M7" s="348">
        <f ca="1">F7</f>
        <v>0</v>
      </c>
    </row>
    <row r="8" spans="1:37" ht="18" customHeight="1">
      <c r="A8" s="349"/>
      <c r="B8" s="3256"/>
      <c r="C8" s="351"/>
      <c r="D8" s="352"/>
      <c r="E8" s="347" t="s">
        <v>1407</v>
      </c>
      <c r="F8" s="348">
        <f ca="1">INDIRECT("'数据-取费表'!ai"&amp;$G$1)</f>
        <v>0</v>
      </c>
      <c r="G8" s="1854"/>
      <c r="H8" s="349"/>
      <c r="I8" s="3256"/>
      <c r="J8" s="351"/>
      <c r="K8" s="352"/>
      <c r="L8" s="347" t="s">
        <v>1407</v>
      </c>
      <c r="M8" s="348">
        <f ca="1">INDIRECT("'数据-取费表'!ai"&amp;$G$1)</f>
        <v>0</v>
      </c>
    </row>
    <row r="9" spans="1:37" ht="18" customHeight="1">
      <c r="A9" s="349"/>
      <c r="B9" s="3257"/>
      <c r="C9" s="351"/>
      <c r="D9" s="352"/>
      <c r="E9" s="347" t="s">
        <v>1408</v>
      </c>
      <c r="F9" s="357">
        <f ca="1">INDIRECT("'数据-取费表'!w"&amp;$G$1)</f>
        <v>0</v>
      </c>
      <c r="G9" s="1854"/>
      <c r="H9" s="349"/>
      <c r="I9" s="325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3031</v>
      </c>
      <c r="E10" s="358" t="s">
        <v>1410</v>
      </c>
      <c r="F10" s="1369"/>
      <c r="G10" s="1854"/>
      <c r="H10" s="1294" t="s">
        <v>1039</v>
      </c>
      <c r="I10" s="1826" t="s">
        <v>1409</v>
      </c>
      <c r="J10" s="346">
        <f ca="1">ROUND(IF(M10="押一",J6/12*M11,IF(M10="押二",J6/12*2*M11,IF(M10="押三",J6/12*3*M11,J11*M11))),0)</f>
        <v>0</v>
      </c>
      <c r="K10" s="1838" t="s">
        <v>3033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1.6999999999999999E-3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58" t="s">
        <v>1548</v>
      </c>
      <c r="L53" s="3259"/>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59" t="s">
        <v>2517</v>
      </c>
      <c r="B1" s="2560"/>
      <c r="C1" s="2560"/>
      <c r="D1" s="2560"/>
      <c r="E1" s="2561"/>
    </row>
    <row r="2" spans="1:6" ht="15.75">
      <c r="A2" s="2562" t="s">
        <v>2321</v>
      </c>
      <c r="B2" s="2563">
        <f ca="1">SUMIF(B6:B13,"&lt;&gt;#ref!",B6:B13)</f>
        <v>1823</v>
      </c>
      <c r="C2" s="2564" t="s">
        <v>2510</v>
      </c>
      <c r="D2" s="2565" t="s">
        <v>2511</v>
      </c>
      <c r="E2" s="2566">
        <f>SUM(E6:E13)</f>
        <v>1895.579999999999</v>
      </c>
    </row>
    <row r="3" spans="1:6" ht="15.75">
      <c r="A3" s="2562" t="s">
        <v>1395</v>
      </c>
      <c r="B3" s="2563">
        <f ca="1">ROUND(B2*10000/E2,0)</f>
        <v>9617</v>
      </c>
      <c r="C3" s="2564" t="s">
        <v>2518</v>
      </c>
      <c r="D3" s="2567"/>
      <c r="E3" s="2568"/>
    </row>
    <row r="4" spans="1:6" ht="15.75">
      <c r="A4" s="2569"/>
      <c r="B4" s="2567"/>
      <c r="C4" s="2567"/>
      <c r="D4" s="2567"/>
      <c r="E4" s="2568"/>
    </row>
    <row r="5" spans="1:6" ht="15">
      <c r="A5" s="2570" t="s">
        <v>2512</v>
      </c>
      <c r="B5" s="3260" t="s">
        <v>2513</v>
      </c>
      <c r="C5" s="3260"/>
      <c r="D5" s="2571"/>
      <c r="E5" s="2572" t="s">
        <v>2514</v>
      </c>
      <c r="F5" s="2573" t="s">
        <v>2515</v>
      </c>
    </row>
    <row r="6" spans="1:6">
      <c r="A6" s="2574" t="str">
        <f>'数据-取费表'!AN6</f>
        <v>收益法（住宅）</v>
      </c>
      <c r="B6" s="2573">
        <f ca="1">IF(F6="是",'数据-取费表'!AO6,0)</f>
        <v>1701</v>
      </c>
      <c r="C6" s="2564" t="s">
        <v>2510</v>
      </c>
      <c r="D6" s="2567"/>
      <c r="E6" s="2575">
        <f>IF(OR(A6=0,F6="否"),0,'数据-取费表'!K6+'数据-取费表'!S6)</f>
        <v>1805.619999999999</v>
      </c>
      <c r="F6" s="2576" t="s">
        <v>2516</v>
      </c>
    </row>
    <row r="7" spans="1:6">
      <c r="A7" s="2574" t="str">
        <f>'数据-取费表'!AN7</f>
        <v>收益法 (商业)</v>
      </c>
      <c r="B7" s="2573">
        <f ca="1">IF(F7="是",'数据-取费表'!AO7,0)</f>
        <v>122</v>
      </c>
      <c r="C7" s="2564" t="s">
        <v>2510</v>
      </c>
      <c r="D7" s="2567"/>
      <c r="E7" s="2575">
        <f>IF(OR(A7=0,F7="否"),0,'数据-取费表'!K7+'数据-取费表'!S7)</f>
        <v>89.959999999999923</v>
      </c>
      <c r="F7" s="2576" t="s">
        <v>2516</v>
      </c>
    </row>
    <row r="8" spans="1:6">
      <c r="A8" s="2574">
        <f>'数据-取费表'!AN8</f>
        <v>0</v>
      </c>
      <c r="B8" s="2573" t="e">
        <f ca="1">IF(F8="是",'数据-取费表'!AO8,0)</f>
        <v>#REF!</v>
      </c>
      <c r="C8" s="2564" t="s">
        <v>2510</v>
      </c>
      <c r="D8" s="2567"/>
      <c r="E8" s="2575">
        <f>IF(OR(A8=0,F8="否"),0,'数据-取费表'!K8+'数据-取费表'!S8)</f>
        <v>0</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7" t="s">
        <v>1076</v>
      </c>
      <c r="B1" s="3278"/>
      <c r="C1" s="3279"/>
      <c r="D1" s="3280">
        <f>SUM(I10,I15,I20,I21,I23)</f>
        <v>0</v>
      </c>
      <c r="E1" s="3280"/>
      <c r="F1" s="3280"/>
      <c r="G1" s="3280"/>
      <c r="H1" s="3280"/>
      <c r="I1" s="3281"/>
    </row>
    <row r="2" spans="1:9">
      <c r="A2" s="3267" t="s">
        <v>1077</v>
      </c>
      <c r="B2" s="3268" t="s">
        <v>1078</v>
      </c>
      <c r="C2" s="3268"/>
      <c r="D2" s="1304" t="s">
        <v>1079</v>
      </c>
      <c r="E2" s="1304" t="s">
        <v>1080</v>
      </c>
      <c r="F2" s="1304" t="s">
        <v>1081</v>
      </c>
      <c r="G2" s="1304" t="s">
        <v>1082</v>
      </c>
      <c r="H2" s="1304" t="s">
        <v>1083</v>
      </c>
      <c r="I2" s="1305" t="s">
        <v>1084</v>
      </c>
    </row>
    <row r="3" spans="1:9">
      <c r="A3" s="3267"/>
      <c r="B3" s="3268" t="s">
        <v>1085</v>
      </c>
      <c r="C3" s="3268"/>
      <c r="D3" s="1306"/>
      <c r="E3" s="1304"/>
      <c r="F3" s="1307"/>
      <c r="G3" s="1307"/>
      <c r="H3" s="1308"/>
      <c r="I3" s="1309">
        <f>ROUND(D3*E3*F3*G3*H3/10000,0)</f>
        <v>0</v>
      </c>
    </row>
    <row r="4" spans="1:9">
      <c r="A4" s="3267"/>
      <c r="B4" s="3268" t="s">
        <v>1086</v>
      </c>
      <c r="C4" s="3268"/>
      <c r="D4" s="1306"/>
      <c r="E4" s="1304"/>
      <c r="F4" s="1307"/>
      <c r="G4" s="1307"/>
      <c r="H4" s="1308"/>
      <c r="I4" s="1309">
        <f t="shared" ref="I4:I9" si="0">ROUND(D4*E4*F4*G4*H4/10000,0)</f>
        <v>0</v>
      </c>
    </row>
    <row r="5" spans="1:9">
      <c r="A5" s="3267"/>
      <c r="B5" s="3268" t="s">
        <v>1087</v>
      </c>
      <c r="C5" s="3268"/>
      <c r="D5" s="1306"/>
      <c r="E5" s="1304"/>
      <c r="F5" s="1307"/>
      <c r="G5" s="1307"/>
      <c r="H5" s="1308"/>
      <c r="I5" s="1309">
        <f t="shared" si="0"/>
        <v>0</v>
      </c>
    </row>
    <row r="6" spans="1:9">
      <c r="A6" s="3267"/>
      <c r="B6" s="3268" t="s">
        <v>1088</v>
      </c>
      <c r="C6" s="3268"/>
      <c r="D6" s="1306"/>
      <c r="E6" s="1304"/>
      <c r="F6" s="1307"/>
      <c r="G6" s="1307"/>
      <c r="H6" s="1308"/>
      <c r="I6" s="1309">
        <f t="shared" si="0"/>
        <v>0</v>
      </c>
    </row>
    <row r="7" spans="1:9">
      <c r="A7" s="3267"/>
      <c r="B7" s="3268" t="s">
        <v>1089</v>
      </c>
      <c r="C7" s="3268"/>
      <c r="D7" s="1306"/>
      <c r="E7" s="1304"/>
      <c r="F7" s="1307"/>
      <c r="G7" s="1307"/>
      <c r="H7" s="1308"/>
      <c r="I7" s="1309">
        <f t="shared" si="0"/>
        <v>0</v>
      </c>
    </row>
    <row r="8" spans="1:9">
      <c r="A8" s="3267"/>
      <c r="B8" s="3268" t="s">
        <v>1090</v>
      </c>
      <c r="C8" s="3268"/>
      <c r="D8" s="1306"/>
      <c r="E8" s="1304"/>
      <c r="F8" s="1307"/>
      <c r="G8" s="1307"/>
      <c r="H8" s="1308"/>
      <c r="I8" s="1309">
        <f t="shared" si="0"/>
        <v>0</v>
      </c>
    </row>
    <row r="9" spans="1:9">
      <c r="A9" s="3267"/>
      <c r="B9" s="3268" t="s">
        <v>1091</v>
      </c>
      <c r="C9" s="3268"/>
      <c r="D9" s="1306"/>
      <c r="E9" s="1304"/>
      <c r="F9" s="1307"/>
      <c r="G9" s="1307"/>
      <c r="H9" s="1308"/>
      <c r="I9" s="1309">
        <f t="shared" si="0"/>
        <v>0</v>
      </c>
    </row>
    <row r="10" spans="1:9">
      <c r="A10" s="3267"/>
      <c r="B10" s="3269" t="s">
        <v>1092</v>
      </c>
      <c r="C10" s="3269"/>
      <c r="D10" s="1310"/>
      <c r="E10" s="1310" t="e">
        <f>ROUND(D1*10000/D10/H9,0)</f>
        <v>#DIV/0!</v>
      </c>
      <c r="F10" s="1311"/>
      <c r="G10" s="1311"/>
      <c r="H10" s="1312"/>
      <c r="I10" s="1313">
        <f>SUM(I3:I9)</f>
        <v>0</v>
      </c>
    </row>
    <row r="11" spans="1:9" ht="14.25">
      <c r="A11" s="3267" t="s">
        <v>1093</v>
      </c>
      <c r="B11" s="3268" t="s">
        <v>1094</v>
      </c>
      <c r="C11" s="3268"/>
      <c r="D11" s="1306" t="s">
        <v>1095</v>
      </c>
      <c r="E11" s="1306" t="s">
        <v>1096</v>
      </c>
      <c r="F11" s="1307" t="s">
        <v>1097</v>
      </c>
      <c r="G11" s="1307" t="s">
        <v>1083</v>
      </c>
      <c r="H11" s="1314" t="s">
        <v>1098</v>
      </c>
      <c r="I11" s="1305" t="s">
        <v>1084</v>
      </c>
    </row>
    <row r="12" spans="1:9">
      <c r="A12" s="3267"/>
      <c r="B12" s="3268" t="s">
        <v>1099</v>
      </c>
      <c r="C12" s="3268"/>
      <c r="D12" s="1306"/>
      <c r="E12" s="1306"/>
      <c r="F12" s="1307"/>
      <c r="G12" s="1308"/>
      <c r="H12" s="1315"/>
      <c r="I12" s="1305">
        <f>ROUND(D12*E12*F12*G12/10000,0)</f>
        <v>0</v>
      </c>
    </row>
    <row r="13" spans="1:9">
      <c r="A13" s="3267"/>
      <c r="B13" s="3268" t="s">
        <v>1100</v>
      </c>
      <c r="C13" s="3268"/>
      <c r="D13" s="1306"/>
      <c r="E13" s="1306"/>
      <c r="F13" s="1307"/>
      <c r="G13" s="1308"/>
      <c r="H13" s="1315"/>
      <c r="I13" s="1305">
        <f>ROUND(D13*E13*F13*G13/10000,0)</f>
        <v>0</v>
      </c>
    </row>
    <row r="14" spans="1:9">
      <c r="A14" s="3267"/>
      <c r="B14" s="3268" t="s">
        <v>1101</v>
      </c>
      <c r="C14" s="3268"/>
      <c r="D14" s="1306"/>
      <c r="E14" s="1306"/>
      <c r="F14" s="1307"/>
      <c r="G14" s="1308"/>
      <c r="H14" s="1315"/>
      <c r="I14" s="1305">
        <f>ROUND(D14*E14*F14*G14/10000,0)</f>
        <v>0</v>
      </c>
    </row>
    <row r="15" spans="1:9">
      <c r="A15" s="3267"/>
      <c r="B15" s="3269" t="s">
        <v>1092</v>
      </c>
      <c r="C15" s="3269"/>
      <c r="D15" s="1310"/>
      <c r="E15" s="1310">
        <f>SUM(E12:E14)</f>
        <v>0</v>
      </c>
      <c r="F15" s="1311"/>
      <c r="G15" s="1308"/>
      <c r="H15" s="1315"/>
      <c r="I15" s="1316">
        <f>SUM(I12:I14)</f>
        <v>0</v>
      </c>
    </row>
    <row r="16" spans="1:9" ht="24">
      <c r="A16" s="3267" t="s">
        <v>1102</v>
      </c>
      <c r="B16" s="3268" t="s">
        <v>1103</v>
      </c>
      <c r="C16" s="3268"/>
      <c r="D16" s="1306" t="s">
        <v>1079</v>
      </c>
      <c r="E16" s="1317" t="s">
        <v>1104</v>
      </c>
      <c r="F16" s="1307" t="s">
        <v>1105</v>
      </c>
      <c r="G16" s="1308" t="s">
        <v>1083</v>
      </c>
      <c r="H16" s="1314" t="s">
        <v>1098</v>
      </c>
      <c r="I16" s="1305" t="s">
        <v>1084</v>
      </c>
    </row>
    <row r="17" spans="1:9" ht="14.25">
      <c r="A17" s="3267"/>
      <c r="B17" s="3268" t="s">
        <v>1106</v>
      </c>
      <c r="C17" s="3268"/>
      <c r="D17" s="1306"/>
      <c r="E17" s="1306"/>
      <c r="F17" s="1307"/>
      <c r="G17" s="1308"/>
      <c r="H17" s="1318"/>
      <c r="I17" s="1319">
        <f>ROUND(D17*E17*F17*G17/10000,0)</f>
        <v>0</v>
      </c>
    </row>
    <row r="18" spans="1:9" ht="14.25">
      <c r="A18" s="3267"/>
      <c r="B18" s="3268" t="s">
        <v>1107</v>
      </c>
      <c r="C18" s="3268"/>
      <c r="D18" s="1306"/>
      <c r="E18" s="1306"/>
      <c r="F18" s="1307"/>
      <c r="G18" s="1308"/>
      <c r="H18" s="1318"/>
      <c r="I18" s="1319">
        <f>ROUND(D18*E18*F18*G18/10000,0)</f>
        <v>0</v>
      </c>
    </row>
    <row r="19" spans="1:9" ht="14.25">
      <c r="A19" s="3267"/>
      <c r="B19" s="3268" t="s">
        <v>1108</v>
      </c>
      <c r="C19" s="3268"/>
      <c r="D19" s="1306"/>
      <c r="E19" s="1306"/>
      <c r="F19" s="1307"/>
      <c r="G19" s="1308"/>
      <c r="H19" s="1318"/>
      <c r="I19" s="1319">
        <f>ROUND(D19*E19*F19*G19/10000,0)</f>
        <v>0</v>
      </c>
    </row>
    <row r="20" spans="1:9">
      <c r="A20" s="3267"/>
      <c r="B20" s="3269" t="s">
        <v>1092</v>
      </c>
      <c r="C20" s="3269"/>
      <c r="D20" s="1310">
        <f>SUM(D17:D19)</f>
        <v>0</v>
      </c>
      <c r="E20" s="1310"/>
      <c r="F20" s="1311"/>
      <c r="G20" s="1308"/>
      <c r="H20" s="1315"/>
      <c r="I20" s="1316">
        <f>SUM(I17:I19)</f>
        <v>0</v>
      </c>
    </row>
    <row r="21" spans="1:9">
      <c r="A21" s="3267" t="s">
        <v>1109</v>
      </c>
      <c r="B21" s="3270"/>
      <c r="C21" s="3270"/>
      <c r="D21" s="3270"/>
      <c r="E21" s="3270"/>
      <c r="F21" s="3270"/>
      <c r="G21" s="3270"/>
      <c r="H21" s="1768">
        <v>0.1</v>
      </c>
      <c r="I21" s="1313">
        <f>ROUND(I10*H21,0)</f>
        <v>0</v>
      </c>
    </row>
    <row r="22" spans="1:9" ht="14.25">
      <c r="A22" s="3271" t="s">
        <v>1110</v>
      </c>
      <c r="B22" s="3272"/>
      <c r="C22" s="3273"/>
      <c r="D22" s="1320" t="s">
        <v>1111</v>
      </c>
      <c r="E22" s="1320" t="s">
        <v>1112</v>
      </c>
      <c r="F22" s="1321" t="s">
        <v>1113</v>
      </c>
      <c r="G22" s="1321" t="s">
        <v>1114</v>
      </c>
      <c r="H22" s="1314" t="s">
        <v>1115</v>
      </c>
      <c r="I22" s="1305" t="s">
        <v>1116</v>
      </c>
    </row>
    <row r="23" spans="1:9" ht="14.25" thickBot="1">
      <c r="A23" s="3274"/>
      <c r="B23" s="3275"/>
      <c r="C23" s="3276"/>
      <c r="D23" s="1322"/>
      <c r="E23" s="1322"/>
      <c r="F23" s="1322"/>
      <c r="G23" s="1323"/>
      <c r="H23" s="1324"/>
      <c r="I23" s="1325">
        <f>ROUND(E23*D23*F23*(1-G23)/10000,0)</f>
        <v>0</v>
      </c>
    </row>
    <row r="26" spans="1:9">
      <c r="A26" s="1326" t="s">
        <v>1117</v>
      </c>
      <c r="B26" s="1326"/>
      <c r="C26" s="1326"/>
      <c r="D26" s="1326"/>
      <c r="E26" s="3264">
        <f>C27-C30-C31-C32</f>
        <v>0</v>
      </c>
      <c r="F26" s="3264"/>
      <c r="G26" s="3264"/>
      <c r="H26" s="1740" t="s">
        <v>1340</v>
      </c>
    </row>
    <row r="27" spans="1:9">
      <c r="A27" s="1327">
        <v>1</v>
      </c>
      <c r="B27" s="1328" t="s">
        <v>1118</v>
      </c>
      <c r="C27" s="1328">
        <f>C28+C29</f>
        <v>0</v>
      </c>
      <c r="D27" s="1328"/>
      <c r="E27" s="3265"/>
      <c r="F27" s="3265"/>
      <c r="G27" s="3265"/>
    </row>
    <row r="28" spans="1:9">
      <c r="A28" s="1329" t="s">
        <v>1119</v>
      </c>
      <c r="B28" s="1328" t="s">
        <v>1120</v>
      </c>
      <c r="C28" s="1328"/>
      <c r="D28" s="1328"/>
      <c r="E28" s="3265"/>
      <c r="F28" s="3265"/>
      <c r="G28" s="326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66"/>
      <c r="F32" s="3266"/>
      <c r="G32" s="3266"/>
    </row>
    <row r="33" spans="1:7" hidden="1">
      <c r="A33" s="3261" t="s">
        <v>1129</v>
      </c>
      <c r="B33" s="3262"/>
      <c r="C33" s="3262"/>
      <c r="D33" s="3263"/>
      <c r="E33" s="3264"/>
      <c r="F33" s="3264"/>
      <c r="G33" s="3264"/>
    </row>
    <row r="34" spans="1:7" hidden="1">
      <c r="A34" s="1331">
        <v>1</v>
      </c>
      <c r="B34" s="1328" t="s">
        <v>1130</v>
      </c>
      <c r="C34" s="1328"/>
      <c r="D34" s="1328"/>
      <c r="E34" s="3265"/>
      <c r="F34" s="3265"/>
      <c r="G34" s="3265"/>
    </row>
    <row r="35" spans="1:7" hidden="1">
      <c r="A35" s="1331">
        <v>2</v>
      </c>
      <c r="B35" s="1328" t="s">
        <v>1131</v>
      </c>
      <c r="C35" s="1328"/>
      <c r="D35" s="1328"/>
      <c r="E35" s="3265"/>
      <c r="F35" s="3265"/>
      <c r="G35" s="3265"/>
    </row>
    <row r="36" spans="1:7" hidden="1">
      <c r="A36" s="1331">
        <v>3</v>
      </c>
      <c r="B36" s="1328" t="s">
        <v>1132</v>
      </c>
      <c r="C36" s="1328"/>
      <c r="D36" s="1328"/>
      <c r="E36" s="3265"/>
      <c r="F36" s="3265"/>
      <c r="G36" s="3265"/>
    </row>
    <row r="37" spans="1:7" hidden="1">
      <c r="A37" s="1331">
        <v>4</v>
      </c>
      <c r="B37" s="1328" t="s">
        <v>1133</v>
      </c>
      <c r="C37" s="1328"/>
      <c r="D37" s="1328"/>
      <c r="E37" s="3265"/>
      <c r="F37" s="3265"/>
      <c r="G37" s="3265"/>
    </row>
    <row r="38" spans="1:7" hidden="1">
      <c r="A38" s="3261" t="s">
        <v>1134</v>
      </c>
      <c r="B38" s="3262"/>
      <c r="C38" s="3262"/>
      <c r="D38" s="3263"/>
      <c r="E38" s="3264"/>
      <c r="F38" s="3264"/>
      <c r="G38" s="3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E23" sqref="E2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0" t="s">
        <v>2520</v>
      </c>
      <c r="C1" s="1637" t="s">
        <v>2521</v>
      </c>
      <c r="D1" s="1624" t="s">
        <v>3066</v>
      </c>
      <c r="E1" s="2581"/>
      <c r="F1" s="2582" t="s">
        <v>2522</v>
      </c>
      <c r="G1" s="1634" t="s">
        <v>2523</v>
      </c>
      <c r="H1" s="1633"/>
      <c r="I1" s="1633"/>
      <c r="J1" s="1633"/>
      <c r="K1" s="1635"/>
      <c r="L1" s="1636"/>
      <c r="M1" s="1637"/>
      <c r="N1" s="1637"/>
      <c r="O1" s="1637"/>
      <c r="P1" s="2583"/>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1839</v>
      </c>
      <c r="C2" s="2584" t="s">
        <v>70</v>
      </c>
      <c r="D2" s="1368" t="e">
        <f ca="1">SUMIF(INDIRECT("'"&amp;F2&amp;"'"&amp;"!A:A"),"承租人权益价值",INDIRECT("'"&amp;F2&amp;"'"&amp;"!c:c"))</f>
        <v>#REF!</v>
      </c>
      <c r="E2" s="2585" t="s">
        <v>2524</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10183</v>
      </c>
      <c r="C3" s="400" t="s">
        <v>2525</v>
      </c>
      <c r="D3" s="399">
        <f>IF(D1="",'数据-汇总表'!E3,SUMIF('数据-汇总表'!$C19:$C33,D1,'数据-汇总表'!$E19:$E33))</f>
        <v>1805.619999999999</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2526</v>
      </c>
      <c r="B4" s="402"/>
      <c r="C4" s="3215" t="s">
        <v>2527</v>
      </c>
      <c r="D4" s="3228"/>
      <c r="E4" s="3229" t="s">
        <v>2528</v>
      </c>
      <c r="F4" s="3230"/>
      <c r="G4" s="3215" t="s">
        <v>2529</v>
      </c>
      <c r="H4" s="3228"/>
      <c r="I4" s="3215" t="s">
        <v>2530</v>
      </c>
      <c r="J4" s="3228"/>
      <c r="K4" s="2594" t="s">
        <v>2531</v>
      </c>
      <c r="L4" s="1133"/>
      <c r="M4" s="1134"/>
      <c r="N4" s="1134"/>
      <c r="O4" s="1134"/>
      <c r="P4" s="3231" t="s">
        <v>2532</v>
      </c>
      <c r="Q4" s="3232"/>
      <c r="R4" s="3237" t="s">
        <v>2528</v>
      </c>
      <c r="S4" s="3238"/>
      <c r="T4" s="3237" t="s">
        <v>2529</v>
      </c>
      <c r="U4" s="3238"/>
      <c r="V4" s="3224" t="s">
        <v>2530</v>
      </c>
      <c r="W4" s="3224"/>
      <c r="X4" s="1816"/>
      <c r="Y4" s="3237" t="s">
        <v>2532</v>
      </c>
      <c r="Z4" s="3238"/>
      <c r="AA4" s="3225" t="s">
        <v>2528</v>
      </c>
      <c r="AB4" s="3225" t="s">
        <v>2529</v>
      </c>
      <c r="AC4" s="3225" t="s">
        <v>2530</v>
      </c>
    </row>
    <row r="5" spans="1:29" ht="15">
      <c r="A5" s="404"/>
      <c r="B5" s="405"/>
      <c r="C5" s="3250" t="s">
        <v>3063</v>
      </c>
      <c r="D5" s="3246"/>
      <c r="E5" s="3290" t="s">
        <v>3065</v>
      </c>
      <c r="F5" s="3254"/>
      <c r="G5" s="3250" t="s">
        <v>3075</v>
      </c>
      <c r="H5" s="3246"/>
      <c r="I5" s="3250" t="s">
        <v>3076</v>
      </c>
      <c r="J5" s="3246"/>
      <c r="K5" s="2595"/>
      <c r="L5" s="1133"/>
      <c r="M5" s="1134"/>
      <c r="N5" s="1134"/>
      <c r="O5" s="1134"/>
      <c r="P5" s="3233"/>
      <c r="Q5" s="3234"/>
      <c r="R5" s="3239"/>
      <c r="S5" s="3240"/>
      <c r="T5" s="3239"/>
      <c r="U5" s="3240"/>
      <c r="V5" s="3224"/>
      <c r="W5" s="3224"/>
      <c r="X5" s="1816"/>
      <c r="Y5" s="3239"/>
      <c r="Z5" s="3240"/>
      <c r="AA5" s="3226"/>
      <c r="AB5" s="3226"/>
      <c r="AC5" s="3226"/>
    </row>
    <row r="6" spans="1:29" ht="15.75" thickBot="1">
      <c r="A6" s="406"/>
      <c r="B6" s="407"/>
      <c r="C6" s="3243" t="s">
        <v>3064</v>
      </c>
      <c r="D6" s="3244"/>
      <c r="E6" s="3251" t="s">
        <v>3396</v>
      </c>
      <c r="F6" s="3252"/>
      <c r="G6" s="3243" t="s">
        <v>3077</v>
      </c>
      <c r="H6" s="3244"/>
      <c r="I6" s="3243" t="s">
        <v>3078</v>
      </c>
      <c r="J6" s="3244"/>
      <c r="K6" s="2595" t="s">
        <v>2538</v>
      </c>
      <c r="L6" s="1133"/>
      <c r="M6" s="1134"/>
      <c r="N6" s="1134"/>
      <c r="O6" s="1134"/>
      <c r="P6" s="3235"/>
      <c r="Q6" s="3236"/>
      <c r="R6" s="3239"/>
      <c r="S6" s="3240"/>
      <c r="T6" s="3241"/>
      <c r="U6" s="3242"/>
      <c r="V6" s="3224"/>
      <c r="W6" s="3224"/>
      <c r="X6" s="1816"/>
      <c r="Y6" s="3241"/>
      <c r="Z6" s="3242"/>
      <c r="AA6" s="3227"/>
      <c r="AB6" s="3227"/>
      <c r="AC6" s="3227"/>
    </row>
    <row r="7" spans="1:29" s="117" customFormat="1" ht="15.75" thickBot="1">
      <c r="A7" s="408" t="s">
        <v>2539</v>
      </c>
      <c r="B7" s="409"/>
      <c r="C7" s="410">
        <f>'数据-取费表'!B2</f>
        <v>43307</v>
      </c>
      <c r="D7" s="411">
        <v>100</v>
      </c>
      <c r="E7" s="412">
        <v>43282</v>
      </c>
      <c r="F7" s="413">
        <f>SUMIF(58:58,YEAR(E7)&amp;"-"&amp;MONTH(E7),59:59)</f>
        <v>100</v>
      </c>
      <c r="G7" s="412">
        <v>43282</v>
      </c>
      <c r="H7" s="411">
        <f>SUMIF(58:58,YEAR(G7)&amp;"-"&amp;MONTH(G7),59:59)</f>
        <v>100</v>
      </c>
      <c r="I7" s="412">
        <v>43282</v>
      </c>
      <c r="J7" s="411">
        <f>SUMIF(58:58,YEAR(I7)&amp;"-"&amp;MONTH(I7),59:59)</f>
        <v>100</v>
      </c>
      <c r="K7" s="2596"/>
      <c r="L7" s="1135"/>
      <c r="M7" s="1136"/>
      <c r="N7" s="1136"/>
      <c r="O7" s="1136"/>
      <c r="P7" s="3247" t="s">
        <v>2540</v>
      </c>
      <c r="Q7" s="3249"/>
      <c r="R7" s="770" t="s">
        <v>23</v>
      </c>
      <c r="S7" s="771">
        <f t="shared" ref="S7:S15" si="0">F7</f>
        <v>100</v>
      </c>
      <c r="T7" s="770" t="s">
        <v>23</v>
      </c>
      <c r="U7" s="771">
        <f t="shared" ref="U7:U15" si="1">H7</f>
        <v>100</v>
      </c>
      <c r="V7" s="770" t="s">
        <v>23</v>
      </c>
      <c r="W7" s="771">
        <f t="shared" ref="W7:W15" si="2">J7</f>
        <v>100</v>
      </c>
      <c r="X7" s="772"/>
      <c r="Y7" s="3247" t="s">
        <v>2540</v>
      </c>
      <c r="Z7" s="3248"/>
      <c r="AA7" s="773">
        <f>D7/F7</f>
        <v>1</v>
      </c>
      <c r="AB7" s="773">
        <f>D7/H7</f>
        <v>1</v>
      </c>
      <c r="AC7" s="773">
        <f>D7/J7</f>
        <v>1</v>
      </c>
    </row>
    <row r="8" spans="1:29" s="117" customFormat="1" ht="15.75" thickBot="1">
      <c r="A8" s="408" t="s">
        <v>2541</v>
      </c>
      <c r="B8" s="409"/>
      <c r="C8" s="414" t="s">
        <v>2542</v>
      </c>
      <c r="D8" s="411">
        <v>100</v>
      </c>
      <c r="E8" s="414" t="s">
        <v>2542</v>
      </c>
      <c r="F8" s="413">
        <f>SUMIF(61:61,E8,62:62)-SUMIF(61:61,C8,62:62)+100</f>
        <v>100</v>
      </c>
      <c r="G8" s="414" t="s">
        <v>2542</v>
      </c>
      <c r="H8" s="411">
        <f>SUMIF(61:61,G8,62:62)-SUMIF(61:61,C8,62:62)+100</f>
        <v>100</v>
      </c>
      <c r="I8" s="414" t="s">
        <v>2542</v>
      </c>
      <c r="J8" s="411">
        <f>SUMIF(61:61,I8,62:62)-SUMIF(61:61,C8,62:62)+100</f>
        <v>100</v>
      </c>
      <c r="K8" s="2596"/>
      <c r="L8" s="1135"/>
      <c r="M8" s="1136"/>
      <c r="N8" s="1136"/>
      <c r="O8" s="1136"/>
      <c r="P8" s="3247" t="s">
        <v>2543</v>
      </c>
      <c r="Q8" s="3248"/>
      <c r="R8" s="770" t="s">
        <v>23</v>
      </c>
      <c r="S8" s="771">
        <f t="shared" si="0"/>
        <v>100</v>
      </c>
      <c r="T8" s="770" t="s">
        <v>23</v>
      </c>
      <c r="U8" s="771">
        <f t="shared" si="1"/>
        <v>100</v>
      </c>
      <c r="V8" s="770" t="s">
        <v>23</v>
      </c>
      <c r="W8" s="771">
        <f t="shared" si="2"/>
        <v>100</v>
      </c>
      <c r="X8" s="772"/>
      <c r="Y8" s="3247" t="s">
        <v>2543</v>
      </c>
      <c r="Z8" s="3248"/>
      <c r="AA8" s="773">
        <f t="shared" ref="AA8:AA19" si="3">D8/F8</f>
        <v>1</v>
      </c>
      <c r="AB8" s="773">
        <f t="shared" ref="AB8:AB19" si="4">D8/H8</f>
        <v>1</v>
      </c>
      <c r="AC8" s="773">
        <f t="shared" ref="AC8:AC19" si="5">D8/J8</f>
        <v>1</v>
      </c>
    </row>
    <row r="9" spans="1:29" s="117" customFormat="1">
      <c r="A9" s="415" t="s">
        <v>2544</v>
      </c>
      <c r="B9" s="71" t="s">
        <v>2545</v>
      </c>
      <c r="C9" s="2942" t="s">
        <v>3067</v>
      </c>
      <c r="D9" s="135">
        <v>100</v>
      </c>
      <c r="E9" s="417" t="s">
        <v>3066</v>
      </c>
      <c r="F9" s="418">
        <f>SUMIF(63:63,E9,64:64)-SUMIF(63:63,C9,64:64)+100</f>
        <v>100</v>
      </c>
      <c r="G9" s="417" t="s">
        <v>3066</v>
      </c>
      <c r="H9" s="135">
        <f>SUMIF(63:63,G9,64:64)-SUMIF(63:63,C9,64:64)+100</f>
        <v>100</v>
      </c>
      <c r="I9" s="417" t="s">
        <v>3066</v>
      </c>
      <c r="J9" s="135">
        <f>SUMIF(63:63,I9,64:64)-SUMIF(63:63,C9,64:64)+100</f>
        <v>100</v>
      </c>
      <c r="K9" s="2596"/>
      <c r="L9" s="1135"/>
      <c r="M9" s="1136"/>
      <c r="N9" s="1136"/>
      <c r="O9" s="1136"/>
      <c r="P9" s="3217" t="s">
        <v>2546</v>
      </c>
      <c r="Q9" s="1798" t="str">
        <f t="shared" ref="Q9:Q15" si="6">B9</f>
        <v>用途</v>
      </c>
      <c r="R9" s="770" t="s">
        <v>17</v>
      </c>
      <c r="S9" s="771">
        <f t="shared" si="0"/>
        <v>100</v>
      </c>
      <c r="T9" s="770" t="s">
        <v>17</v>
      </c>
      <c r="U9" s="771">
        <f t="shared" si="1"/>
        <v>100</v>
      </c>
      <c r="V9" s="770" t="s">
        <v>17</v>
      </c>
      <c r="W9" s="771">
        <f t="shared" si="2"/>
        <v>100</v>
      </c>
      <c r="X9" s="772"/>
      <c r="Y9" s="3066" t="s">
        <v>2547</v>
      </c>
      <c r="Z9" s="55" t="str">
        <f t="shared" ref="Z9:Z15" si="7">Q9</f>
        <v>用途</v>
      </c>
      <c r="AA9" s="773">
        <f t="shared" si="3"/>
        <v>1</v>
      </c>
      <c r="AB9" s="773">
        <f t="shared" si="4"/>
        <v>1</v>
      </c>
      <c r="AC9" s="773">
        <f t="shared" si="5"/>
        <v>1</v>
      </c>
    </row>
    <row r="10" spans="1:29" s="427" customFormat="1" ht="27">
      <c r="A10" s="421"/>
      <c r="B10" s="422" t="s">
        <v>2548</v>
      </c>
      <c r="C10" s="423" t="s">
        <v>3081</v>
      </c>
      <c r="D10" s="136">
        <v>100</v>
      </c>
      <c r="E10" s="424" t="s">
        <v>3081</v>
      </c>
      <c r="F10" s="425">
        <f>SUMIF(65:65,E10,66:66)-SUMIF(65:65,C10,66:66)+100</f>
        <v>100</v>
      </c>
      <c r="G10" s="424" t="s">
        <v>3081</v>
      </c>
      <c r="H10" s="136">
        <f>SUMIF(65:65,G10,66:66)-SUMIF(65:65,C10,66:66)+100</f>
        <v>100</v>
      </c>
      <c r="I10" s="424" t="s">
        <v>3081</v>
      </c>
      <c r="J10" s="136">
        <f>SUMIF(65:65,I10,66:66)-SUMIF(65:65,C10,66:66)+100</f>
        <v>100</v>
      </c>
      <c r="K10" s="426"/>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75" thickBot="1">
      <c r="A11" s="428"/>
      <c r="B11" s="422" t="s">
        <v>2549</v>
      </c>
      <c r="C11" s="429">
        <v>3</v>
      </c>
      <c r="D11" s="136">
        <v>100</v>
      </c>
      <c r="E11" s="430">
        <v>1.53</v>
      </c>
      <c r="F11" s="425">
        <f>LOOKUP(E11,68:68,69:69)-LOOKUP(C11,68:68,69:69)+100</f>
        <v>104</v>
      </c>
      <c r="G11" s="429">
        <v>1.5</v>
      </c>
      <c r="H11" s="136">
        <f>LOOKUP(G11,68:68,69:69)-LOOKUP(C11,68:68,69:69)+100</f>
        <v>104</v>
      </c>
      <c r="I11" s="429">
        <v>2.1</v>
      </c>
      <c r="J11" s="136">
        <f>LOOKUP(I11,68:68,69:69)-LOOKUP(C11,68:68,69:69)+100</f>
        <v>102</v>
      </c>
      <c r="K11" s="426">
        <v>2</v>
      </c>
      <c r="L11" s="1141"/>
      <c r="M11" s="1134"/>
      <c r="N11" s="1134"/>
      <c r="O11" s="1134"/>
      <c r="P11" s="3217"/>
      <c r="Q11" s="1798" t="str">
        <f t="shared" si="6"/>
        <v>容积率</v>
      </c>
      <c r="R11" s="770" t="s">
        <v>21</v>
      </c>
      <c r="S11" s="771">
        <f t="shared" si="0"/>
        <v>104</v>
      </c>
      <c r="T11" s="770" t="s">
        <v>21</v>
      </c>
      <c r="U11" s="771">
        <f t="shared" si="1"/>
        <v>104</v>
      </c>
      <c r="V11" s="770" t="s">
        <v>21</v>
      </c>
      <c r="W11" s="771">
        <f t="shared" si="2"/>
        <v>102</v>
      </c>
      <c r="X11" s="772"/>
      <c r="Y11" s="3066"/>
      <c r="Z11" s="55" t="str">
        <f t="shared" si="7"/>
        <v>容积率</v>
      </c>
      <c r="AA11" s="773">
        <f t="shared" si="3"/>
        <v>0.96153846153846156</v>
      </c>
      <c r="AB11" s="773">
        <f t="shared" si="4"/>
        <v>0.96153846153846156</v>
      </c>
      <c r="AC11" s="773">
        <f t="shared" si="5"/>
        <v>0.98039215686274506</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5"/>
      <c r="M12" s="1136"/>
      <c r="N12" s="1136"/>
      <c r="O12" s="1136"/>
      <c r="P12" s="3217"/>
      <c r="Q12" s="1798">
        <f t="shared" si="6"/>
        <v>111</v>
      </c>
      <c r="R12" s="770" t="s">
        <v>21</v>
      </c>
      <c r="S12" s="771">
        <f t="shared" si="0"/>
        <v>100</v>
      </c>
      <c r="T12" s="770" t="s">
        <v>21</v>
      </c>
      <c r="U12" s="771">
        <f t="shared" si="1"/>
        <v>100</v>
      </c>
      <c r="V12" s="770" t="s">
        <v>21</v>
      </c>
      <c r="W12" s="771">
        <f t="shared" si="2"/>
        <v>100</v>
      </c>
      <c r="X12" s="772"/>
      <c r="Y12" s="3066"/>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3"/>
      <c r="M13" s="1134"/>
      <c r="N13" s="1134"/>
      <c r="O13" s="1134"/>
      <c r="P13" s="3217"/>
      <c r="Q13" s="1798">
        <f t="shared" si="6"/>
        <v>111</v>
      </c>
      <c r="R13" s="770" t="s">
        <v>21</v>
      </c>
      <c r="S13" s="771">
        <f t="shared" si="0"/>
        <v>100</v>
      </c>
      <c r="T13" s="770" t="s">
        <v>21</v>
      </c>
      <c r="U13" s="771">
        <f t="shared" si="1"/>
        <v>100</v>
      </c>
      <c r="V13" s="770" t="s">
        <v>21</v>
      </c>
      <c r="W13" s="771">
        <f t="shared" si="2"/>
        <v>100</v>
      </c>
      <c r="X13" s="772"/>
      <c r="Y13" s="3066"/>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3"/>
      <c r="M14" s="1134"/>
      <c r="N14" s="1134"/>
      <c r="O14" s="1134"/>
      <c r="P14" s="3217"/>
      <c r="Q14" s="1798">
        <f t="shared" si="6"/>
        <v>111</v>
      </c>
      <c r="R14" s="770" t="s">
        <v>21</v>
      </c>
      <c r="S14" s="771">
        <f t="shared" si="0"/>
        <v>100</v>
      </c>
      <c r="T14" s="770" t="s">
        <v>21</v>
      </c>
      <c r="U14" s="771">
        <f t="shared" si="1"/>
        <v>100</v>
      </c>
      <c r="V14" s="770" t="s">
        <v>21</v>
      </c>
      <c r="W14" s="771">
        <f t="shared" si="2"/>
        <v>100</v>
      </c>
      <c r="X14" s="772"/>
      <c r="Y14" s="3066"/>
      <c r="Z14" s="55">
        <f t="shared" si="7"/>
        <v>111</v>
      </c>
      <c r="AA14" s="773">
        <f t="shared" si="3"/>
        <v>1</v>
      </c>
      <c r="AB14" s="773">
        <f t="shared" si="4"/>
        <v>1</v>
      </c>
      <c r="AC14" s="773">
        <f t="shared" si="5"/>
        <v>1</v>
      </c>
    </row>
    <row r="15" spans="1:29" ht="142.5">
      <c r="A15" s="440" t="s">
        <v>2550</v>
      </c>
      <c r="B15" s="69" t="s">
        <v>2081</v>
      </c>
      <c r="C15" s="2600" t="str">
        <f>估价对象房地状况!C3</f>
        <v>估价对象周边居住用地比例较大、居住小区规模较大，有森林半岛、新龙御都国际等住宅小区，社区发展完善程度较好，综合评价居住社区成熟度较好。</v>
      </c>
      <c r="D15" s="441">
        <v>100</v>
      </c>
      <c r="E15" s="2947" t="s">
        <v>3082</v>
      </c>
      <c r="F15" s="441">
        <f>SUMIF(76:76,E16,77:77)-SUMIF(76:76,C16,77:77)+100</f>
        <v>100</v>
      </c>
      <c r="G15" s="2947" t="s">
        <v>3095</v>
      </c>
      <c r="H15" s="441">
        <f>SUMIF(76:76,G16,77:77)-SUMIF(76:76,C16,77:77)+100</f>
        <v>100</v>
      </c>
      <c r="I15" s="2947" t="s">
        <v>3100</v>
      </c>
      <c r="J15" s="441">
        <f>SUMIF(76:76,I16,77:77)-SUMIF(76:76,C16,77:77)+100</f>
        <v>97</v>
      </c>
      <c r="K15" s="445">
        <v>3</v>
      </c>
      <c r="L15" s="1143"/>
      <c r="M15" s="1134"/>
      <c r="N15" s="1134"/>
      <c r="O15" s="1134"/>
      <c r="P15" s="3288" t="s">
        <v>2551</v>
      </c>
      <c r="Q15" s="1813" t="str">
        <f t="shared" si="6"/>
        <v>居住社区成熟度</v>
      </c>
      <c r="R15" s="774" t="s">
        <v>21</v>
      </c>
      <c r="S15" s="775">
        <f t="shared" si="0"/>
        <v>100</v>
      </c>
      <c r="T15" s="774" t="s">
        <v>21</v>
      </c>
      <c r="U15" s="775">
        <f t="shared" si="1"/>
        <v>100</v>
      </c>
      <c r="V15" s="774" t="s">
        <v>21</v>
      </c>
      <c r="W15" s="775">
        <f t="shared" si="2"/>
        <v>97</v>
      </c>
      <c r="X15" s="1816"/>
      <c r="Y15" s="3220" t="s">
        <v>2551</v>
      </c>
      <c r="Z15" s="1817" t="str">
        <f t="shared" si="7"/>
        <v>居住社区成熟度</v>
      </c>
      <c r="AA15" s="1814">
        <f t="shared" si="3"/>
        <v>1</v>
      </c>
      <c r="AB15" s="1814">
        <f t="shared" si="4"/>
        <v>1</v>
      </c>
      <c r="AC15" s="1814">
        <f t="shared" si="5"/>
        <v>1.0309278350515463</v>
      </c>
    </row>
    <row r="16" spans="1:29" ht="15">
      <c r="A16" s="428"/>
      <c r="B16" s="446"/>
      <c r="C16" s="447" t="s">
        <v>3083</v>
      </c>
      <c r="D16" s="448"/>
      <c r="E16" s="447" t="s">
        <v>3083</v>
      </c>
      <c r="F16" s="448"/>
      <c r="G16" s="2602" t="s">
        <v>3083</v>
      </c>
      <c r="H16" s="450"/>
      <c r="I16" s="2602" t="s">
        <v>3084</v>
      </c>
      <c r="J16" s="448"/>
      <c r="K16" s="2603"/>
      <c r="L16" s="1143"/>
      <c r="M16" s="1134"/>
      <c r="N16" s="1134"/>
      <c r="O16" s="1134"/>
      <c r="P16" s="3289"/>
      <c r="Q16" s="1813"/>
      <c r="R16" s="774"/>
      <c r="S16" s="775"/>
      <c r="T16" s="774"/>
      <c r="U16" s="775"/>
      <c r="V16" s="774"/>
      <c r="W16" s="775"/>
      <c r="X16" s="1816"/>
      <c r="Y16" s="3221"/>
      <c r="Z16" s="1817"/>
      <c r="AA16" s="1814">
        <v>1</v>
      </c>
      <c r="AB16" s="1814">
        <v>1</v>
      </c>
      <c r="AC16" s="1814">
        <v>1</v>
      </c>
    </row>
    <row r="17" spans="1:29" ht="122.25">
      <c r="A17" s="428"/>
      <c r="B17" s="451" t="s">
        <v>2090</v>
      </c>
      <c r="C17" s="2604" t="str">
        <f>估价对象房地状况!C6</f>
        <v>估价对象周边路网较密集，公共交通通达情况较好、停车便捷程度较好，有27路、44路等公交车，综合评价交通便捷度较好。</v>
      </c>
      <c r="D17" s="450">
        <v>100</v>
      </c>
      <c r="E17" s="454" t="s">
        <v>3101</v>
      </c>
      <c r="F17" s="450">
        <f>SUMIF(78:78,E18,79:79)-SUMIF(78:78,C18,79:79)+100</f>
        <v>100</v>
      </c>
      <c r="G17" s="454" t="s">
        <v>3096</v>
      </c>
      <c r="H17" s="455">
        <f>SUMIF(78:78,G18,79:79)-SUMIF(78:78,C18,79:79)+100</f>
        <v>100</v>
      </c>
      <c r="I17" s="454" t="s">
        <v>3102</v>
      </c>
      <c r="J17" s="455">
        <f>SUMIF(78:78,I18,79:79)-SUMIF(78:78,C18,79:79)+100</f>
        <v>100</v>
      </c>
      <c r="K17" s="445"/>
      <c r="L17" s="1143"/>
      <c r="M17" s="1134"/>
      <c r="N17" s="1134"/>
      <c r="O17" s="1134"/>
      <c r="P17" s="3289"/>
      <c r="Q17" s="1813" t="str">
        <f>B17</f>
        <v>交通便捷度</v>
      </c>
      <c r="R17" s="774" t="s">
        <v>21</v>
      </c>
      <c r="S17" s="775">
        <f>F17</f>
        <v>100</v>
      </c>
      <c r="T17" s="774" t="s">
        <v>21</v>
      </c>
      <c r="U17" s="775">
        <f>H17</f>
        <v>100</v>
      </c>
      <c r="V17" s="774" t="s">
        <v>21</v>
      </c>
      <c r="W17" s="775">
        <f>J17</f>
        <v>100</v>
      </c>
      <c r="X17" s="1816"/>
      <c r="Y17" s="3221"/>
      <c r="Z17" s="1817" t="str">
        <f>Q17</f>
        <v>交通便捷度</v>
      </c>
      <c r="AA17" s="1814">
        <f t="shared" si="3"/>
        <v>1</v>
      </c>
      <c r="AB17" s="1814">
        <f t="shared" si="4"/>
        <v>1</v>
      </c>
      <c r="AC17" s="1814">
        <f t="shared" si="5"/>
        <v>1</v>
      </c>
    </row>
    <row r="18" spans="1:29" ht="15">
      <c r="A18" s="428"/>
      <c r="B18" s="456"/>
      <c r="C18" s="2605" t="s">
        <v>3083</v>
      </c>
      <c r="D18" s="450"/>
      <c r="E18" s="2605" t="s">
        <v>3083</v>
      </c>
      <c r="F18" s="450"/>
      <c r="G18" s="2607" t="s">
        <v>3083</v>
      </c>
      <c r="H18" s="448"/>
      <c r="I18" s="2607" t="s">
        <v>3083</v>
      </c>
      <c r="J18" s="448"/>
      <c r="K18" s="2603"/>
      <c r="L18" s="1143"/>
      <c r="M18" s="1134"/>
      <c r="N18" s="1134"/>
      <c r="O18" s="1134"/>
      <c r="P18" s="3289"/>
      <c r="Q18" s="1813"/>
      <c r="R18" s="774"/>
      <c r="S18" s="775"/>
      <c r="T18" s="774"/>
      <c r="U18" s="775"/>
      <c r="V18" s="774"/>
      <c r="W18" s="775"/>
      <c r="X18" s="1816"/>
      <c r="Y18" s="3221"/>
      <c r="Z18" s="1817"/>
      <c r="AA18" s="1814">
        <v>1</v>
      </c>
      <c r="AB18" s="1814">
        <v>1</v>
      </c>
      <c r="AC18" s="1814">
        <v>1</v>
      </c>
    </row>
    <row r="19" spans="1:29" ht="185.25">
      <c r="A19" s="428"/>
      <c r="B19" s="451" t="s">
        <v>2088</v>
      </c>
      <c r="C19" s="2604" t="str">
        <f>估价对象房地状况!C7</f>
        <v>估价对象所在区域2公里范围内有：银行（中国银行、河南汴京农村商业银行），购物（大宏万达广场、和润超市），学校（二师附小、金明实验中学）等，无医院，公共配套设施齐备情况一般。</v>
      </c>
      <c r="D19" s="455">
        <v>100</v>
      </c>
      <c r="E19" s="459" t="s">
        <v>3085</v>
      </c>
      <c r="F19" s="455">
        <f>SUMIF(80:80,E20,81:81)-SUMIF(80:80,C20,81:81)+100</f>
        <v>100</v>
      </c>
      <c r="G19" s="459" t="s">
        <v>3097</v>
      </c>
      <c r="H19" s="450">
        <f>SUMIF(80:80,G20,81:81)-SUMIF(80:80,C20,81:81)+100</f>
        <v>100</v>
      </c>
      <c r="I19" s="459" t="s">
        <v>3103</v>
      </c>
      <c r="J19" s="450">
        <f>SUMIF(80:80,I20,81:81)-SUMIF(80:80,C20,81:81)+100</f>
        <v>98</v>
      </c>
      <c r="K19" s="445">
        <v>2</v>
      </c>
      <c r="L19" s="1143"/>
      <c r="M19" s="1134"/>
      <c r="N19" s="1134"/>
      <c r="O19" s="1134"/>
      <c r="P19" s="3289"/>
      <c r="Q19" s="1813" t="str">
        <f>B19</f>
        <v>公共配套设施</v>
      </c>
      <c r="R19" s="774" t="s">
        <v>21</v>
      </c>
      <c r="S19" s="775">
        <f>F19</f>
        <v>100</v>
      </c>
      <c r="T19" s="774" t="s">
        <v>21</v>
      </c>
      <c r="U19" s="775">
        <f>H19</f>
        <v>100</v>
      </c>
      <c r="V19" s="774" t="s">
        <v>21</v>
      </c>
      <c r="W19" s="775">
        <f>J19</f>
        <v>98</v>
      </c>
      <c r="X19" s="1816"/>
      <c r="Y19" s="3221"/>
      <c r="Z19" s="1817" t="str">
        <f>Q19</f>
        <v>公共配套设施</v>
      </c>
      <c r="AA19" s="1814">
        <f t="shared" si="3"/>
        <v>1</v>
      </c>
      <c r="AB19" s="1814">
        <f t="shared" si="4"/>
        <v>1</v>
      </c>
      <c r="AC19" s="1814">
        <f t="shared" si="5"/>
        <v>1.0204081632653061</v>
      </c>
    </row>
    <row r="20" spans="1:29" ht="15">
      <c r="A20" s="428"/>
      <c r="B20" s="456"/>
      <c r="C20" s="447" t="s">
        <v>3084</v>
      </c>
      <c r="D20" s="448"/>
      <c r="E20" s="2601" t="s">
        <v>3084</v>
      </c>
      <c r="F20" s="448"/>
      <c r="G20" s="2602" t="s">
        <v>3084</v>
      </c>
      <c r="H20" s="448"/>
      <c r="I20" s="2602" t="s">
        <v>3104</v>
      </c>
      <c r="J20" s="448"/>
      <c r="K20" s="2603"/>
      <c r="L20" s="1143"/>
      <c r="M20" s="1134"/>
      <c r="N20" s="1134"/>
      <c r="O20" s="1134"/>
      <c r="P20" s="3289"/>
      <c r="Q20" s="1813"/>
      <c r="R20" s="774"/>
      <c r="S20" s="775"/>
      <c r="T20" s="774"/>
      <c r="U20" s="775"/>
      <c r="V20" s="774"/>
      <c r="W20" s="775"/>
      <c r="X20" s="1816"/>
      <c r="Y20" s="3221"/>
      <c r="Z20" s="1817"/>
      <c r="AA20" s="1814">
        <v>1</v>
      </c>
      <c r="AB20" s="1814">
        <v>1</v>
      </c>
      <c r="AC20" s="1814">
        <v>1</v>
      </c>
    </row>
    <row r="21" spans="1:29" ht="42.75">
      <c r="A21" s="428"/>
      <c r="B21" s="1387" t="s">
        <v>2091</v>
      </c>
      <c r="C21" s="2604" t="str">
        <f>估价对象房地状况!C8</f>
        <v>估价对象所在区域基础设施水平达到“七通”。</v>
      </c>
      <c r="D21" s="450">
        <v>100</v>
      </c>
      <c r="E21" s="459" t="s">
        <v>3080</v>
      </c>
      <c r="F21" s="455">
        <f>SUMIF(82:82,E22,83:83)-SUMIF(82:82,C22,83:83)+100</f>
        <v>100</v>
      </c>
      <c r="G21" s="457" t="s">
        <v>3080</v>
      </c>
      <c r="H21" s="450">
        <f>SUMIF(82:82,G22,83:83)-SUMIF(82:82,C22,83:83)+100</f>
        <v>100</v>
      </c>
      <c r="I21" s="457" t="s">
        <v>3080</v>
      </c>
      <c r="J21" s="450">
        <f>SUMIF(82:82,I22,83:83)-SUMIF(82:82,C22,83:83)+100</f>
        <v>100</v>
      </c>
      <c r="K21" s="445"/>
      <c r="L21" s="1143"/>
      <c r="M21" s="1134"/>
      <c r="N21" s="1134"/>
      <c r="O21" s="1134"/>
      <c r="P21" s="3289"/>
      <c r="Q21" s="1813" t="str">
        <f>B21</f>
        <v>基础设施水平</v>
      </c>
      <c r="R21" s="774" t="s">
        <v>17</v>
      </c>
      <c r="S21" s="775">
        <f>F21</f>
        <v>100</v>
      </c>
      <c r="T21" s="774" t="s">
        <v>17</v>
      </c>
      <c r="U21" s="775">
        <f>H21</f>
        <v>100</v>
      </c>
      <c r="V21" s="774" t="s">
        <v>17</v>
      </c>
      <c r="W21" s="775">
        <f>J21</f>
        <v>100</v>
      </c>
      <c r="X21" s="1816"/>
      <c r="Y21" s="3221"/>
      <c r="Z21" s="1817" t="str">
        <f>Q21</f>
        <v>基础设施水平</v>
      </c>
      <c r="AA21" s="1814">
        <f t="shared" ref="AA21" si="8">D21/F21</f>
        <v>1</v>
      </c>
      <c r="AB21" s="1814">
        <f t="shared" ref="AB21" si="9">D21/H21</f>
        <v>1</v>
      </c>
      <c r="AC21" s="1814">
        <f t="shared" ref="AC21" si="10">D21/J21</f>
        <v>1</v>
      </c>
    </row>
    <row r="22" spans="1:29" ht="15">
      <c r="A22" s="428"/>
      <c r="B22" s="1387"/>
      <c r="C22" s="2605" t="s">
        <v>3079</v>
      </c>
      <c r="D22" s="448"/>
      <c r="E22" s="2605" t="s">
        <v>3079</v>
      </c>
      <c r="F22" s="448"/>
      <c r="G22" s="2605" t="s">
        <v>3079</v>
      </c>
      <c r="H22" s="448"/>
      <c r="I22" s="2605" t="s">
        <v>3079</v>
      </c>
      <c r="J22" s="448"/>
      <c r="K22" s="2609"/>
      <c r="L22" s="1143"/>
      <c r="M22" s="1134"/>
      <c r="N22" s="1134"/>
      <c r="O22" s="1134"/>
      <c r="P22" s="3289"/>
      <c r="Q22" s="1813"/>
      <c r="R22" s="774"/>
      <c r="S22" s="775"/>
      <c r="T22" s="774"/>
      <c r="U22" s="775"/>
      <c r="V22" s="774"/>
      <c r="W22" s="775"/>
      <c r="X22" s="1816"/>
      <c r="Y22" s="3221"/>
      <c r="Z22" s="1817"/>
      <c r="AA22" s="1814">
        <v>1</v>
      </c>
      <c r="AB22" s="1814">
        <v>1</v>
      </c>
      <c r="AC22" s="1814">
        <v>1</v>
      </c>
    </row>
    <row r="23" spans="1:29" ht="128.25">
      <c r="A23" s="428"/>
      <c r="B23" s="451" t="s">
        <v>2095</v>
      </c>
      <c r="C23" s="2604" t="str">
        <f>估价对象房地状况!C9</f>
        <v>区域自然环境：有大型绿化景观，有中意湖等自然景观；人文环境：开封市博物馆、开封市规划展示馆；综合评价环境状况较好。</v>
      </c>
      <c r="D23" s="450">
        <v>100</v>
      </c>
      <c r="E23" s="2950" t="s">
        <v>3098</v>
      </c>
      <c r="F23" s="450">
        <f>SUMIF(84:84,E24,85:85)-SUMIF(84:84,C24,85:85)+100</f>
        <v>100</v>
      </c>
      <c r="G23" s="2950" t="s">
        <v>3099</v>
      </c>
      <c r="H23" s="450">
        <f>SUMIF(84:84,G24,85:85)-SUMIF(84:84,C24,85:85)+100</f>
        <v>98</v>
      </c>
      <c r="I23" s="2950" t="s">
        <v>3105</v>
      </c>
      <c r="J23" s="450">
        <f>SUMIF(84:84,I24,85:85)-SUMIF(84:84,C24,85:85)+100</f>
        <v>96</v>
      </c>
      <c r="K23" s="445">
        <v>2</v>
      </c>
      <c r="L23" s="1143"/>
      <c r="M23" s="1134"/>
      <c r="N23" s="1134"/>
      <c r="O23" s="1134"/>
      <c r="P23" s="3289"/>
      <c r="Q23" s="1813" t="str">
        <f>B23</f>
        <v>自然及人文环境</v>
      </c>
      <c r="R23" s="774" t="s">
        <v>21</v>
      </c>
      <c r="S23" s="775">
        <f>F23</f>
        <v>100</v>
      </c>
      <c r="T23" s="774" t="s">
        <v>21</v>
      </c>
      <c r="U23" s="775">
        <f>H23</f>
        <v>98</v>
      </c>
      <c r="V23" s="774" t="s">
        <v>21</v>
      </c>
      <c r="W23" s="775">
        <f>J23</f>
        <v>96</v>
      </c>
      <c r="X23" s="1816"/>
      <c r="Y23" s="3221"/>
      <c r="Z23" s="1817" t="str">
        <f>Q23</f>
        <v>自然及人文环境</v>
      </c>
      <c r="AA23" s="1814">
        <f>D23/F23</f>
        <v>1</v>
      </c>
      <c r="AB23" s="1814">
        <f>D23/H23</f>
        <v>1.0204081632653061</v>
      </c>
      <c r="AC23" s="1814">
        <f>D23/J23</f>
        <v>1.0416666666666667</v>
      </c>
    </row>
    <row r="24" spans="1:29" ht="15">
      <c r="A24" s="428"/>
      <c r="B24" s="456"/>
      <c r="C24" s="447" t="s">
        <v>3083</v>
      </c>
      <c r="D24" s="448"/>
      <c r="E24" s="2601" t="s">
        <v>3083</v>
      </c>
      <c r="F24" s="448"/>
      <c r="G24" s="2602" t="s">
        <v>3084</v>
      </c>
      <c r="H24" s="448"/>
      <c r="I24" s="2602" t="s">
        <v>3104</v>
      </c>
      <c r="J24" s="448"/>
      <c r="K24" s="2603"/>
      <c r="L24" s="1143"/>
      <c r="M24" s="1134"/>
      <c r="N24" s="1134"/>
      <c r="O24" s="1134"/>
      <c r="P24" s="3289"/>
      <c r="Q24" s="1813"/>
      <c r="R24" s="774"/>
      <c r="S24" s="775"/>
      <c r="T24" s="774"/>
      <c r="U24" s="775"/>
      <c r="V24" s="774"/>
      <c r="W24" s="775"/>
      <c r="X24" s="1816"/>
      <c r="Y24" s="3221"/>
      <c r="Z24" s="1817"/>
      <c r="AA24" s="1814">
        <v>1</v>
      </c>
      <c r="AB24" s="1814">
        <v>1</v>
      </c>
      <c r="AC24" s="1814">
        <v>1</v>
      </c>
    </row>
    <row r="25" spans="1:29" ht="15">
      <c r="A25" s="428"/>
      <c r="B25" s="422" t="s">
        <v>2552</v>
      </c>
      <c r="C25" s="460"/>
      <c r="D25" s="435">
        <v>100</v>
      </c>
      <c r="E25" s="2610"/>
      <c r="F25" s="435">
        <f>SUMIF(86:86,E25,87:87)-SUMIF(86:86,C25,87:87)+100</f>
        <v>100</v>
      </c>
      <c r="G25" s="2611"/>
      <c r="H25" s="435">
        <f>SUMIF(86:86,G25,87:87)-SUMIF(86:86,C25,87:87)+100</f>
        <v>100</v>
      </c>
      <c r="I25" s="2611"/>
      <c r="J25" s="435">
        <f>SUMIF(86:86,I25,87:87)-SUMIF(86:86,C25,87:87)+100</f>
        <v>100</v>
      </c>
      <c r="K25" s="426"/>
      <c r="L25" s="1143"/>
      <c r="M25" s="1134"/>
      <c r="N25" s="1134"/>
      <c r="O25" s="1134"/>
      <c r="P25" s="328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1"/>
      <c r="Z25" s="1817" t="str">
        <f>Q25</f>
        <v>楼层-1</v>
      </c>
      <c r="AA25" s="1814">
        <f t="shared" ref="AA25:AA46" si="15">D25/F25</f>
        <v>1</v>
      </c>
      <c r="AB25" s="1814">
        <f t="shared" ref="AB25:AB46" si="16">D25/H25</f>
        <v>1</v>
      </c>
      <c r="AC25" s="1814">
        <f t="shared" ref="AC25:AC46" si="17">D25/J25</f>
        <v>1</v>
      </c>
    </row>
    <row r="26" spans="1:29" ht="15.75" thickBot="1">
      <c r="A26" s="428"/>
      <c r="B26" s="422" t="s">
        <v>2553</v>
      </c>
      <c r="C26" s="460"/>
      <c r="D26" s="435">
        <v>100</v>
      </c>
      <c r="E26" s="2610"/>
      <c r="F26" s="435">
        <f>SUMIF(88:88,E26,89:89)-SUMIF(88:88,C26,89:89)+100</f>
        <v>100</v>
      </c>
      <c r="G26" s="2611"/>
      <c r="H26" s="435">
        <f>SUMIF(88:88,G26,89:89)-SUMIF(88:88,C26,89:89)+100</f>
        <v>100</v>
      </c>
      <c r="I26" s="2611"/>
      <c r="J26" s="435">
        <f>SUMIF(88:88,I26,89:89)-SUMIF(88:88,C26,89:89)+100</f>
        <v>100</v>
      </c>
      <c r="K26" s="426"/>
      <c r="L26" s="1143"/>
      <c r="M26" s="1134"/>
      <c r="N26" s="1134"/>
      <c r="O26" s="1134"/>
      <c r="P26" s="3289"/>
      <c r="Q26" s="1813" t="str">
        <f t="shared" si="11"/>
        <v>朝向</v>
      </c>
      <c r="R26" s="774" t="s">
        <v>21</v>
      </c>
      <c r="S26" s="775">
        <f t="shared" si="12"/>
        <v>100</v>
      </c>
      <c r="T26" s="774" t="s">
        <v>21</v>
      </c>
      <c r="U26" s="775">
        <f t="shared" si="13"/>
        <v>100</v>
      </c>
      <c r="V26" s="774" t="s">
        <v>21</v>
      </c>
      <c r="W26" s="775">
        <f t="shared" si="14"/>
        <v>100</v>
      </c>
      <c r="X26" s="1816"/>
      <c r="Y26" s="3221"/>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8"/>
      <c r="L27" s="1135"/>
      <c r="M27" s="1136"/>
      <c r="N27" s="1136"/>
      <c r="O27" s="1136"/>
      <c r="P27" s="3289"/>
      <c r="Q27" s="1798">
        <f t="shared" si="11"/>
        <v>111</v>
      </c>
      <c r="R27" s="770" t="s">
        <v>21</v>
      </c>
      <c r="S27" s="771">
        <f t="shared" si="12"/>
        <v>100</v>
      </c>
      <c r="T27" s="770" t="s">
        <v>21</v>
      </c>
      <c r="U27" s="771">
        <f t="shared" si="13"/>
        <v>100</v>
      </c>
      <c r="V27" s="770" t="s">
        <v>21</v>
      </c>
      <c r="W27" s="771">
        <f t="shared" si="14"/>
        <v>100</v>
      </c>
      <c r="X27" s="772"/>
      <c r="Y27" s="3221"/>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2"/>
      <c r="H28" s="435">
        <f>SUMIF(92:92,G28,93:93)-SUMIF(92:92,C28,93:93)+100</f>
        <v>100</v>
      </c>
      <c r="I28" s="434"/>
      <c r="J28" s="435">
        <f>SUMIF(92:92,I28,93:93)-SUMIF(92:92,C28,93:93)+100</f>
        <v>100</v>
      </c>
      <c r="K28" s="2598"/>
      <c r="L28" s="1143"/>
      <c r="M28" s="1134"/>
      <c r="N28" s="1134"/>
      <c r="O28" s="1134"/>
      <c r="P28" s="3289"/>
      <c r="Q28" s="1813">
        <f t="shared" si="11"/>
        <v>111</v>
      </c>
      <c r="R28" s="774" t="s">
        <v>21</v>
      </c>
      <c r="S28" s="775">
        <f t="shared" si="12"/>
        <v>100</v>
      </c>
      <c r="T28" s="774" t="s">
        <v>21</v>
      </c>
      <c r="U28" s="775">
        <f t="shared" si="13"/>
        <v>100</v>
      </c>
      <c r="V28" s="774" t="s">
        <v>21</v>
      </c>
      <c r="W28" s="775">
        <f t="shared" si="14"/>
        <v>100</v>
      </c>
      <c r="X28" s="1816"/>
      <c r="Y28" s="3221"/>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2"/>
      <c r="H29" s="435">
        <f>SUMIF(94:94,G29,95:95)-SUMIF(94:94,C29,95:95)+100</f>
        <v>100</v>
      </c>
      <c r="I29" s="434"/>
      <c r="J29" s="435">
        <f>SUMIF(94:94,I29,95:95)-SUMIF(94:94,C29,95:95)+100</f>
        <v>100</v>
      </c>
      <c r="K29" s="2598"/>
      <c r="L29" s="1143"/>
      <c r="M29" s="1134"/>
      <c r="N29" s="1134"/>
      <c r="O29" s="1134"/>
      <c r="P29" s="3289"/>
      <c r="Q29" s="1813">
        <f t="shared" si="11"/>
        <v>111</v>
      </c>
      <c r="R29" s="774" t="s">
        <v>21</v>
      </c>
      <c r="S29" s="775">
        <f t="shared" si="12"/>
        <v>100</v>
      </c>
      <c r="T29" s="774" t="s">
        <v>21</v>
      </c>
      <c r="U29" s="775">
        <f t="shared" si="13"/>
        <v>100</v>
      </c>
      <c r="V29" s="774" t="s">
        <v>21</v>
      </c>
      <c r="W29" s="775">
        <f t="shared" si="14"/>
        <v>100</v>
      </c>
      <c r="X29" s="1816"/>
      <c r="Y29" s="3221"/>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2"/>
      <c r="H30" s="435">
        <f>SUMIF(96:96,G30,97:97)-SUMIF(96:96,C30,97:97)+100</f>
        <v>100</v>
      </c>
      <c r="I30" s="434"/>
      <c r="J30" s="435">
        <f>SUMIF(96:96,I30,97:97)-SUMIF(96:96,C30,97:97)+100</f>
        <v>100</v>
      </c>
      <c r="K30" s="2598"/>
      <c r="L30" s="1143"/>
      <c r="M30" s="1134"/>
      <c r="N30" s="1134"/>
      <c r="O30" s="1134"/>
      <c r="P30" s="3289"/>
      <c r="Q30" s="1813">
        <f t="shared" si="11"/>
        <v>111</v>
      </c>
      <c r="R30" s="774" t="s">
        <v>21</v>
      </c>
      <c r="S30" s="775">
        <f t="shared" si="12"/>
        <v>100</v>
      </c>
      <c r="T30" s="774" t="s">
        <v>21</v>
      </c>
      <c r="U30" s="775">
        <f t="shared" si="13"/>
        <v>100</v>
      </c>
      <c r="V30" s="774" t="s">
        <v>21</v>
      </c>
      <c r="W30" s="775">
        <f t="shared" si="14"/>
        <v>100</v>
      </c>
      <c r="X30" s="1816"/>
      <c r="Y30" s="3221"/>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3"/>
      <c r="H31" s="438">
        <f>SUMIF(98:98,G31,99:99)-SUMIF(98:98,C31,99:99)+100</f>
        <v>100</v>
      </c>
      <c r="I31" s="437"/>
      <c r="J31" s="438">
        <f>SUMIF(98:98,I31,99:99)-SUMIF(98:98,C31,99:99)+100</f>
        <v>100</v>
      </c>
      <c r="K31" s="2598"/>
      <c r="L31" s="1143"/>
      <c r="M31" s="1134"/>
      <c r="N31" s="1134"/>
      <c r="O31" s="1134"/>
      <c r="P31" s="3289"/>
      <c r="Q31" s="1813">
        <f t="shared" si="11"/>
        <v>111</v>
      </c>
      <c r="R31" s="774" t="s">
        <v>21</v>
      </c>
      <c r="S31" s="775">
        <f t="shared" si="12"/>
        <v>100</v>
      </c>
      <c r="T31" s="774" t="s">
        <v>21</v>
      </c>
      <c r="U31" s="775">
        <f t="shared" si="13"/>
        <v>100</v>
      </c>
      <c r="V31" s="774" t="s">
        <v>21</v>
      </c>
      <c r="W31" s="775">
        <f t="shared" si="14"/>
        <v>100</v>
      </c>
      <c r="X31" s="1816"/>
      <c r="Y31" s="3221"/>
      <c r="Z31" s="1817">
        <f t="shared" si="18"/>
        <v>111</v>
      </c>
      <c r="AA31" s="1814">
        <f t="shared" si="15"/>
        <v>1</v>
      </c>
      <c r="AB31" s="1814">
        <f t="shared" si="16"/>
        <v>1</v>
      </c>
      <c r="AC31" s="1814">
        <f t="shared" si="17"/>
        <v>1</v>
      </c>
    </row>
    <row r="32" spans="1:29" ht="15">
      <c r="A32" s="440" t="s">
        <v>2554</v>
      </c>
      <c r="B32" s="71" t="s">
        <v>2555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3"/>
      <c r="M32" s="1134"/>
      <c r="N32" s="1134"/>
      <c r="O32" s="1134"/>
      <c r="P32" s="3284" t="s">
        <v>2556</v>
      </c>
      <c r="Q32" s="1813" t="str">
        <f t="shared" si="11"/>
        <v>建筑类型</v>
      </c>
      <c r="R32" s="774" t="s">
        <v>21</v>
      </c>
      <c r="S32" s="775">
        <f t="shared" si="12"/>
        <v>100</v>
      </c>
      <c r="T32" s="774" t="s">
        <v>21</v>
      </c>
      <c r="U32" s="775">
        <f t="shared" si="13"/>
        <v>100</v>
      </c>
      <c r="V32" s="774" t="s">
        <v>21</v>
      </c>
      <c r="W32" s="775">
        <f t="shared" si="14"/>
        <v>100</v>
      </c>
      <c r="X32" s="1816"/>
      <c r="Y32" s="3223" t="s">
        <v>2556</v>
      </c>
      <c r="Z32" s="1817" t="str">
        <f t="shared" si="18"/>
        <v>建筑类型</v>
      </c>
      <c r="AA32" s="1814">
        <f t="shared" si="15"/>
        <v>1</v>
      </c>
      <c r="AB32" s="1814">
        <f t="shared" si="16"/>
        <v>1</v>
      </c>
      <c r="AC32" s="1814">
        <f t="shared" si="17"/>
        <v>1</v>
      </c>
    </row>
    <row r="33" spans="1:29" s="471" customFormat="1" ht="15">
      <c r="A33" s="468"/>
      <c r="B33" s="422" t="s">
        <v>2557</v>
      </c>
      <c r="C33" s="469">
        <v>100</v>
      </c>
      <c r="D33" s="136">
        <v>100</v>
      </c>
      <c r="E33" s="430">
        <v>100</v>
      </c>
      <c r="F33" s="425">
        <f>LOOKUP(E33,103:103,104:104)-LOOKUP(C33,103:103,104:104)+100</f>
        <v>100</v>
      </c>
      <c r="G33" s="429">
        <v>100</v>
      </c>
      <c r="H33" s="136">
        <f>LOOKUP(G33,103:103,104:104)-LOOKUP(C33,103:103,104:104)+100</f>
        <v>100</v>
      </c>
      <c r="I33" s="430">
        <v>100</v>
      </c>
      <c r="J33" s="136">
        <f>LOOKUP(I33,103:103,104:104)-LOOKUP(C33,103:103,104:104)+100</f>
        <v>100</v>
      </c>
      <c r="K33" s="2598"/>
      <c r="L33" s="1141"/>
      <c r="M33" s="1144"/>
      <c r="N33" s="1144"/>
      <c r="O33" s="1144"/>
      <c r="P33" s="3285"/>
      <c r="Q33" s="776" t="str">
        <f t="shared" si="11"/>
        <v>项目建筑规模</v>
      </c>
      <c r="R33" s="777" t="s">
        <v>21</v>
      </c>
      <c r="S33" s="778">
        <f t="shared" si="12"/>
        <v>100</v>
      </c>
      <c r="T33" s="777" t="s">
        <v>21</v>
      </c>
      <c r="U33" s="778">
        <f t="shared" si="13"/>
        <v>100</v>
      </c>
      <c r="V33" s="777" t="s">
        <v>21</v>
      </c>
      <c r="W33" s="778">
        <f t="shared" si="14"/>
        <v>100</v>
      </c>
      <c r="X33" s="779"/>
      <c r="Y33" s="3223"/>
      <c r="Z33" s="780" t="str">
        <f t="shared" si="18"/>
        <v>项目建筑规模</v>
      </c>
      <c r="AA33" s="1814">
        <f t="shared" si="15"/>
        <v>1</v>
      </c>
      <c r="AB33" s="1814">
        <f t="shared" si="16"/>
        <v>1</v>
      </c>
      <c r="AC33" s="1814">
        <f t="shared" si="17"/>
        <v>1</v>
      </c>
    </row>
    <row r="34" spans="1:29" ht="15">
      <c r="A34" s="472"/>
      <c r="B34" s="422" t="s">
        <v>2558</v>
      </c>
      <c r="C34" s="2616" t="s">
        <v>3086</v>
      </c>
      <c r="D34" s="435">
        <v>100</v>
      </c>
      <c r="E34" s="2616" t="s">
        <v>3086</v>
      </c>
      <c r="F34" s="461">
        <f>SUMIF(105:105,E34,106:106)-SUMIF(105:105,C34,106:106)+100</f>
        <v>100</v>
      </c>
      <c r="G34" s="2616" t="s">
        <v>3086</v>
      </c>
      <c r="H34" s="435">
        <f>SUMIF(105:105,G34,106:106)-SUMIF(105:105,C34,106:106)+100</f>
        <v>100</v>
      </c>
      <c r="I34" s="2616" t="s">
        <v>3086</v>
      </c>
      <c r="J34" s="435">
        <f>SUMIF(105:105,I34,106:106)-SUMIF(105:105,C34,106:106)+100</f>
        <v>100</v>
      </c>
      <c r="K34" s="426"/>
      <c r="L34" s="1143"/>
      <c r="M34" s="1134"/>
      <c r="N34" s="1134"/>
      <c r="O34" s="1134"/>
      <c r="P34" s="3285"/>
      <c r="Q34" s="1813" t="str">
        <f t="shared" si="11"/>
        <v>建筑结构</v>
      </c>
      <c r="R34" s="774" t="s">
        <v>21</v>
      </c>
      <c r="S34" s="775">
        <f t="shared" si="12"/>
        <v>100</v>
      </c>
      <c r="T34" s="774" t="s">
        <v>21</v>
      </c>
      <c r="U34" s="775">
        <f t="shared" si="13"/>
        <v>100</v>
      </c>
      <c r="V34" s="774" t="s">
        <v>21</v>
      </c>
      <c r="W34" s="775">
        <f t="shared" si="14"/>
        <v>100</v>
      </c>
      <c r="X34" s="1816"/>
      <c r="Y34" s="3223"/>
      <c r="Z34" s="1817" t="str">
        <f t="shared" si="18"/>
        <v>建筑结构</v>
      </c>
      <c r="AA34" s="1814">
        <f t="shared" si="15"/>
        <v>1</v>
      </c>
      <c r="AB34" s="1814">
        <f t="shared" si="16"/>
        <v>1</v>
      </c>
      <c r="AC34" s="1814">
        <f t="shared" si="17"/>
        <v>1</v>
      </c>
    </row>
    <row r="35" spans="1:29" ht="15">
      <c r="A35" s="472"/>
      <c r="B35" s="422" t="s">
        <v>2559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3"/>
      <c r="M35" s="1134"/>
      <c r="N35" s="1134"/>
      <c r="O35" s="1134"/>
      <c r="P35" s="3285"/>
      <c r="Q35" s="1813" t="str">
        <f t="shared" si="11"/>
        <v>建筑品质</v>
      </c>
      <c r="R35" s="774" t="s">
        <v>21</v>
      </c>
      <c r="S35" s="775">
        <f t="shared" si="12"/>
        <v>100</v>
      </c>
      <c r="T35" s="774" t="s">
        <v>21</v>
      </c>
      <c r="U35" s="775">
        <f t="shared" si="13"/>
        <v>100</v>
      </c>
      <c r="V35" s="774" t="s">
        <v>21</v>
      </c>
      <c r="W35" s="775">
        <f t="shared" si="14"/>
        <v>100</v>
      </c>
      <c r="X35" s="1816"/>
      <c r="Y35" s="3223"/>
      <c r="Z35" s="1817" t="str">
        <f t="shared" si="18"/>
        <v>建筑品质</v>
      </c>
      <c r="AA35" s="1814">
        <f t="shared" si="15"/>
        <v>1</v>
      </c>
      <c r="AB35" s="1814">
        <f t="shared" si="16"/>
        <v>1</v>
      </c>
      <c r="AC35" s="1814">
        <f t="shared" si="17"/>
        <v>1</v>
      </c>
    </row>
    <row r="36" spans="1:29" ht="15">
      <c r="A36" s="472"/>
      <c r="B36" s="422" t="s">
        <v>2560</v>
      </c>
      <c r="C36" s="2610" t="s">
        <v>3070</v>
      </c>
      <c r="D36" s="435">
        <v>100</v>
      </c>
      <c r="E36" s="2610" t="s">
        <v>3070</v>
      </c>
      <c r="F36" s="461">
        <f>SUMIF(109:109,E36,110:110)-SUMIF(109:109,C36,110:110)+100</f>
        <v>100</v>
      </c>
      <c r="G36" s="2610" t="s">
        <v>3070</v>
      </c>
      <c r="H36" s="435">
        <f>SUMIF(109:109,G36,110:110)-SUMIF(109:109,C36,110:110)+100</f>
        <v>100</v>
      </c>
      <c r="I36" s="2610" t="s">
        <v>3070</v>
      </c>
      <c r="J36" s="435">
        <f>SUMIF(109:109,I36,110:110)-SUMIF(109:109,C36,110:110)+100</f>
        <v>100</v>
      </c>
      <c r="K36" s="426"/>
      <c r="L36" s="1143"/>
      <c r="M36" s="1134"/>
      <c r="N36" s="1134"/>
      <c r="O36" s="1134"/>
      <c r="P36" s="3285"/>
      <c r="Q36" s="1813" t="str">
        <f t="shared" si="11"/>
        <v>公共部分装修</v>
      </c>
      <c r="R36" s="774" t="s">
        <v>21</v>
      </c>
      <c r="S36" s="775">
        <f t="shared" si="12"/>
        <v>100</v>
      </c>
      <c r="T36" s="774" t="s">
        <v>21</v>
      </c>
      <c r="U36" s="775">
        <f t="shared" si="13"/>
        <v>100</v>
      </c>
      <c r="V36" s="774" t="s">
        <v>21</v>
      </c>
      <c r="W36" s="775">
        <f t="shared" si="14"/>
        <v>100</v>
      </c>
      <c r="X36" s="1816"/>
      <c r="Y36" s="3223"/>
      <c r="Z36" s="1817" t="str">
        <f t="shared" si="18"/>
        <v>公共部分装修</v>
      </c>
      <c r="AA36" s="1814">
        <f t="shared" si="15"/>
        <v>1</v>
      </c>
      <c r="AB36" s="1814">
        <f t="shared" si="16"/>
        <v>1</v>
      </c>
      <c r="AC36" s="1814">
        <f t="shared" si="17"/>
        <v>1</v>
      </c>
    </row>
    <row r="37" spans="1:29" s="117" customFormat="1" ht="15">
      <c r="A37" s="473"/>
      <c r="B37" s="422" t="s">
        <v>2561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85"/>
      <c r="Q37" s="1798" t="str">
        <f t="shared" si="11"/>
        <v>成新度</v>
      </c>
      <c r="R37" s="770" t="s">
        <v>21</v>
      </c>
      <c r="S37" s="771">
        <f t="shared" si="12"/>
        <v>100</v>
      </c>
      <c r="T37" s="770" t="s">
        <v>21</v>
      </c>
      <c r="U37" s="771">
        <f t="shared" si="13"/>
        <v>100</v>
      </c>
      <c r="V37" s="770" t="s">
        <v>21</v>
      </c>
      <c r="W37" s="771">
        <f t="shared" si="14"/>
        <v>100</v>
      </c>
      <c r="X37" s="772"/>
      <c r="Y37" s="3223"/>
      <c r="Z37" s="55" t="str">
        <f t="shared" si="18"/>
        <v>成新度</v>
      </c>
      <c r="AA37" s="773">
        <f t="shared" si="15"/>
        <v>1</v>
      </c>
      <c r="AB37" s="773">
        <f t="shared" si="16"/>
        <v>1</v>
      </c>
      <c r="AC37" s="773">
        <f t="shared" si="17"/>
        <v>1</v>
      </c>
    </row>
    <row r="38" spans="1:29" ht="15">
      <c r="A38" s="472"/>
      <c r="B38" s="422" t="s">
        <v>2562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3"/>
      <c r="M38" s="1134"/>
      <c r="N38" s="1134"/>
      <c r="O38" s="1134"/>
      <c r="P38" s="3285" t="s">
        <v>2556</v>
      </c>
      <c r="Q38" s="1813" t="str">
        <f t="shared" si="11"/>
        <v>物业管理</v>
      </c>
      <c r="R38" s="774" t="s">
        <v>21</v>
      </c>
      <c r="S38" s="775">
        <f t="shared" si="12"/>
        <v>100</v>
      </c>
      <c r="T38" s="774" t="s">
        <v>21</v>
      </c>
      <c r="U38" s="775">
        <f t="shared" si="13"/>
        <v>100</v>
      </c>
      <c r="V38" s="774" t="s">
        <v>21</v>
      </c>
      <c r="W38" s="775">
        <f t="shared" si="14"/>
        <v>100</v>
      </c>
      <c r="X38" s="1816"/>
      <c r="Y38" s="3223" t="s">
        <v>2556</v>
      </c>
      <c r="Z38" s="1817" t="str">
        <f t="shared" si="18"/>
        <v>物业管理</v>
      </c>
      <c r="AA38" s="1814">
        <f t="shared" si="15"/>
        <v>1</v>
      </c>
      <c r="AB38" s="1814">
        <f t="shared" si="16"/>
        <v>1</v>
      </c>
      <c r="AC38" s="1814">
        <f t="shared" si="17"/>
        <v>1</v>
      </c>
    </row>
    <row r="39" spans="1:29" ht="15">
      <c r="A39" s="472"/>
      <c r="B39" s="422" t="s">
        <v>2563</v>
      </c>
      <c r="C39" s="2610" t="s">
        <v>3079</v>
      </c>
      <c r="D39" s="435">
        <v>100</v>
      </c>
      <c r="E39" s="2610" t="s">
        <v>3079</v>
      </c>
      <c r="F39" s="461">
        <f>SUMIF(116:116,E39,117:117)-SUMIF(116:116,C39,117:117)+100</f>
        <v>100</v>
      </c>
      <c r="G39" s="2610" t="s">
        <v>3079</v>
      </c>
      <c r="H39" s="435">
        <f>SUMIF(116:116,G39,117:117)-SUMIF(116:116,C39,117:117)+100</f>
        <v>100</v>
      </c>
      <c r="I39" s="2610" t="s">
        <v>3079</v>
      </c>
      <c r="J39" s="435">
        <f>SUMIF(116:116,I39,117:117)-SUMIF(116:116,C39,117:117)+100</f>
        <v>100</v>
      </c>
      <c r="K39" s="426"/>
      <c r="L39" s="1143"/>
      <c r="M39" s="1134"/>
      <c r="N39" s="1134"/>
      <c r="O39" s="1134"/>
      <c r="P39" s="3285"/>
      <c r="Q39" s="1813" t="str">
        <f t="shared" si="11"/>
        <v>市政基础设施</v>
      </c>
      <c r="R39" s="774" t="s">
        <v>21</v>
      </c>
      <c r="S39" s="775">
        <f t="shared" si="12"/>
        <v>100</v>
      </c>
      <c r="T39" s="774" t="s">
        <v>21</v>
      </c>
      <c r="U39" s="775">
        <f t="shared" si="13"/>
        <v>100</v>
      </c>
      <c r="V39" s="774" t="s">
        <v>21</v>
      </c>
      <c r="W39" s="775">
        <f t="shared" si="14"/>
        <v>100</v>
      </c>
      <c r="X39" s="1816"/>
      <c r="Y39" s="3223"/>
      <c r="Z39" s="1817" t="str">
        <f t="shared" si="18"/>
        <v>市政基础设施</v>
      </c>
      <c r="AA39" s="1814">
        <f t="shared" si="15"/>
        <v>1</v>
      </c>
      <c r="AB39" s="1814">
        <f t="shared" si="16"/>
        <v>1</v>
      </c>
      <c r="AC39" s="1814">
        <f t="shared" si="17"/>
        <v>1</v>
      </c>
    </row>
    <row r="40" spans="1:29" ht="15">
      <c r="A40" s="472"/>
      <c r="B40" s="422" t="s">
        <v>2564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3"/>
      <c r="M40" s="1134"/>
      <c r="N40" s="1134"/>
      <c r="O40" s="1134"/>
      <c r="P40" s="3285"/>
      <c r="Q40" s="1813" t="str">
        <f t="shared" si="11"/>
        <v>房型</v>
      </c>
      <c r="R40" s="774" t="s">
        <v>21</v>
      </c>
      <c r="S40" s="775">
        <f t="shared" si="12"/>
        <v>100</v>
      </c>
      <c r="T40" s="774" t="s">
        <v>21</v>
      </c>
      <c r="U40" s="775">
        <f t="shared" si="13"/>
        <v>100</v>
      </c>
      <c r="V40" s="774" t="s">
        <v>21</v>
      </c>
      <c r="W40" s="775">
        <f t="shared" si="14"/>
        <v>100</v>
      </c>
      <c r="X40" s="1816"/>
      <c r="Y40" s="3223"/>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1"/>
      <c r="M41" s="1144"/>
      <c r="N41" s="1144"/>
      <c r="O41" s="1144"/>
      <c r="P41" s="3285"/>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14">
        <f t="shared" si="15"/>
        <v>1</v>
      </c>
      <c r="AB41" s="1814">
        <f t="shared" si="16"/>
        <v>1</v>
      </c>
      <c r="AC41" s="1814">
        <f t="shared" si="17"/>
        <v>1</v>
      </c>
    </row>
    <row r="42" spans="1:29" ht="15">
      <c r="A42" s="472"/>
      <c r="B42" s="422" t="s">
        <v>2566</v>
      </c>
      <c r="C42" s="2610" t="s">
        <v>3073</v>
      </c>
      <c r="D42" s="435">
        <v>100</v>
      </c>
      <c r="E42" s="2611" t="s">
        <v>3068</v>
      </c>
      <c r="F42" s="461">
        <f>SUMIF(122:122,E42,123:123)-SUMIF(122:122,C42,123:123)+100</f>
        <v>109</v>
      </c>
      <c r="G42" s="2610" t="s">
        <v>3073</v>
      </c>
      <c r="H42" s="435">
        <f>SUMIF(122:122,G42,123:123)-SUMIF(122:122,C42,123:123)+100</f>
        <v>100</v>
      </c>
      <c r="I42" s="2611" t="s">
        <v>3070</v>
      </c>
      <c r="J42" s="435">
        <f>SUMIF(122:122,I42,123:123)-SUMIF(122:122,C42,123:123)+100</f>
        <v>106</v>
      </c>
      <c r="K42" s="426">
        <v>3</v>
      </c>
      <c r="L42" s="1143"/>
      <c r="M42" s="1134"/>
      <c r="N42" s="1134"/>
      <c r="O42" s="1134"/>
      <c r="P42" s="3285"/>
      <c r="Q42" s="1813" t="str">
        <f t="shared" si="11"/>
        <v>内部装修</v>
      </c>
      <c r="R42" s="774" t="s">
        <v>21</v>
      </c>
      <c r="S42" s="775">
        <f t="shared" si="12"/>
        <v>109</v>
      </c>
      <c r="T42" s="774" t="s">
        <v>21</v>
      </c>
      <c r="U42" s="775">
        <f t="shared" si="13"/>
        <v>100</v>
      </c>
      <c r="V42" s="774" t="s">
        <v>21</v>
      </c>
      <c r="W42" s="775">
        <f t="shared" si="14"/>
        <v>106</v>
      </c>
      <c r="X42" s="1816"/>
      <c r="Y42" s="3223"/>
      <c r="Z42" s="1817" t="str">
        <f t="shared" si="18"/>
        <v>内部装修</v>
      </c>
      <c r="AA42" s="1814">
        <f t="shared" si="15"/>
        <v>0.91743119266055051</v>
      </c>
      <c r="AB42" s="1814">
        <f t="shared" si="16"/>
        <v>1</v>
      </c>
      <c r="AC42" s="1814">
        <f t="shared" si="17"/>
        <v>0.94339622641509435</v>
      </c>
    </row>
    <row r="43" spans="1:29" ht="15.75" thickBot="1">
      <c r="A43" s="472"/>
      <c r="B43" s="422" t="s">
        <v>2567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3"/>
      <c r="M43" s="1134"/>
      <c r="N43" s="1134"/>
      <c r="O43" s="1134"/>
      <c r="P43" s="3285"/>
      <c r="Q43" s="1813" t="str">
        <f t="shared" si="11"/>
        <v>内部装修维护情况</v>
      </c>
      <c r="R43" s="774" t="s">
        <v>21</v>
      </c>
      <c r="S43" s="775">
        <f t="shared" si="12"/>
        <v>100</v>
      </c>
      <c r="T43" s="774" t="s">
        <v>21</v>
      </c>
      <c r="U43" s="775">
        <f t="shared" si="13"/>
        <v>100</v>
      </c>
      <c r="V43" s="774" t="s">
        <v>21</v>
      </c>
      <c r="W43" s="775">
        <f t="shared" si="14"/>
        <v>100</v>
      </c>
      <c r="X43" s="1816"/>
      <c r="Y43" s="3223"/>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5"/>
      <c r="M44" s="1136"/>
      <c r="N44" s="1136"/>
      <c r="O44" s="1136"/>
      <c r="P44" s="3285"/>
      <c r="Q44" s="1798">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3"/>
      <c r="M45" s="1134"/>
      <c r="N45" s="1134"/>
      <c r="O45" s="1134"/>
      <c r="P45" s="3285"/>
      <c r="Q45" s="1813">
        <f t="shared" si="11"/>
        <v>111</v>
      </c>
      <c r="R45" s="774" t="s">
        <v>21</v>
      </c>
      <c r="S45" s="775">
        <f t="shared" si="12"/>
        <v>100</v>
      </c>
      <c r="T45" s="774" t="s">
        <v>21</v>
      </c>
      <c r="U45" s="775">
        <f t="shared" si="13"/>
        <v>100</v>
      </c>
      <c r="V45" s="774" t="s">
        <v>21</v>
      </c>
      <c r="W45" s="775">
        <f t="shared" si="14"/>
        <v>100</v>
      </c>
      <c r="X45" s="1816"/>
      <c r="Y45" s="3223"/>
      <c r="Z45" s="1817">
        <f t="shared" si="18"/>
        <v>111</v>
      </c>
      <c r="AA45" s="1814">
        <f t="shared" si="15"/>
        <v>1</v>
      </c>
      <c r="AB45" s="1814">
        <f t="shared" si="16"/>
        <v>1</v>
      </c>
      <c r="AC45" s="1814">
        <f t="shared" si="17"/>
        <v>1</v>
      </c>
    </row>
    <row r="46" spans="1:29" ht="15.75" hidden="1"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3"/>
      <c r="M46" s="1134"/>
      <c r="N46" s="1134"/>
      <c r="O46" s="1134"/>
      <c r="P46" s="3286"/>
      <c r="Q46" s="1813">
        <f t="shared" si="11"/>
        <v>111</v>
      </c>
      <c r="R46" s="774" t="s">
        <v>20</v>
      </c>
      <c r="S46" s="775">
        <f t="shared" si="12"/>
        <v>100</v>
      </c>
      <c r="T46" s="774" t="s">
        <v>20</v>
      </c>
      <c r="U46" s="775">
        <f t="shared" si="13"/>
        <v>100</v>
      </c>
      <c r="V46" s="774" t="s">
        <v>20</v>
      </c>
      <c r="W46" s="775">
        <f t="shared" si="14"/>
        <v>100</v>
      </c>
      <c r="X46" s="1816"/>
      <c r="Y46" s="3287"/>
      <c r="Z46" s="1817">
        <f t="shared" si="18"/>
        <v>111</v>
      </c>
      <c r="AA46" s="1814">
        <f t="shared" si="15"/>
        <v>1</v>
      </c>
      <c r="AB46" s="1814">
        <f t="shared" si="16"/>
        <v>1</v>
      </c>
      <c r="AC46" s="1814">
        <f t="shared" si="17"/>
        <v>1</v>
      </c>
    </row>
    <row r="47" spans="1:29" ht="15">
      <c r="A47" s="479" t="s">
        <v>2568</v>
      </c>
      <c r="B47" s="480"/>
      <c r="C47" s="1410" t="s">
        <v>19</v>
      </c>
      <c r="D47" s="1411"/>
      <c r="E47" s="1412">
        <v>12000</v>
      </c>
      <c r="F47" s="1413"/>
      <c r="G47" s="1414">
        <v>9500</v>
      </c>
      <c r="H47" s="1415"/>
      <c r="I47" s="1412">
        <v>10500</v>
      </c>
      <c r="J47" s="1415"/>
      <c r="K47" s="2617"/>
      <c r="L47" s="1146"/>
      <c r="M47" s="1147"/>
      <c r="N47" s="1134"/>
      <c r="O47" s="1147"/>
      <c r="P47" s="3218" t="str">
        <f>A47</f>
        <v>成交单价（元/平方米）</v>
      </c>
      <c r="Q47" s="3218"/>
      <c r="R47" s="3283">
        <f>E47</f>
        <v>12000</v>
      </c>
      <c r="S47" s="3283"/>
      <c r="T47" s="3283">
        <f>G47</f>
        <v>9500</v>
      </c>
      <c r="U47" s="3283"/>
      <c r="V47" s="3283">
        <f>I47</f>
        <v>10500</v>
      </c>
      <c r="W47" s="3283"/>
      <c r="X47" s="759"/>
      <c r="Y47" s="781"/>
      <c r="Z47" s="759"/>
      <c r="AA47" s="759"/>
      <c r="AB47" s="759"/>
      <c r="AC47" s="759"/>
    </row>
    <row r="48" spans="1:29" ht="15.75" thickBot="1">
      <c r="A48" s="486" t="s">
        <v>2569</v>
      </c>
      <c r="B48" s="487"/>
      <c r="C48" s="1416">
        <f>R49</f>
        <v>10183</v>
      </c>
      <c r="D48" s="1417"/>
      <c r="E48" s="1418">
        <f>R48</f>
        <v>10586</v>
      </c>
      <c r="F48" s="1418"/>
      <c r="G48" s="1416">
        <f>T48</f>
        <v>9321</v>
      </c>
      <c r="H48" s="1417"/>
      <c r="I48" s="1418">
        <f>V48</f>
        <v>10642</v>
      </c>
      <c r="J48" s="1417"/>
      <c r="K48" s="2618"/>
      <c r="L48" s="1146"/>
      <c r="M48" s="1147"/>
      <c r="N48" s="1147"/>
      <c r="O48" s="1147"/>
      <c r="P48" s="3218" t="str">
        <f>A48</f>
        <v>比较价值（元/平方米）</v>
      </c>
      <c r="Q48" s="3218"/>
      <c r="R48" s="3283">
        <f>IF(F1="售价",ROUND(PRODUCT(R47,AA7:AA46),0),ROUND(PRODUCT(R47,AA7:AA46),1))</f>
        <v>10586</v>
      </c>
      <c r="S48" s="3283"/>
      <c r="T48" s="3283">
        <f>IF(F1="售价",ROUND(PRODUCT(T47,AB7:AB46),0),ROUND(PRODUCT(T47,AB7:AB46),1))</f>
        <v>9321</v>
      </c>
      <c r="U48" s="3283"/>
      <c r="V48" s="3283">
        <f>IF(F1="售价",ROUND(PRODUCT(V47,AC7:AC46),0),ROUND(PRODUCT(V47,AC7:AC46),1))</f>
        <v>10642</v>
      </c>
      <c r="W48" s="3283"/>
      <c r="X48" s="759"/>
      <c r="Y48" s="759"/>
      <c r="Z48" s="759"/>
      <c r="AA48" s="759"/>
      <c r="AB48" s="759"/>
      <c r="AC48" s="759"/>
    </row>
    <row r="49" spans="1:29" ht="15.75" thickBot="1">
      <c r="A49" s="492" t="s">
        <v>2570</v>
      </c>
      <c r="B49" s="493"/>
      <c r="C49" s="1419">
        <f>R49</f>
        <v>10183</v>
      </c>
      <c r="D49" s="1420"/>
      <c r="E49" s="1420"/>
      <c r="F49" s="1420"/>
      <c r="G49" s="1420"/>
      <c r="H49" s="1420"/>
      <c r="I49" s="1420"/>
      <c r="J49" s="1420"/>
      <c r="K49" s="2619"/>
      <c r="L49" s="1146"/>
      <c r="M49" s="1147"/>
      <c r="N49" s="1147"/>
      <c r="O49" s="1147"/>
      <c r="P49" s="3212" t="str">
        <f>A49</f>
        <v>估价对象XX用房的比较价值（楼面单价，元/平方米）</v>
      </c>
      <c r="Q49" s="3213"/>
      <c r="R49" s="3282">
        <f>IF(F1="售价",ROUND(AVERAGE(R48:V48),0),ROUND(AVERAGE(R48:V48),1))</f>
        <v>10183</v>
      </c>
      <c r="S49" s="3282"/>
      <c r="T49" s="3282"/>
      <c r="U49" s="3282"/>
      <c r="V49" s="3282"/>
      <c r="W49" s="32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f>IF(E47&lt;E48,E48/E47-1,E47/E48-1)</f>
        <v>0.13357264311354622</v>
      </c>
      <c r="F52" s="500" t="str">
        <f>IF(OR(E52&gt;=0.3,E52&lt;=-0.3),"超过30%","")</f>
        <v/>
      </c>
      <c r="G52" s="499">
        <f>IF(G47&lt;G48,G48/G47-1,G47/G48-1)</f>
        <v>1.9203948074240973E-2</v>
      </c>
      <c r="H52" s="500" t="str">
        <f>IF(OR(G52&gt;=0.3,G52&lt;=-0.3),"超过30%","")</f>
        <v/>
      </c>
      <c r="I52" s="499">
        <f>IF(I47&lt;I48,I48/I47-1,I47/I48-1)</f>
        <v>1.3523809523809494E-2</v>
      </c>
      <c r="J52" s="500" t="str">
        <f>IF(OR(I52&gt;=0.3,I52&lt;=-0.3),"超过30%","")</f>
        <v/>
      </c>
      <c r="K52" s="1108"/>
      <c r="L52" s="1109"/>
      <c r="M52" s="1147"/>
      <c r="N52" s="1147"/>
      <c r="O52" s="1147"/>
    </row>
    <row r="53" spans="1:29" ht="13.5" customHeight="1">
      <c r="A53" s="1147"/>
      <c r="B53" s="1147"/>
      <c r="C53" s="497" t="s">
        <v>2572</v>
      </c>
      <c r="D53" s="501"/>
      <c r="E53" s="499">
        <f>IF(E48&lt;G48,G48/E48-1,E48/G48-1)</f>
        <v>0.13571505203304368</v>
      </c>
      <c r="F53" s="500" t="str">
        <f>IF(OR(E53&gt;=0.2,E53&lt;=-0.2),"超过20%","")</f>
        <v/>
      </c>
      <c r="G53" s="499">
        <f>IF(G48&lt;I48,I48/G48-1,G48/I48-1)</f>
        <v>0.14172299109537612</v>
      </c>
      <c r="H53" s="500" t="str">
        <f>IF(OR(G53&gt;=0.2,G53&lt;=-0.2),"超过20%","")</f>
        <v/>
      </c>
      <c r="I53" s="499">
        <f>IF(I48&lt;E48,E48/I48-1,I48/E48-1)</f>
        <v>5.2900056678633067E-3</v>
      </c>
      <c r="J53" s="500" t="str">
        <f>IF(OR(I53&gt;=0.2,I53&lt;=-0.2),"超过20%","")</f>
        <v/>
      </c>
      <c r="K53" s="1108"/>
      <c r="L53" s="1109"/>
      <c r="M53" s="1147"/>
      <c r="N53" s="1147"/>
      <c r="O53" s="1147"/>
    </row>
    <row r="54" spans="1:29" s="502" customFormat="1" ht="13.5" customHeight="1">
      <c r="A54" s="1148"/>
      <c r="B54" s="1148"/>
      <c r="C54" s="497" t="s">
        <v>2573</v>
      </c>
      <c r="D54" s="501"/>
      <c r="E54" s="499">
        <f>IF(E47&lt;G47,G47/E47-1,E47/G47-1)</f>
        <v>0.26315789473684204</v>
      </c>
      <c r="F54" s="500" t="str">
        <f>IF(OR(E54&gt;=0.3,E54&lt;=-0.3),"超过30%","")</f>
        <v/>
      </c>
      <c r="G54" s="499">
        <f>IF(G47&lt;I47,I47/G47-1,G47/I47-1)</f>
        <v>0.10526315789473695</v>
      </c>
      <c r="H54" s="500" t="str">
        <f>IF(OR(G54&gt;=0.3,G54&lt;=-0.3),"超过30%","")</f>
        <v/>
      </c>
      <c r="I54" s="499">
        <f>IF(I47&lt;E47,E47/I47-1,I47/E47-1)</f>
        <v>0.14285714285714279</v>
      </c>
      <c r="J54" s="500" t="str">
        <f>IF(OR(I54&gt;=0.3,I54&lt;=-0.3),"超过30%","")</f>
        <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2"/>
      <c r="Q57" s="504"/>
    </row>
    <row r="58" spans="1:29" s="508" customFormat="1" ht="15">
      <c r="A58" s="505" t="s">
        <v>2575</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23"/>
      <c r="C59" s="1576">
        <v>100</v>
      </c>
      <c r="D59" s="511"/>
      <c r="E59" s="512"/>
      <c r="F59" s="512"/>
      <c r="G59" s="512"/>
      <c r="H59" s="512"/>
      <c r="I59" s="512"/>
      <c r="J59" s="512"/>
      <c r="K59" s="512"/>
      <c r="L59" s="512"/>
      <c r="M59" s="513"/>
      <c r="N59" s="512"/>
      <c r="O59" s="513"/>
      <c r="P59" s="2624"/>
    </row>
    <row r="60" spans="1:29" s="117" customFormat="1" ht="15.75" thickBot="1">
      <c r="A60" s="515" t="s">
        <v>2576</v>
      </c>
      <c r="B60" s="516"/>
      <c r="C60" s="517"/>
      <c r="D60" s="518"/>
      <c r="E60" s="518"/>
      <c r="F60" s="518"/>
      <c r="G60" s="518"/>
      <c r="H60" s="518"/>
      <c r="I60" s="518"/>
      <c r="J60" s="518"/>
      <c r="K60" s="518"/>
      <c r="L60" s="518"/>
      <c r="M60" s="519"/>
      <c r="N60" s="518"/>
      <c r="O60" s="519"/>
      <c r="P60" s="2624"/>
      <c r="Q60" s="504"/>
    </row>
    <row r="61" spans="1:29" s="117" customFormat="1" ht="15">
      <c r="A61" s="521" t="s">
        <v>2577</v>
      </c>
      <c r="B61" s="510"/>
      <c r="C61" s="522" t="s">
        <v>2578</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2579</v>
      </c>
      <c r="B63" s="528" t="s">
        <v>2545</v>
      </c>
      <c r="C63" s="529" t="str">
        <f>C9</f>
        <v>住宅</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6"/>
      <c r="Q66" s="504"/>
    </row>
    <row r="67" spans="1:17" ht="15.75" thickTop="1">
      <c r="A67" s="534"/>
      <c r="B67" s="546" t="s">
        <v>2549</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5"/>
      <c r="O68" s="1155"/>
      <c r="P68" s="2626"/>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26"/>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6"/>
      <c r="Q81" s="504"/>
    </row>
    <row r="82" spans="1:17" ht="15.75" thickTop="1">
      <c r="A82" s="534"/>
      <c r="B82" s="546" t="s">
        <v>2091</v>
      </c>
      <c r="C82" s="539" t="s">
        <v>2595</v>
      </c>
      <c r="D82" s="539" t="s">
        <v>2596</v>
      </c>
      <c r="E82" s="539" t="s">
        <v>2597</v>
      </c>
      <c r="F82" s="539" t="s">
        <v>2598</v>
      </c>
      <c r="G82" s="539" t="s">
        <v>2599</v>
      </c>
      <c r="H82" s="539"/>
      <c r="I82" s="539"/>
      <c r="J82" s="539"/>
      <c r="K82" s="539"/>
      <c r="L82" s="539"/>
      <c r="M82" s="1385"/>
      <c r="N82" s="1156"/>
      <c r="O82" s="1156"/>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6"/>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6"/>
      <c r="Q85" s="504"/>
    </row>
    <row r="86" spans="1:17" s="117" customFormat="1" ht="15.75" thickTop="1">
      <c r="A86" s="579"/>
      <c r="B86" s="538" t="s">
        <v>2601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2602</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2554</v>
      </c>
      <c r="B100" s="528" t="s">
        <v>2603</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6"/>
      <c r="Q101" s="504"/>
    </row>
    <row r="102" spans="1:17" ht="15.75" thickTop="1">
      <c r="A102" s="534"/>
      <c r="B102" s="538" t="s">
        <v>2604</v>
      </c>
      <c r="C102" s="578" t="str">
        <f>C103&amp;"(含)"&amp;"-"&amp;D103</f>
        <v>100(含)-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v>100</v>
      </c>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v>100</v>
      </c>
      <c r="D104" s="536"/>
      <c r="E104" s="536"/>
      <c r="F104" s="536"/>
      <c r="G104" s="536"/>
      <c r="H104" s="536"/>
      <c r="I104" s="536"/>
      <c r="J104" s="536"/>
      <c r="K104" s="536"/>
      <c r="L104" s="536"/>
      <c r="M104" s="536"/>
      <c r="N104" s="1156"/>
      <c r="O104" s="1156"/>
      <c r="P104" s="2627"/>
      <c r="Q104" s="559"/>
    </row>
    <row r="105" spans="1:17" ht="15" thickTop="1">
      <c r="A105" s="599"/>
      <c r="B105" s="538" t="s">
        <v>2605</v>
      </c>
      <c r="C105" s="2943" t="s">
        <v>3088</v>
      </c>
      <c r="D105" s="2943" t="s">
        <v>3087</v>
      </c>
      <c r="E105" s="2944" t="s">
        <v>3089</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6"/>
      <c r="Q106" s="504"/>
    </row>
    <row r="107" spans="1:17" ht="15" thickTop="1">
      <c r="A107" s="599"/>
      <c r="B107" s="538" t="s">
        <v>2606</v>
      </c>
      <c r="C107" s="583"/>
      <c r="D107" s="583"/>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6"/>
      <c r="Q108" s="504"/>
    </row>
    <row r="109" spans="1:17" ht="15" thickTop="1">
      <c r="A109" s="599"/>
      <c r="B109" s="538" t="s">
        <v>2607</v>
      </c>
      <c r="C109" s="2943" t="s">
        <v>3069</v>
      </c>
      <c r="D109" s="2943" t="s">
        <v>3071</v>
      </c>
      <c r="E109" s="2943" t="s">
        <v>3072</v>
      </c>
      <c r="F109" s="2944" t="s">
        <v>3074</v>
      </c>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7"/>
      <c r="Q113" s="559"/>
    </row>
    <row r="114" spans="1:17" ht="15" thickTop="1">
      <c r="A114" s="599"/>
      <c r="B114" s="538" t="s">
        <v>2608</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6"/>
      <c r="Q115" s="504"/>
    </row>
    <row r="116" spans="1:17" ht="15" thickTop="1">
      <c r="A116" s="599"/>
      <c r="B116" s="538" t="s">
        <v>2609</v>
      </c>
      <c r="C116" s="2943" t="s">
        <v>3090</v>
      </c>
      <c r="D116" s="2943" t="s">
        <v>3091</v>
      </c>
      <c r="E116" s="2943" t="s">
        <v>3092</v>
      </c>
      <c r="F116" s="2943" t="s">
        <v>3093</v>
      </c>
      <c r="G116" s="2943" t="s">
        <v>3094</v>
      </c>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2610</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2611</v>
      </c>
      <c r="C122" s="2943" t="s">
        <v>3069</v>
      </c>
      <c r="D122" s="2943" t="s">
        <v>3071</v>
      </c>
      <c r="E122" s="2943" t="s">
        <v>3072</v>
      </c>
      <c r="F122" s="2944" t="s">
        <v>3074</v>
      </c>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26"/>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2613</v>
      </c>
    </row>
    <row r="137" spans="1:17" ht="15">
      <c r="B137" s="2634" t="s">
        <v>2614</v>
      </c>
      <c r="C137" s="2635"/>
      <c r="D137" s="2635"/>
      <c r="E137" s="2635"/>
      <c r="F137" s="2635"/>
      <c r="G137" s="2636"/>
      <c r="H137" s="2637"/>
      <c r="I137" s="2638" t="s">
        <v>2615</v>
      </c>
      <c r="J137" s="2635"/>
      <c r="K137" s="2639"/>
    </row>
    <row r="138" spans="1:17" ht="15">
      <c r="B138" s="2640"/>
      <c r="C138" s="146" t="s">
        <v>2616</v>
      </c>
      <c r="D138" s="146" t="s">
        <v>2617</v>
      </c>
      <c r="E138" s="2641" t="s">
        <v>2618</v>
      </c>
      <c r="F138" s="2642" t="s">
        <v>2619</v>
      </c>
      <c r="G138" s="146" t="s">
        <v>2617</v>
      </c>
      <c r="H138" s="147" t="s">
        <v>2618</v>
      </c>
      <c r="I138" s="2643"/>
      <c r="J138" s="146" t="s">
        <v>2620</v>
      </c>
      <c r="K138" s="147" t="s">
        <v>2621</v>
      </c>
    </row>
    <row r="139" spans="1:17" ht="15">
      <c r="B139" s="1087">
        <v>6</v>
      </c>
      <c r="C139" s="1088">
        <v>96</v>
      </c>
      <c r="D139" s="2644" t="s">
        <v>2622</v>
      </c>
      <c r="E139" s="1089">
        <v>100</v>
      </c>
      <c r="F139" s="1090">
        <v>102.5</v>
      </c>
      <c r="G139" s="2644" t="s">
        <v>2622</v>
      </c>
      <c r="H139" s="1091">
        <v>105</v>
      </c>
      <c r="I139" s="2645" t="s">
        <v>2623</v>
      </c>
      <c r="J139" s="1088">
        <v>20</v>
      </c>
      <c r="K139" s="1092">
        <f>C145/(J139-2)</f>
        <v>4.0555555555555553E-3</v>
      </c>
    </row>
    <row r="140" spans="1:17" ht="15">
      <c r="B140" s="1093">
        <v>5</v>
      </c>
      <c r="C140" s="1094">
        <v>100</v>
      </c>
      <c r="D140" s="1094"/>
      <c r="E140" s="1095"/>
      <c r="F140" s="1096">
        <v>102</v>
      </c>
      <c r="G140" s="1094"/>
      <c r="H140" s="1097"/>
      <c r="I140" s="2646" t="s">
        <v>2624</v>
      </c>
      <c r="J140" s="315">
        <f>ROUNDUP((J139-1)/2,0)</f>
        <v>10</v>
      </c>
      <c r="K140" s="1098">
        <v>100</v>
      </c>
    </row>
    <row r="141" spans="1:17" ht="15">
      <c r="B141" s="1093">
        <v>4</v>
      </c>
      <c r="C141" s="1094">
        <v>102</v>
      </c>
      <c r="D141" s="1094"/>
      <c r="E141" s="1095"/>
      <c r="F141" s="1096">
        <v>101.5</v>
      </c>
      <c r="G141" s="1094"/>
      <c r="H141" s="1097"/>
      <c r="I141" s="2646" t="s">
        <v>2625</v>
      </c>
      <c r="J141" s="315">
        <v>1</v>
      </c>
      <c r="K141" s="1099">
        <f>ROUND(100+(J141-J140)*K139*100,1)</f>
        <v>96.4</v>
      </c>
    </row>
    <row r="142" spans="1:17" ht="15">
      <c r="B142" s="1093">
        <v>3</v>
      </c>
      <c r="C142" s="1094">
        <v>103</v>
      </c>
      <c r="D142" s="1094"/>
      <c r="E142" s="1095"/>
      <c r="F142" s="1096">
        <v>101</v>
      </c>
      <c r="G142" s="1094"/>
      <c r="H142" s="1097"/>
      <c r="I142" s="2646" t="s">
        <v>2626</v>
      </c>
      <c r="J142" s="315">
        <f>J139</f>
        <v>20</v>
      </c>
      <c r="K142" s="1100">
        <v>95</v>
      </c>
    </row>
    <row r="143" spans="1:17" ht="15">
      <c r="B143" s="1093">
        <v>2</v>
      </c>
      <c r="C143" s="1094">
        <v>100</v>
      </c>
      <c r="D143" s="1094"/>
      <c r="E143" s="1095"/>
      <c r="F143" s="1096">
        <v>100.5</v>
      </c>
      <c r="G143" s="1094"/>
      <c r="H143" s="1097"/>
      <c r="I143" s="2646" t="s">
        <v>2627</v>
      </c>
      <c r="J143" s="1094">
        <v>15</v>
      </c>
      <c r="K143" s="1099">
        <f>ROUND(100+(J143-J140)*K139*100,1)</f>
        <v>102</v>
      </c>
    </row>
    <row r="144" spans="1:17" ht="15">
      <c r="B144" s="1093">
        <v>1</v>
      </c>
      <c r="C144" s="1094">
        <v>98</v>
      </c>
      <c r="D144" s="2647" t="s">
        <v>2628</v>
      </c>
      <c r="E144" s="1095">
        <v>102</v>
      </c>
      <c r="F144" s="1101">
        <v>100</v>
      </c>
      <c r="G144" s="2647" t="s">
        <v>2628</v>
      </c>
      <c r="H144" s="1097">
        <v>105</v>
      </c>
      <c r="I144" s="2646" t="s">
        <v>2627</v>
      </c>
      <c r="J144" s="1094">
        <v>18</v>
      </c>
      <c r="K144" s="1099">
        <f>ROUND(100+(J144-J140)*K139*100,1)</f>
        <v>103.2</v>
      </c>
    </row>
    <row r="145" spans="2:11" ht="15.75" thickBot="1">
      <c r="B145" s="2648" t="s">
        <v>2629</v>
      </c>
      <c r="C145" s="1102">
        <f>ROUND(MAX(C139:C144)/MIN(C139:C144)-1,3)</f>
        <v>7.2999999999999995E-2</v>
      </c>
      <c r="D145" s="1103"/>
      <c r="E145" s="1103"/>
      <c r="F145" s="2649" t="s">
        <v>2630</v>
      </c>
      <c r="G145" s="2650"/>
      <c r="H145" s="2651"/>
      <c r="I145" s="2652" t="s">
        <v>2627</v>
      </c>
      <c r="J145" s="1104">
        <v>8</v>
      </c>
      <c r="K145" s="1105">
        <f>ROUND(100+(J145-J140)*K139*100,1)</f>
        <v>99.2</v>
      </c>
    </row>
    <row r="147" spans="2:11">
      <c r="B147" s="2633" t="s">
        <v>2631</v>
      </c>
    </row>
    <row r="148" spans="2:11">
      <c r="B148" s="2633"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3066</v>
      </c>
      <c r="D1" s="1823" t="s">
        <v>70</v>
      </c>
      <c r="E1" s="1824" t="s">
        <v>1387</v>
      </c>
      <c r="F1" s="1286">
        <f ca="1">J53</f>
        <v>62.47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1701</v>
      </c>
      <c r="C2" s="1848" t="s">
        <v>1516</v>
      </c>
      <c r="D2" s="1848"/>
      <c r="E2" s="1849"/>
      <c r="F2" s="1850"/>
      <c r="G2" s="1851"/>
      <c r="H2" s="1843"/>
      <c r="I2" s="1843"/>
      <c r="J2" s="1843"/>
      <c r="K2" s="1844"/>
      <c r="L2" s="1843"/>
      <c r="M2" s="1843"/>
    </row>
    <row r="3" spans="1:37" ht="18" customHeight="1" thickBot="1">
      <c r="A3" s="1852" t="s">
        <v>1517</v>
      </c>
      <c r="B3" s="1853">
        <f ca="1">IF(ISERROR(B2*10000/F43),0,ROUND(B2*10000/F43,0))</f>
        <v>9421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94</v>
      </c>
      <c r="D5" s="1825" t="s">
        <v>1402</v>
      </c>
      <c r="E5" s="1296"/>
      <c r="F5" s="1297"/>
      <c r="G5" s="1854"/>
      <c r="H5" s="344">
        <v>1</v>
      </c>
      <c r="I5" s="345" t="s">
        <v>1401</v>
      </c>
      <c r="J5" s="1295">
        <f ca="1">J6+J10+J12</f>
        <v>0</v>
      </c>
      <c r="K5" s="1825" t="s">
        <v>1402</v>
      </c>
      <c r="L5" s="1296"/>
      <c r="M5" s="1297"/>
    </row>
    <row r="6" spans="1:37" ht="18" customHeight="1">
      <c r="A6" s="1294" t="s">
        <v>1035</v>
      </c>
      <c r="B6" s="3255" t="s">
        <v>1403</v>
      </c>
      <c r="C6" s="1299">
        <f ca="1">ROUND(F6*F8*F7*(1-F9)/10000,0)</f>
        <v>94</v>
      </c>
      <c r="D6" s="164" t="s">
        <v>3023</v>
      </c>
      <c r="E6" s="347" t="s">
        <v>1405</v>
      </c>
      <c r="F6" s="348">
        <f ca="1">INDIRECT("'数据-取费表'!u"&amp;$G$1)</f>
        <v>1.5</v>
      </c>
      <c r="G6" s="1854"/>
      <c r="H6" s="1294" t="s">
        <v>1035</v>
      </c>
      <c r="I6" s="3255" t="s">
        <v>1403</v>
      </c>
      <c r="J6" s="346">
        <f ca="1">ROUND(M6*M8*M7*(1-M9)/10000,0)</f>
        <v>0</v>
      </c>
      <c r="K6" s="164" t="s">
        <v>3022</v>
      </c>
      <c r="L6" s="347" t="s">
        <v>1405</v>
      </c>
      <c r="M6" s="348">
        <f ca="1">INDIRECT("'数据-取费表'!z"&amp;$G$1)</f>
        <v>0</v>
      </c>
    </row>
    <row r="7" spans="1:37" ht="18" customHeight="1">
      <c r="A7" s="1298"/>
      <c r="B7" s="3256"/>
      <c r="C7" s="1300"/>
      <c r="D7" s="352"/>
      <c r="E7" s="1301" t="s">
        <v>1406</v>
      </c>
      <c r="F7" s="348">
        <f ca="1">IF(INDIRECT("'数据-取费表'!ah"&amp;$G$1)="",INDIRECT("'数据-取费表'!k"&amp;$G$1),INDIRECT("'数据-取费表'!ah"&amp;$G$1))</f>
        <v>1805.619999999999</v>
      </c>
      <c r="G7" s="1854"/>
      <c r="H7" s="349"/>
      <c r="I7" s="3256"/>
      <c r="J7" s="351"/>
      <c r="K7" s="352"/>
      <c r="L7" s="347" t="s">
        <v>1406</v>
      </c>
      <c r="M7" s="348">
        <f ca="1">F7</f>
        <v>1805.619999999999</v>
      </c>
    </row>
    <row r="8" spans="1:37" ht="18" customHeight="1">
      <c r="A8" s="349"/>
      <c r="B8" s="3256"/>
      <c r="C8" s="351"/>
      <c r="D8" s="352"/>
      <c r="E8" s="347" t="s">
        <v>1407</v>
      </c>
      <c r="F8" s="348">
        <f ca="1">INDIRECT("'数据-取费表'!ai"&amp;$G$1)</f>
        <v>365</v>
      </c>
      <c r="G8" s="1854"/>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0.05</v>
      </c>
      <c r="G9" s="1854"/>
      <c r="H9" s="349"/>
      <c r="I9" s="325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3032</v>
      </c>
      <c r="E10" s="358" t="s">
        <v>1410</v>
      </c>
      <c r="F10" s="1369" t="s">
        <v>3436</v>
      </c>
      <c r="G10" s="1854"/>
      <c r="H10" s="1294" t="s">
        <v>1039</v>
      </c>
      <c r="I10" s="1826" t="s">
        <v>1409</v>
      </c>
      <c r="J10" s="346">
        <f ca="1">ROUND(IF(M10="押一",J6/12*M11,IF(M10="押二",J6/12*2*M11,IF(M10="押三",J6/12*3*M11,J11*M11))),0)</f>
        <v>0</v>
      </c>
      <c r="K10" s="1827" t="s">
        <v>3031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622</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415</v>
      </c>
      <c r="D14" s="1803" t="s">
        <v>1418</v>
      </c>
      <c r="E14" s="1797"/>
      <c r="F14" s="364"/>
      <c r="G14" s="1854"/>
      <c r="H14" s="1204" t="s">
        <v>1035</v>
      </c>
      <c r="I14" s="347" t="s">
        <v>1419</v>
      </c>
      <c r="J14" s="24">
        <f ca="1">C29</f>
        <v>641</v>
      </c>
      <c r="K14" s="15"/>
      <c r="L14" s="982"/>
      <c r="M14" s="983"/>
    </row>
    <row r="15" spans="1:37" s="1861" customFormat="1" ht="18" customHeight="1" thickBot="1">
      <c r="A15" s="1204" t="s">
        <v>1036</v>
      </c>
      <c r="B15" s="347" t="s">
        <v>1420</v>
      </c>
      <c r="C15" s="24">
        <f ca="1">ROUND(C14*F15,0)</f>
        <v>12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21</v>
      </c>
      <c r="D16" s="347" t="s">
        <v>1421</v>
      </c>
      <c r="E16" s="347" t="s">
        <v>1422</v>
      </c>
      <c r="F16" s="367">
        <f ca="1">IF(INDIRECT("'数据-取费表'!c"&amp;$G$1)="住宅",'数据-取费表'!B34,0)</f>
        <v>0.05</v>
      </c>
      <c r="G16" s="1854"/>
      <c r="H16" s="1332" t="s">
        <v>1030</v>
      </c>
      <c r="I16" s="1333" t="s">
        <v>1424</v>
      </c>
      <c r="J16" s="355">
        <f ca="1">ROUND(J17+J22+J23+J24,0)</f>
        <v>19</v>
      </c>
      <c r="K16" s="1340" t="s">
        <v>1425</v>
      </c>
      <c r="L16" s="1341"/>
      <c r="M16" s="1297"/>
    </row>
    <row r="17" spans="1:37" s="1861" customFormat="1" ht="18" customHeight="1">
      <c r="A17" s="1204" t="s">
        <v>1390</v>
      </c>
      <c r="B17" s="347" t="s">
        <v>1426</v>
      </c>
      <c r="C17" s="24">
        <f ca="1">ROUND(F17*(F43+INDIRECT("'数据-取费表'!S"&amp;$G$1))/10000,0)</f>
        <v>36</v>
      </c>
      <c r="D17" s="347" t="s">
        <v>1427</v>
      </c>
      <c r="E17" s="347" t="s">
        <v>1428</v>
      </c>
      <c r="F17" s="26">
        <f>'数据-取费表'!B35</f>
        <v>200</v>
      </c>
      <c r="G17" s="1857"/>
      <c r="H17" s="1204" t="s">
        <v>1035</v>
      </c>
      <c r="I17" s="347" t="s">
        <v>1429</v>
      </c>
      <c r="J17" s="24">
        <f ca="1">ROUND(IF(项目基本情况!B11="自然人",J5*M17,J18+J19+J20),1)</f>
        <v>6.3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490</v>
      </c>
      <c r="D19" s="140" t="s">
        <v>1436</v>
      </c>
      <c r="E19" s="1821"/>
      <c r="F19" s="26"/>
      <c r="G19" s="1854"/>
      <c r="H19" s="1204" t="s">
        <v>1036</v>
      </c>
      <c r="I19" s="347" t="s">
        <v>1437</v>
      </c>
      <c r="J19" s="24">
        <f ca="1">IF(K19="按租金收入计税",ROUND(J5*M19,2),ROUND(C29*M19*0.7,2))</f>
        <v>5.38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v>
      </c>
      <c r="D20" s="369" t="s">
        <v>1440</v>
      </c>
      <c r="E20" s="347" t="s">
        <v>1422</v>
      </c>
      <c r="F20" s="367">
        <f>'数据-取费表'!B37</f>
        <v>0.02</v>
      </c>
      <c r="G20" s="1857"/>
      <c r="H20" s="1204" t="s">
        <v>1389</v>
      </c>
      <c r="I20" s="164" t="s">
        <v>1441</v>
      </c>
      <c r="J20" s="25">
        <f ca="1">ROUND(M20*M21/10000,2)</f>
        <v>0.91</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603.89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12.8</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42</v>
      </c>
      <c r="D23" s="375" t="str">
        <f>IF(F23&lt;=1,"(建造成本+管理费用)×利率×(建设周期÷2)","(建造成本+管理费用)×((1+利率)^(建设周期÷2)-1)")</f>
        <v>(建造成本+管理费用)×((1+利率)^(建设周期÷2)-1)</v>
      </c>
      <c r="E23" s="347" t="s">
        <v>1452</v>
      </c>
      <c r="F23" s="371">
        <f>'数据-取费表'!B20</f>
        <v>3.5</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1.6999999999999999E-3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-19</v>
      </c>
      <c r="K25" s="1348" t="s">
        <v>1464</v>
      </c>
      <c r="L25" s="1349"/>
      <c r="M25" s="1350"/>
    </row>
    <row r="26" spans="1:37">
      <c r="A26" s="1204" t="s">
        <v>1034</v>
      </c>
      <c r="B26" s="347" t="s">
        <v>1465</v>
      </c>
      <c r="C26" s="24">
        <f ca="1">ROUND((C19+C20)*F26,0)</f>
        <v>50</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641</v>
      </c>
      <c r="D29" s="1345"/>
      <c r="E29" s="1343"/>
      <c r="F29" s="1346"/>
      <c r="G29" s="1857"/>
      <c r="H29" s="380" t="s">
        <v>1033</v>
      </c>
      <c r="I29" s="381" t="s">
        <v>1479</v>
      </c>
      <c r="J29" s="382">
        <f ca="1">ROUND(J26/(1+F40)^F41,0)</f>
        <v>0</v>
      </c>
      <c r="K29" s="383" t="s">
        <v>1480</v>
      </c>
      <c r="L29" s="384"/>
      <c r="M29" s="385">
        <f ca="1">INDIRECT("'数据-取费表'!k"&amp;$G$1)</f>
        <v>1805.619999999999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17.100000000000001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4.92</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11.28</v>
      </c>
      <c r="D33" s="1831" t="s">
        <v>3388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0.91</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603.89</v>
      </c>
      <c r="G35" s="1854"/>
      <c r="H35" s="745"/>
      <c r="I35" s="1863"/>
      <c r="J35" s="1864"/>
      <c r="K35" s="1865"/>
      <c r="L35" s="1862"/>
      <c r="M35" s="1862"/>
    </row>
    <row r="36" spans="1:18" ht="18" customHeight="1">
      <c r="A36" s="1355" t="s">
        <v>1039</v>
      </c>
      <c r="B36" s="347" t="s">
        <v>1449</v>
      </c>
      <c r="C36" s="24">
        <f ca="1">ROUND(C29*F36,1)</f>
        <v>12.8</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1.2</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1.9</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61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1701</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62.47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9421</v>
      </c>
      <c r="D43" s="383" t="s">
        <v>1488</v>
      </c>
      <c r="E43" s="384" t="s">
        <v>1489</v>
      </c>
      <c r="F43" s="385">
        <f ca="1">INDIRECT("'数据-取费表'!k"&amp;$G$1)</f>
        <v>1805.619999999999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-3016</v>
      </c>
      <c r="D46" s="1875" t="str">
        <f>C2</f>
        <v>万元</v>
      </c>
      <c r="E46" s="1869"/>
      <c r="F46" s="1869"/>
      <c r="I46" s="1876" t="s">
        <v>1521</v>
      </c>
      <c r="J46" s="1877"/>
      <c r="K46" s="1878"/>
      <c r="L46" s="1879">
        <f>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3086</v>
      </c>
      <c r="K47" s="1885" t="s">
        <v>1527</v>
      </c>
      <c r="L47" s="1886">
        <f ca="1">INDIRECT("'数据-取费表'!d"&amp;$G$1)</f>
        <v>70</v>
      </c>
      <c r="M47" s="1841" t="str">
        <f>IF(ISNUMBER(FIND("住宅",C1)),"住宅","非住宅")</f>
        <v>住宅</v>
      </c>
      <c r="O47" s="1887" t="s">
        <v>1040</v>
      </c>
      <c r="P47" s="1888" t="s">
        <v>1528</v>
      </c>
      <c r="Q47" s="1889">
        <f ca="1">C40+J29</f>
        <v>1701</v>
      </c>
      <c r="R47" s="1889" t="s">
        <v>1529</v>
      </c>
    </row>
    <row r="48" spans="1:18" s="1845" customFormat="1" ht="28.5" thickBot="1">
      <c r="A48" s="1363" t="s">
        <v>1135</v>
      </c>
      <c r="B48" s="345" t="s">
        <v>1401</v>
      </c>
      <c r="C48" s="1820">
        <f ca="1">C49+C53+C55</f>
        <v>0</v>
      </c>
      <c r="D48" s="1365"/>
      <c r="E48" s="1366"/>
      <c r="F48" s="1184"/>
      <c r="G48" s="792"/>
      <c r="H48" s="793"/>
      <c r="I48" s="1890" t="s">
        <v>1530</v>
      </c>
      <c r="J48" s="1891" t="s">
        <v>3389</v>
      </c>
      <c r="K48" s="1892" t="s">
        <v>1531</v>
      </c>
      <c r="L48" s="1893">
        <f ca="1">INDIRECT("'数据-取费表'!f"&amp;$G$1)</f>
        <v>62.47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3024</v>
      </c>
      <c r="E49" s="1833" t="s">
        <v>1491</v>
      </c>
      <c r="F49" s="1284"/>
      <c r="G49" s="1894"/>
      <c r="H49" s="793"/>
      <c r="I49" s="1890" t="s">
        <v>1534</v>
      </c>
      <c r="J49" s="1895">
        <v>2018</v>
      </c>
      <c r="K49" s="1892" t="s">
        <v>1535</v>
      </c>
      <c r="L49" s="1896"/>
      <c r="O49" s="1897" t="s">
        <v>1042</v>
      </c>
      <c r="P49" s="1888" t="s">
        <v>1536</v>
      </c>
      <c r="Q49" s="1889">
        <f ca="1">C29</f>
        <v>641</v>
      </c>
      <c r="R49" s="1889" t="s">
        <v>1529</v>
      </c>
    </row>
    <row r="50" spans="1:18" s="1845" customFormat="1" ht="13.5" thickBot="1">
      <c r="A50" s="1198"/>
      <c r="B50" s="1201"/>
      <c r="C50" s="1371"/>
      <c r="D50" s="1175"/>
      <c r="E50" s="1280" t="s">
        <v>1406</v>
      </c>
      <c r="F50" s="1281">
        <f ca="1">F7</f>
        <v>1805.619999999999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169</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62.47</v>
      </c>
      <c r="R52" s="1889" t="s">
        <v>1546</v>
      </c>
    </row>
    <row r="53" spans="1:18" s="1845" customFormat="1" ht="24.75" thickBot="1">
      <c r="A53" s="1408" t="s">
        <v>1137</v>
      </c>
      <c r="B53" s="1834" t="s">
        <v>1409</v>
      </c>
      <c r="C53" s="361">
        <f ca="1">ROUND(IF(F53="押一",C49/12*F11,IF(F53="押二",C49/12*2*F11,IF(F53="押三",C49/12*3*F11,C54*F11))),0)</f>
        <v>0</v>
      </c>
      <c r="D53" s="1827" t="s">
        <v>3031</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62.47</v>
      </c>
      <c r="K53" s="3258" t="s">
        <v>1548</v>
      </c>
      <c r="L53" s="3259"/>
      <c r="O53" s="1887" t="s">
        <v>1046</v>
      </c>
      <c r="P53" s="1888" t="s">
        <v>1549</v>
      </c>
      <c r="Q53" s="1889">
        <f ca="1">Q47+Q48</f>
        <v>1701</v>
      </c>
      <c r="R53" s="1889" t="s">
        <v>1047</v>
      </c>
    </row>
    <row r="54" spans="1:18" s="1845" customFormat="1" ht="13.5" thickBot="1">
      <c r="A54" s="1409"/>
      <c r="B54" s="1828" t="s">
        <v>1388</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622</v>
      </c>
      <c r="D56" s="1917"/>
      <c r="E56" s="1918"/>
      <c r="F56" s="1910"/>
      <c r="I56" s="1919" t="s">
        <v>1554</v>
      </c>
      <c r="J56" s="1920" t="s">
        <v>3384</v>
      </c>
      <c r="K56" s="1890" t="s">
        <v>1555</v>
      </c>
      <c r="L56" s="1893">
        <f ca="1">IF(L48&lt;J51,"——",L48-J53)</f>
        <v>0</v>
      </c>
      <c r="O56" s="1887" t="s">
        <v>1040</v>
      </c>
      <c r="P56" s="1888" t="s">
        <v>1528</v>
      </c>
      <c r="Q56" s="1889">
        <f ca="1">C40+J29</f>
        <v>1701</v>
      </c>
      <c r="R56" s="1889" t="s">
        <v>1529</v>
      </c>
    </row>
    <row r="57" spans="1:18" s="1845" customFormat="1" ht="24.75" thickBot="1">
      <c r="A57" s="1921"/>
      <c r="B57" s="1172" t="s">
        <v>1478</v>
      </c>
      <c r="C57" s="282">
        <f ca="1">C29</f>
        <v>641</v>
      </c>
      <c r="D57" s="1922"/>
      <c r="E57" s="1923"/>
      <c r="F57" s="1924"/>
      <c r="I57" s="1925" t="s">
        <v>1556</v>
      </c>
      <c r="J57" s="1926" t="str">
        <f ca="1">IF(OR(M47="住宅",J51&lt;L48,J56="是"),"——",J51-L48)</f>
        <v>——</v>
      </c>
      <c r="K57" s="1890" t="s">
        <v>1557</v>
      </c>
      <c r="L57" s="1893">
        <f ca="1">IF(L48&lt;J51,"——",IF(L55="比较法",L49,IF(L55="基准地价",L50,L51)))</f>
        <v>169</v>
      </c>
      <c r="O57" s="1887" t="s">
        <v>1041</v>
      </c>
      <c r="P57" s="1888" t="s">
        <v>1558</v>
      </c>
      <c r="Q57" s="1889">
        <f ca="1">L60</f>
        <v>0</v>
      </c>
      <c r="R57" s="1889" t="s">
        <v>1559</v>
      </c>
    </row>
    <row r="58" spans="1:18" s="1845" customFormat="1" ht="24.75" thickBot="1">
      <c r="A58" s="360" t="s">
        <v>1030</v>
      </c>
      <c r="B58" s="1180" t="s">
        <v>1424</v>
      </c>
      <c r="C58" s="361">
        <f ca="1">ROUND(C59+C64+C65+C66,0)</f>
        <v>69</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54.8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53.84</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0.91</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1701</v>
      </c>
      <c r="R62" s="1889" t="s">
        <v>1047</v>
      </c>
    </row>
    <row r="63" spans="1:18" s="1845" customFormat="1" ht="13.5" thickBot="1">
      <c r="A63" s="372"/>
      <c r="B63" s="1178"/>
      <c r="C63" s="29"/>
      <c r="D63" s="1188"/>
      <c r="E63" s="1172" t="s">
        <v>1499</v>
      </c>
      <c r="F63" s="348">
        <f t="shared" ca="1" si="0"/>
        <v>603.89</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12.8</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1.2</v>
      </c>
      <c r="D65" s="1186" t="s">
        <v>1454</v>
      </c>
      <c r="E65" s="1172" t="s">
        <v>1455</v>
      </c>
      <c r="F65" s="376">
        <f t="shared" ca="1" si="0"/>
        <v>2E-3</v>
      </c>
      <c r="I65" s="1932" t="s">
        <v>1579</v>
      </c>
      <c r="J65" s="1933">
        <v>40</v>
      </c>
      <c r="K65" s="1933">
        <v>30</v>
      </c>
      <c r="L65" s="1933">
        <v>50</v>
      </c>
      <c r="M65" s="1935">
        <v>0.02</v>
      </c>
      <c r="O65" s="1887" t="s">
        <v>1040</v>
      </c>
      <c r="P65" s="1888" t="s">
        <v>1580</v>
      </c>
      <c r="Q65" s="1889">
        <f ca="1">C40+J29</f>
        <v>1701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-69</v>
      </c>
      <c r="D67" s="1185" t="s">
        <v>1464</v>
      </c>
      <c r="E67" s="1190"/>
      <c r="F67" s="1191"/>
      <c r="O67" s="1897" t="s">
        <v>1042</v>
      </c>
      <c r="P67" s="1888" t="s">
        <v>1562</v>
      </c>
      <c r="Q67" s="1936">
        <f ca="1">L51</f>
        <v>169</v>
      </c>
      <c r="R67" s="1889" t="s">
        <v>1582</v>
      </c>
    </row>
    <row r="68" spans="1:18" s="1845" customFormat="1" ht="16.5" thickBot="1">
      <c r="A68" s="1169" t="s">
        <v>1032</v>
      </c>
      <c r="B68" s="1170" t="s">
        <v>1485</v>
      </c>
      <c r="C68" s="346">
        <f ca="1">ROUND(C67*(1-((1+F70)/(1+F68))^F69)/(F68-F70),0)</f>
        <v>-1315</v>
      </c>
      <c r="D68" s="1187" t="s">
        <v>1469</v>
      </c>
      <c r="E68" s="1172" t="s">
        <v>1470</v>
      </c>
      <c r="F68" s="357">
        <f ca="1">F40</f>
        <v>0.05</v>
      </c>
      <c r="O68" s="1897" t="s">
        <v>1043</v>
      </c>
      <c r="P68" s="1937" t="s">
        <v>1583</v>
      </c>
      <c r="Q68" s="1889">
        <f ca="1">ROUND(Q69-Q70*Q71,0)</f>
        <v>8</v>
      </c>
      <c r="R68" s="1889" t="s">
        <v>1051</v>
      </c>
    </row>
    <row r="69" spans="1:18" s="1845" customFormat="1" ht="13.5" thickBot="1">
      <c r="A69" s="1173"/>
      <c r="B69" s="1174"/>
      <c r="C69" s="351"/>
      <c r="D69" s="1192" t="s">
        <v>1473</v>
      </c>
      <c r="E69" s="1172" t="s">
        <v>1474</v>
      </c>
      <c r="F69" s="379">
        <f ca="1">F41</f>
        <v>62.47</v>
      </c>
      <c r="O69" s="1897" t="s">
        <v>1048</v>
      </c>
      <c r="P69" s="1937" t="s">
        <v>1584</v>
      </c>
      <c r="Q69" s="1889">
        <f ca="1">C39</f>
        <v>61</v>
      </c>
      <c r="R69" s="1889" t="s">
        <v>1529</v>
      </c>
    </row>
    <row r="70" spans="1:18" s="1845" customFormat="1" ht="13.5" thickBot="1">
      <c r="A70" s="1176"/>
      <c r="B70" s="1177"/>
      <c r="C70" s="355"/>
      <c r="D70" s="1188"/>
      <c r="E70" s="1172" t="s">
        <v>1477</v>
      </c>
      <c r="F70" s="1278"/>
      <c r="O70" s="1897" t="s">
        <v>1049</v>
      </c>
      <c r="P70" s="1937" t="s">
        <v>1585</v>
      </c>
      <c r="Q70" s="1889">
        <f ca="1">C13</f>
        <v>622</v>
      </c>
      <c r="R70" s="1889" t="s">
        <v>1529</v>
      </c>
    </row>
    <row r="71" spans="1:18" s="1845" customFormat="1" ht="13.5" thickBot="1">
      <c r="A71" s="1193" t="s">
        <v>1033</v>
      </c>
      <c r="B71" s="1194" t="s">
        <v>1487</v>
      </c>
      <c r="C71" s="382">
        <f ca="1">ROUND(C68*10000/F71,0)</f>
        <v>-7283</v>
      </c>
      <c r="D71" s="1195" t="s">
        <v>1488</v>
      </c>
      <c r="E71" s="1196" t="s">
        <v>1489</v>
      </c>
      <c r="F71" s="385">
        <f ca="1">F43</f>
        <v>1805.619999999999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53</v>
      </c>
      <c r="D75" s="1845"/>
      <c r="E75" s="1845"/>
      <c r="F75" s="1845"/>
      <c r="K75" s="1871"/>
      <c r="L75" s="1845"/>
      <c r="O75" s="1887" t="s">
        <v>1046</v>
      </c>
      <c r="P75" s="1888" t="s">
        <v>1549</v>
      </c>
      <c r="Q75" s="1889">
        <f ca="1">Q65+Q66</f>
        <v>1701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0.13100000000000001</v>
      </c>
    </row>
    <row r="80" spans="1:18">
      <c r="B80" s="386" t="s">
        <v>1511</v>
      </c>
      <c r="C80" s="318">
        <f ca="1">ROUND(C75/C39,3)</f>
        <v>0.86899999999999999</v>
      </c>
    </row>
    <row r="81" spans="2:3">
      <c r="B81" s="314" t="s">
        <v>1512</v>
      </c>
      <c r="C81" s="282"/>
    </row>
    <row r="82" spans="2:3">
      <c r="B82" s="317" t="s">
        <v>1513</v>
      </c>
      <c r="C82" s="319">
        <f ca="1">1-C83</f>
        <v>0.63400000000000001</v>
      </c>
    </row>
    <row r="83" spans="2:3">
      <c r="B83" s="317" t="s">
        <v>1514</v>
      </c>
      <c r="C83" s="318">
        <f ca="1">ROUND(C13/C40,3)</f>
        <v>0.36599999999999999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2110</v>
      </c>
      <c r="B1" s="2414"/>
      <c r="C1" s="2415"/>
      <c r="D1" s="2414"/>
      <c r="E1" s="2414"/>
      <c r="F1" s="2416" t="s">
        <v>2111</v>
      </c>
      <c r="G1" s="2069" t="s">
        <v>2112</v>
      </c>
      <c r="H1" s="2417" t="str">
        <f>IF(G1="现房","——","估价对象范围")</f>
        <v>估价对象范围</v>
      </c>
      <c r="I1" s="2418" t="s">
        <v>3391</v>
      </c>
    </row>
    <row r="2" spans="1:12" ht="21.75" customHeight="1" thickBot="1">
      <c r="A2" s="3148" t="str">
        <f>项目基本情况!S2</f>
        <v>河南省开封市龙亭区晋安路以北，三大街以西房地产</v>
      </c>
      <c r="B2" s="3149"/>
      <c r="C2" s="3149"/>
      <c r="D2" s="3149"/>
      <c r="E2" s="3149"/>
      <c r="F2" s="3149"/>
      <c r="G2" s="3149"/>
      <c r="H2" s="3149"/>
      <c r="I2" s="3150"/>
    </row>
    <row r="3" spans="1:12" ht="12.75">
      <c r="A3" s="3152" t="s">
        <v>2113</v>
      </c>
      <c r="B3" s="3153"/>
      <c r="C3" s="3153"/>
      <c r="D3" s="3153"/>
      <c r="E3" s="3153"/>
      <c r="F3" s="3153"/>
      <c r="G3" s="3153"/>
      <c r="H3" s="3153"/>
      <c r="I3" s="3153"/>
    </row>
    <row r="4" spans="1:12" ht="14.25">
      <c r="A4" s="2421" t="s">
        <v>2114</v>
      </c>
      <c r="B4" s="2422" t="s">
        <v>2115</v>
      </c>
      <c r="C4" s="2423" t="s">
        <v>3437</v>
      </c>
      <c r="D4" s="2423" t="s">
        <v>3390</v>
      </c>
      <c r="E4" s="3145" t="s">
        <v>2116</v>
      </c>
      <c r="F4" s="3146"/>
      <c r="G4" s="3146"/>
      <c r="H4" s="3146"/>
      <c r="I4" s="3154"/>
      <c r="K4" s="2424" t="str">
        <f>IF(ISNUMBER(FIND("比较法",'结果表 (商业)'!C4)),"比较法",IF(ISNUMBER(FIND("成本法",'结果表 (商业)'!C4)),"成本法",IF(ISNUMBER(FIND("假设开发法",'结果表 (商业)'!C4)),"假设开发法",IF(ISNUMBER(FIND("收益法",'结果表 (商业)'!C4)),"收益法","基准地价系数修正法"))))</f>
        <v>比较法</v>
      </c>
      <c r="L4" s="2424"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128" t="s">
        <v>2117</v>
      </c>
      <c r="B5" s="3066">
        <v>25</v>
      </c>
      <c r="C5" s="3131"/>
      <c r="D5" s="3151"/>
      <c r="E5" s="140" t="s">
        <v>2118</v>
      </c>
      <c r="F5" s="2425"/>
      <c r="G5" s="2425"/>
      <c r="H5" s="2425"/>
      <c r="I5" s="1834"/>
    </row>
    <row r="6" spans="1:12" ht="12.75">
      <c r="A6" s="3128"/>
      <c r="B6" s="3066"/>
      <c r="C6" s="3132"/>
      <c r="D6" s="3151"/>
      <c r="E6" s="140" t="s">
        <v>2119</v>
      </c>
      <c r="F6" s="2425"/>
      <c r="G6" s="2425"/>
      <c r="H6" s="2425"/>
      <c r="I6" s="1834"/>
    </row>
    <row r="7" spans="1:12" ht="12.75">
      <c r="A7" s="3128"/>
      <c r="B7" s="3066"/>
      <c r="C7" s="3133"/>
      <c r="D7" s="3151"/>
      <c r="E7" s="140" t="s">
        <v>2120</v>
      </c>
      <c r="F7" s="2425"/>
      <c r="G7" s="2425"/>
      <c r="H7" s="2425"/>
      <c r="I7" s="1834"/>
    </row>
    <row r="8" spans="1:12" ht="12.75">
      <c r="A8" s="3128" t="s">
        <v>2121</v>
      </c>
      <c r="B8" s="3066">
        <v>15</v>
      </c>
      <c r="C8" s="3131"/>
      <c r="D8" s="3151"/>
      <c r="E8" s="140" t="s">
        <v>2122</v>
      </c>
      <c r="F8" s="2425"/>
      <c r="G8" s="2425"/>
      <c r="H8" s="2425"/>
      <c r="I8" s="1834"/>
    </row>
    <row r="9" spans="1:12" ht="12.75">
      <c r="A9" s="3128"/>
      <c r="B9" s="3066"/>
      <c r="C9" s="3133"/>
      <c r="D9" s="3151"/>
      <c r="E9" s="140" t="s">
        <v>2123</v>
      </c>
      <c r="F9" s="2425"/>
      <c r="G9" s="2425"/>
      <c r="H9" s="2425"/>
      <c r="I9" s="1834"/>
    </row>
    <row r="10" spans="1:12" ht="12.75">
      <c r="A10" s="3128" t="s">
        <v>2124</v>
      </c>
      <c r="B10" s="3066">
        <v>15</v>
      </c>
      <c r="C10" s="3131"/>
      <c r="D10" s="3151"/>
      <c r="E10" s="140" t="s">
        <v>2125</v>
      </c>
      <c r="F10" s="2425"/>
      <c r="G10" s="2425"/>
      <c r="H10" s="2425"/>
      <c r="I10" s="1834"/>
    </row>
    <row r="11" spans="1:12" ht="12.75">
      <c r="A11" s="3128"/>
      <c r="B11" s="3066"/>
      <c r="C11" s="3133"/>
      <c r="D11" s="3151"/>
      <c r="E11" s="140" t="s">
        <v>2126</v>
      </c>
      <c r="F11" s="2425"/>
      <c r="G11" s="2425"/>
      <c r="H11" s="2425"/>
      <c r="I11" s="1834"/>
    </row>
    <row r="12" spans="1:12" ht="12.75">
      <c r="A12" s="3128" t="s">
        <v>2127</v>
      </c>
      <c r="B12" s="3066">
        <v>15</v>
      </c>
      <c r="C12" s="3131"/>
      <c r="D12" s="3151"/>
      <c r="E12" s="140" t="s">
        <v>2128</v>
      </c>
      <c r="F12" s="2425"/>
      <c r="G12" s="2425"/>
      <c r="H12" s="2425"/>
      <c r="I12" s="1834"/>
    </row>
    <row r="13" spans="1:12" ht="12.75">
      <c r="A13" s="3128"/>
      <c r="B13" s="3066"/>
      <c r="C13" s="3133"/>
      <c r="D13" s="3151"/>
      <c r="E13" s="140" t="s">
        <v>2129</v>
      </c>
      <c r="F13" s="2425"/>
      <c r="G13" s="2425"/>
      <c r="H13" s="2425"/>
      <c r="I13" s="1834"/>
    </row>
    <row r="14" spans="1:12" ht="12.75">
      <c r="A14" s="3128" t="s">
        <v>2130</v>
      </c>
      <c r="B14" s="3066">
        <v>30</v>
      </c>
      <c r="C14" s="3131">
        <v>5</v>
      </c>
      <c r="D14" s="3151">
        <v>5</v>
      </c>
      <c r="E14" s="140" t="s">
        <v>2131</v>
      </c>
      <c r="F14" s="2425"/>
      <c r="G14" s="2425"/>
      <c r="H14" s="2425"/>
      <c r="I14" s="1834"/>
    </row>
    <row r="15" spans="1:12" ht="12.75">
      <c r="A15" s="3128"/>
      <c r="B15" s="3066"/>
      <c r="C15" s="3132"/>
      <c r="D15" s="3151"/>
      <c r="E15" s="140" t="s">
        <v>2132</v>
      </c>
      <c r="F15" s="2425"/>
      <c r="G15" s="2425"/>
      <c r="H15" s="2425"/>
      <c r="I15" s="1834"/>
    </row>
    <row r="16" spans="1:12" ht="12.75">
      <c r="A16" s="3128"/>
      <c r="B16" s="3066"/>
      <c r="C16" s="3133"/>
      <c r="D16" s="3151"/>
      <c r="E16" s="140" t="s">
        <v>2133</v>
      </c>
      <c r="F16" s="2425"/>
      <c r="G16" s="2425"/>
      <c r="H16" s="2425"/>
      <c r="I16" s="1834"/>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5274.8599999999988</v>
      </c>
      <c r="M18" s="2424">
        <f>IF(C1="",'数据-汇总表'!E3,SUMIF(项目类型,C1,'数据-汇总表'!E17:E26))</f>
        <v>5274.8599999999988</v>
      </c>
    </row>
    <row r="19" spans="1:35" ht="15">
      <c r="A19" s="2430" t="s">
        <v>2139</v>
      </c>
      <c r="B19" s="2431" t="s">
        <v>2140</v>
      </c>
      <c r="C19" s="143">
        <f ca="1">SUMIF(INDIRECT("'"&amp;C4&amp;"'"&amp;"!A:A"),'结果表 (商业)'!B19,INDIRECT("'"&amp;C4&amp;"'"&amp;"!B:B"))</f>
        <v>123</v>
      </c>
      <c r="D19" s="144">
        <f ca="1">SUMIF(INDIRECT("'"&amp;D4&amp;"'"&amp;"!A:A"),'结果表 (商业)'!B19,INDIRECT("'"&amp;D4&amp;"'"&amp;"!B:B"))</f>
        <v>122</v>
      </c>
      <c r="E19" s="2430" t="s">
        <v>2141</v>
      </c>
      <c r="F19" s="2431" t="s">
        <v>2140</v>
      </c>
      <c r="G19" s="145">
        <f ca="1">ROUND(C19*$C$18+D19*$D$18,0)</f>
        <v>123</v>
      </c>
      <c r="H19" s="2432" t="s">
        <v>2142</v>
      </c>
      <c r="I19" s="138"/>
      <c r="K19" s="2424" t="s">
        <v>2143</v>
      </c>
      <c r="L19" s="2424">
        <f>IF(C1="",'数据-汇总表'!D3,SUMIF(项目类型,C1,'数据-汇总表'!D17:D26)+SUMIF(项目类型,C1,'数据-汇总表'!H17:H27))</f>
        <v>1764.17</v>
      </c>
      <c r="M19" s="2424">
        <f>IF(C1="",'数据-汇总表'!D3,SUMIF(项目类型,C1,'数据-汇总表'!D17:D26))</f>
        <v>1764.17</v>
      </c>
    </row>
    <row r="20" spans="1:35" ht="15">
      <c r="A20" s="2433"/>
      <c r="B20" s="1250" t="s">
        <v>2144</v>
      </c>
      <c r="C20" s="146">
        <f ca="1">SUMIF(INDIRECT("'"&amp;C4&amp;"'"&amp;"!A:A"),'结果表 (商业)'!B20,INDIRECT("'"&amp;C4&amp;"'"&amp;"!B:B"))</f>
        <v>13627</v>
      </c>
      <c r="D20" s="147">
        <f ca="1">SUMIF(INDIRECT("'"&amp;D4&amp;"'"&amp;"!A:A"),'结果表 (商业)'!B20,INDIRECT("'"&amp;D4&amp;"'"&amp;"!B:B"))</f>
        <v>13562</v>
      </c>
      <c r="E20" s="2433"/>
      <c r="F20" s="1250" t="s">
        <v>2144</v>
      </c>
      <c r="G20" s="148">
        <f ca="1">ROUND(C20*$C$18+D20*$D$18,0)</f>
        <v>13595</v>
      </c>
      <c r="H20" s="983" t="s">
        <v>2145</v>
      </c>
      <c r="I20" s="138"/>
    </row>
    <row r="21" spans="1:35" ht="15" customHeight="1" thickBot="1">
      <c r="A21" s="1003"/>
      <c r="B21" s="2434" t="s">
        <v>2146</v>
      </c>
      <c r="C21" s="789">
        <f ca="1">ROUND(C19*10000/L19,0)</f>
        <v>697</v>
      </c>
      <c r="D21" s="790">
        <f ca="1">ROUND(D19*10000/L19,0)</f>
        <v>692</v>
      </c>
      <c r="E21" s="1003"/>
      <c r="F21" s="2434" t="s">
        <v>2146</v>
      </c>
      <c r="G21" s="149">
        <f ca="1">ROUND(G19*10000/L19,0)</f>
        <v>697</v>
      </c>
      <c r="H21" s="2435" t="s">
        <v>2145</v>
      </c>
      <c r="I21" s="138"/>
    </row>
    <row r="22" spans="1:35" ht="15" thickBot="1">
      <c r="A22" s="2278" t="s">
        <v>2147</v>
      </c>
      <c r="B22" s="2436"/>
      <c r="C22" s="2437"/>
      <c r="D22" s="791">
        <f ca="1">IF(C19&lt;D19,D19/C19-1,C19/D19-1)</f>
        <v>8.1967213114753079E-3</v>
      </c>
      <c r="E22" s="138"/>
      <c r="F22" s="138"/>
      <c r="G22" s="138"/>
      <c r="H22" s="138"/>
      <c r="I22" s="138"/>
    </row>
    <row r="23" spans="1:35" ht="13.5" thickBot="1">
      <c r="A23" s="2414"/>
      <c r="B23" s="2414"/>
      <c r="C23" s="2414"/>
      <c r="D23" s="2414"/>
      <c r="E23" s="138"/>
      <c r="F23" s="138"/>
      <c r="G23" s="138"/>
      <c r="H23" s="138"/>
      <c r="I23" s="138"/>
    </row>
    <row r="24" spans="1:35" ht="14.25">
      <c r="A24" s="3122" t="s">
        <v>2148</v>
      </c>
      <c r="B24" s="2431" t="s">
        <v>2140</v>
      </c>
      <c r="C24" s="145">
        <f>IF(B30=0,0,D30)</f>
        <v>0</v>
      </c>
      <c r="D24" s="2438"/>
      <c r="E24" s="138"/>
      <c r="F24" s="138"/>
      <c r="G24" s="138"/>
      <c r="H24" s="138"/>
      <c r="I24" s="138"/>
    </row>
    <row r="25" spans="1:35" ht="14.25">
      <c r="A25" s="3123"/>
      <c r="B25" s="1250"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123</v>
      </c>
      <c r="D32" s="2445" t="s">
        <v>2155</v>
      </c>
      <c r="E32" s="138"/>
      <c r="F32" s="138"/>
      <c r="G32" s="138"/>
      <c r="H32" s="138"/>
      <c r="I32" s="138"/>
    </row>
    <row r="33" spans="1:15" ht="15">
      <c r="A33" s="960" t="s">
        <v>2156</v>
      </c>
      <c r="B33" s="2446"/>
      <c r="C33" s="2447"/>
      <c r="D33" s="2448"/>
      <c r="E33" s="2449" t="s">
        <v>2157</v>
      </c>
      <c r="F33" s="2984" t="str">
        <f>IF(D32="楼面单价","取值（单价）","取值（总价）")</f>
        <v>取值（总价）</v>
      </c>
      <c r="G33" s="138"/>
      <c r="H33" s="138"/>
      <c r="I33" s="138"/>
    </row>
    <row r="34" spans="1:15" ht="15">
      <c r="A34" s="2451"/>
      <c r="B34" s="2452" t="s">
        <v>2158</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2159</v>
      </c>
      <c r="F34" s="1739"/>
      <c r="G34" s="138"/>
      <c r="H34" s="138"/>
      <c r="I34" s="138"/>
    </row>
    <row r="35" spans="1:15" ht="15.75" thickBot="1">
      <c r="A35" s="2454"/>
      <c r="B35" s="2455"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140" t="s">
        <v>2162</v>
      </c>
      <c r="B36" s="2457" t="s">
        <v>2163</v>
      </c>
      <c r="C36" s="154"/>
      <c r="D36" s="2458"/>
      <c r="E36" s="2459"/>
      <c r="F36" s="2460"/>
      <c r="G36" s="138"/>
      <c r="H36" s="138"/>
      <c r="I36" s="138"/>
    </row>
    <row r="37" spans="1:15" ht="15.75" thickBot="1">
      <c r="A37" s="3141"/>
      <c r="B37" s="2264" t="s">
        <v>2164</v>
      </c>
      <c r="C37" s="156"/>
      <c r="D37" s="1395"/>
      <c r="E37" s="1395"/>
      <c r="F37" s="2460"/>
      <c r="G37" s="138"/>
      <c r="H37" s="138"/>
      <c r="I37" s="138"/>
    </row>
    <row r="38" spans="1:15" ht="15.75" thickBot="1">
      <c r="A38" s="3142"/>
      <c r="B38" s="2461" t="s">
        <v>2165</v>
      </c>
      <c r="C38" s="727"/>
      <c r="D38" s="2462" t="s">
        <v>2166</v>
      </c>
      <c r="E38" s="1395"/>
      <c r="F38" s="2460"/>
      <c r="G38" s="138"/>
      <c r="H38" s="138"/>
      <c r="I38" s="138"/>
    </row>
    <row r="39" spans="1:15" ht="15">
      <c r="A39" s="2433" t="s">
        <v>2167</v>
      </c>
      <c r="B39" s="2463" t="s">
        <v>2150</v>
      </c>
      <c r="C39" s="2464" t="s">
        <v>2151</v>
      </c>
      <c r="D39" s="2464" t="s">
        <v>2170</v>
      </c>
      <c r="E39" s="2465" t="s">
        <v>2152</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19" t="s">
        <v>2176</v>
      </c>
      <c r="B45" s="3120"/>
      <c r="C45" s="3121"/>
      <c r="D45" s="164">
        <f ca="1">ROUND(H101*F45,0)</f>
        <v>123</v>
      </c>
      <c r="E45" s="165" t="s">
        <v>2177</v>
      </c>
      <c r="F45" s="166">
        <v>1</v>
      </c>
      <c r="G45" s="167" t="s">
        <v>2178</v>
      </c>
      <c r="H45" s="138"/>
      <c r="I45" s="138"/>
      <c r="J45" s="3179" t="s">
        <v>2179</v>
      </c>
      <c r="K45" s="3179"/>
      <c r="L45" s="3179"/>
      <c r="M45" s="3179"/>
      <c r="N45" s="3179"/>
      <c r="O45" s="3179"/>
    </row>
    <row r="46" spans="1:15" ht="14.25" customHeight="1">
      <c r="A46" s="3116" t="s">
        <v>2180</v>
      </c>
      <c r="B46" s="3117"/>
      <c r="C46" s="3117"/>
      <c r="D46" s="3117"/>
      <c r="E46" s="3117"/>
      <c r="F46" s="3117"/>
      <c r="G46" s="3118"/>
      <c r="H46" s="2476"/>
      <c r="I46" s="168"/>
      <c r="J46" s="2994">
        <v>1</v>
      </c>
      <c r="K46" s="3179" t="s">
        <v>2181</v>
      </c>
      <c r="L46" s="3179"/>
      <c r="M46" s="3199"/>
      <c r="N46" s="3199"/>
      <c r="O46" s="3199"/>
    </row>
    <row r="47" spans="1:15" ht="12" customHeight="1">
      <c r="A47" s="169" t="s">
        <v>2182</v>
      </c>
      <c r="B47" s="170"/>
      <c r="C47" s="171"/>
      <c r="D47" s="172" t="s">
        <v>2183</v>
      </c>
      <c r="E47" s="24" t="s">
        <v>2184</v>
      </c>
      <c r="F47" s="173" t="s">
        <v>2185</v>
      </c>
      <c r="G47" s="174" t="s">
        <v>2186</v>
      </c>
      <c r="H47" s="2476"/>
      <c r="I47" s="168"/>
      <c r="J47" s="2994">
        <v>2</v>
      </c>
      <c r="K47" s="3179" t="s">
        <v>2187</v>
      </c>
      <c r="L47" s="3179"/>
      <c r="M47" s="3200">
        <f>'数据-取费表'!B2</f>
        <v>43307</v>
      </c>
      <c r="N47" s="3200"/>
      <c r="O47" s="3200"/>
    </row>
    <row r="48" spans="1:15" ht="25.5">
      <c r="A48" s="3147" t="s">
        <v>2188</v>
      </c>
      <c r="B48" s="3130"/>
      <c r="C48" s="3130"/>
      <c r="D48" s="140">
        <f>IF(H48="情况1",0,IF(H48="情况2",D52,IF(H48="情况3",D53,IF(H48="情况4",D54))))</f>
        <v>0</v>
      </c>
      <c r="E48" s="2988" t="str">
        <f>IF(H48="情况4","(销售额-原购置价)×税（费）率","销售额×税（费）率")</f>
        <v>销售额×税（费）率</v>
      </c>
      <c r="F48" s="175" t="str">
        <f>IF(H48="情况1","免征",'数据-取费表'!B41)</f>
        <v>免征</v>
      </c>
      <c r="G48" s="2477" t="s">
        <v>2189</v>
      </c>
      <c r="H48" s="2478" t="s">
        <v>2190</v>
      </c>
      <c r="I48" s="2476"/>
      <c r="J48" s="2994">
        <v>3</v>
      </c>
      <c r="K48" s="3179" t="s">
        <v>2191</v>
      </c>
      <c r="L48" s="3179"/>
      <c r="M48" s="3201">
        <f ca="1">H101</f>
        <v>123</v>
      </c>
      <c r="N48" s="3201"/>
      <c r="O48" s="3201"/>
    </row>
    <row r="49" spans="1:35" ht="25.5" customHeight="1">
      <c r="A49" s="176" t="s">
        <v>2192</v>
      </c>
      <c r="B49" s="3115" t="s">
        <v>2193</v>
      </c>
      <c r="C49" s="3115"/>
      <c r="D49" s="177">
        <v>0</v>
      </c>
      <c r="E49" s="23" t="s">
        <v>2194</v>
      </c>
      <c r="F49" s="28" t="s">
        <v>34</v>
      </c>
      <c r="G49" s="3185"/>
      <c r="H49" s="138"/>
      <c r="I49" s="2479"/>
      <c r="J49" s="2994">
        <v>4</v>
      </c>
      <c r="K49" s="3179" t="str">
        <f>IF(项目基本情况!E8="房地产抵押价值","房地产抵押价值","抵押担保权已注销时的房地产抵押价值")</f>
        <v>房地产抵押价值</v>
      </c>
      <c r="L49" s="3179"/>
      <c r="M49" s="3201">
        <f ca="1">IF(项目基本情况!E8="房地产抵押价值",H107,H109)</f>
        <v>123</v>
      </c>
      <c r="N49" s="3201"/>
      <c r="O49" s="3201"/>
    </row>
    <row r="50" spans="1:35" ht="25.5" customHeight="1">
      <c r="A50" s="178"/>
      <c r="B50" s="3115" t="s">
        <v>2195</v>
      </c>
      <c r="C50" s="3115"/>
      <c r="D50" s="179"/>
      <c r="E50" s="31"/>
      <c r="F50" s="180"/>
      <c r="G50" s="3186"/>
      <c r="H50" s="138"/>
      <c r="I50" s="2479"/>
      <c r="J50" s="3179" t="s">
        <v>2196</v>
      </c>
      <c r="K50" s="3179"/>
      <c r="L50" s="3179"/>
      <c r="M50" s="3179"/>
      <c r="N50" s="3179"/>
      <c r="O50" s="3179"/>
    </row>
    <row r="51" spans="1:35" ht="12" customHeight="1">
      <c r="A51" s="181"/>
      <c r="B51" s="3115" t="s">
        <v>2197</v>
      </c>
      <c r="C51" s="3115"/>
      <c r="D51" s="182"/>
      <c r="E51" s="30"/>
      <c r="F51" s="180"/>
      <c r="G51" s="3187"/>
      <c r="H51" s="138"/>
      <c r="I51" s="2479"/>
      <c r="J51" s="2993" t="s">
        <v>2198</v>
      </c>
      <c r="K51" s="3179" t="s">
        <v>2199</v>
      </c>
      <c r="L51" s="3179"/>
      <c r="M51" s="2993" t="s">
        <v>2200</v>
      </c>
      <c r="N51" s="2993" t="s">
        <v>2201</v>
      </c>
      <c r="O51" s="2993" t="s">
        <v>2202</v>
      </c>
    </row>
    <row r="52" spans="1:35" ht="24" customHeight="1">
      <c r="A52" s="183" t="s">
        <v>2203</v>
      </c>
      <c r="B52" s="3115" t="s">
        <v>2204</v>
      </c>
      <c r="C52" s="3115"/>
      <c r="D52" s="182">
        <f ca="1">ROUND(D45*'数据-取费表'!B41/(1+'数据-取费表'!C42),0)</f>
        <v>6</v>
      </c>
      <c r="E52" s="11" t="s">
        <v>2205</v>
      </c>
      <c r="F52" s="184">
        <f>'数据-取费表'!B41</f>
        <v>5.5000000000000007E-2</v>
      </c>
      <c r="G52" s="2481"/>
      <c r="H52" s="138"/>
      <c r="I52" s="2479"/>
      <c r="J52" s="2994">
        <v>1</v>
      </c>
      <c r="K52" s="3180" t="s">
        <v>2206</v>
      </c>
      <c r="L52" s="3180"/>
      <c r="M52" s="1754">
        <f>D48</f>
        <v>0</v>
      </c>
      <c r="N52" s="2994" t="str">
        <f>E48</f>
        <v>销售额×税（费）率</v>
      </c>
      <c r="O52" s="1755" t="str">
        <f>F48</f>
        <v>免征</v>
      </c>
    </row>
    <row r="53" spans="1:35" ht="12" customHeight="1">
      <c r="A53" s="183" t="s">
        <v>2207</v>
      </c>
      <c r="B53" s="3138" t="s">
        <v>2208</v>
      </c>
      <c r="C53" s="3139"/>
      <c r="D53" s="182">
        <f ca="1">ROUND(D45*'数据-取费表'!B41/(1+'数据-取费表'!C42),0)</f>
        <v>6</v>
      </c>
      <c r="E53" s="11" t="s">
        <v>2205</v>
      </c>
      <c r="F53" s="184">
        <f>'数据-取费表'!B41</f>
        <v>5.5000000000000007E-2</v>
      </c>
      <c r="G53" s="2481"/>
      <c r="H53" s="138"/>
      <c r="I53" s="2479"/>
      <c r="J53" s="2994">
        <v>2</v>
      </c>
      <c r="K53" s="3180" t="s">
        <v>2209</v>
      </c>
      <c r="L53" s="3180"/>
      <c r="M53" s="1754">
        <f t="shared" ref="M53:O54" ca="1" si="0">D55</f>
        <v>0</v>
      </c>
      <c r="N53" s="2994" t="str">
        <f t="shared" si="0"/>
        <v>销售额×税（费）率</v>
      </c>
      <c r="O53" s="1755">
        <f t="shared" si="0"/>
        <v>5.0000000000000001E-4</v>
      </c>
    </row>
    <row r="54" spans="1:35" ht="12" customHeight="1">
      <c r="A54" s="183" t="s">
        <v>2210</v>
      </c>
      <c r="B54" s="3138" t="s">
        <v>2211</v>
      </c>
      <c r="C54" s="3139"/>
      <c r="D54" s="182">
        <f ca="1">C68</f>
        <v>6</v>
      </c>
      <c r="E54" s="30" t="s">
        <v>2212</v>
      </c>
      <c r="F54" s="184">
        <f>'数据-取费表'!B41</f>
        <v>5.5000000000000007E-2</v>
      </c>
      <c r="G54" s="2481"/>
      <c r="H54" s="2482"/>
      <c r="I54" s="2479"/>
      <c r="J54" s="2994">
        <v>3</v>
      </c>
      <c r="K54" s="3180" t="s">
        <v>2213</v>
      </c>
      <c r="L54" s="3180"/>
      <c r="M54" s="1754">
        <f t="shared" ca="1" si="0"/>
        <v>69</v>
      </c>
      <c r="N54" s="2994" t="str">
        <f t="shared" si="0"/>
        <v>增值额×税（费）率</v>
      </c>
      <c r="O54" s="1756" t="str">
        <f t="shared" si="0"/>
        <v>——</v>
      </c>
    </row>
    <row r="55" spans="1:35" ht="24" customHeight="1">
      <c r="A55" s="3129" t="s">
        <v>2214</v>
      </c>
      <c r="B55" s="3130"/>
      <c r="C55" s="3130"/>
      <c r="D55" s="185">
        <f ca="1">IF(H55="个人住宅",0,ROUND(D45*I55,0))</f>
        <v>0</v>
      </c>
      <c r="E55" s="11" t="s">
        <v>2215</v>
      </c>
      <c r="F55" s="184">
        <f>IF(H55="正常",I55,"免征")</f>
        <v>5.0000000000000001E-4</v>
      </c>
      <c r="G55" s="2481"/>
      <c r="H55" s="2478" t="s">
        <v>2216</v>
      </c>
      <c r="I55" s="186">
        <f>'数据-取费表'!B49</f>
        <v>5.0000000000000001E-4</v>
      </c>
      <c r="J55" s="2994" t="str">
        <f>IF(H59="非个人房产","",4)</f>
        <v/>
      </c>
      <c r="K55" s="3180" t="str">
        <f>IF(H59="非个人房产","——","个人所得税")</f>
        <v>——</v>
      </c>
      <c r="L55" s="3180"/>
      <c r="M55" s="1757" t="str">
        <f>D59</f>
        <v>——</v>
      </c>
      <c r="N55" s="2995" t="str">
        <f>E59</f>
        <v>——</v>
      </c>
      <c r="O55" s="1758" t="str">
        <f>F59</f>
        <v>——</v>
      </c>
    </row>
    <row r="56" spans="1:35" ht="24.75">
      <c r="A56" s="3129" t="s">
        <v>2217</v>
      </c>
      <c r="B56" s="3130"/>
      <c r="C56" s="3130"/>
      <c r="D56" s="185">
        <f ca="1">IF(H56="个人住宅",D57,D58)</f>
        <v>69</v>
      </c>
      <c r="E56" s="11" t="s">
        <v>2218</v>
      </c>
      <c r="F56" s="184" t="str">
        <f>IF(H56="正常",F58,"免征")</f>
        <v>——</v>
      </c>
      <c r="G56" s="2483" t="s">
        <v>2219</v>
      </c>
      <c r="H56" s="2484" t="s">
        <v>2216</v>
      </c>
      <c r="I56" s="2485"/>
      <c r="J56" s="2994" t="str">
        <f>IF(项目基本情况!K6="上海银行",IF(J55="",4,J55+1),"")</f>
        <v/>
      </c>
      <c r="K56" s="3203" t="str">
        <f>IF(项目基本情况!K6="上海银行","其他处置费用","")</f>
        <v/>
      </c>
      <c r="L56" s="3204"/>
      <c r="M56" s="1754" t="str">
        <f>IF(项目基本情况!K6="上海银行",M69,"")</f>
        <v/>
      </c>
      <c r="N56" s="3206" t="str">
        <f>IF(项目基本情况!K6="上海银行","包含处置中涉及的律师、诉讼、拍卖、评估等费用","")</f>
        <v/>
      </c>
      <c r="O56" s="3207"/>
    </row>
    <row r="57" spans="1:35" ht="12.75">
      <c r="A57" s="183" t="s">
        <v>2192</v>
      </c>
      <c r="B57" s="3145" t="s">
        <v>2220</v>
      </c>
      <c r="C57" s="3154"/>
      <c r="D57" s="187">
        <v>0</v>
      </c>
      <c r="E57" s="23" t="s">
        <v>2194</v>
      </c>
      <c r="F57" s="155"/>
      <c r="G57" s="2481"/>
      <c r="H57" s="2485"/>
      <c r="I57" s="2485"/>
      <c r="J57" s="3180">
        <f>IF(AND(J55="",J56=""),4,IF(项目基本情况!K6="上海银行",'结果表 (商业)'!J56+1,'结果表 (商业)'!J55+1))</f>
        <v>4</v>
      </c>
      <c r="K57" s="3180" t="s">
        <v>2221</v>
      </c>
      <c r="L57" s="2486" t="s">
        <v>2222</v>
      </c>
      <c r="M57" s="1759"/>
      <c r="N57" s="1760">
        <f ca="1">SUMIF(M52:M56,"&lt;9e307")</f>
        <v>69</v>
      </c>
      <c r="O57" s="2487"/>
      <c r="P57" s="1753">
        <f ca="1">N57/M49</f>
        <v>0.56097560975609762</v>
      </c>
    </row>
    <row r="58" spans="1:35" ht="24.75">
      <c r="A58" s="183" t="s">
        <v>2203</v>
      </c>
      <c r="B58" s="3145" t="s">
        <v>2223</v>
      </c>
      <c r="C58" s="3146"/>
      <c r="D58" s="185">
        <f ca="1">IF(H58="转让取得",C81,C97)</f>
        <v>69</v>
      </c>
      <c r="E58" s="11" t="s">
        <v>2218</v>
      </c>
      <c r="F58" s="24" t="s">
        <v>34</v>
      </c>
      <c r="G58" s="2481"/>
      <c r="H58" s="2484" t="s">
        <v>2224</v>
      </c>
      <c r="I58" s="2485"/>
      <c r="J58" s="3180"/>
      <c r="K58" s="3180"/>
      <c r="L58" s="2486" t="s">
        <v>2225</v>
      </c>
      <c r="M58" s="1761"/>
      <c r="N58" s="2488" t="str">
        <f ca="1">NUMBERSTRING(INT(N57*10000),2)&amp;"元整"</f>
        <v>陆拾玖万元整</v>
      </c>
      <c r="O58" s="2489"/>
    </row>
    <row r="59" spans="1:35" ht="24.75" thickBot="1">
      <c r="A59" s="3183" t="s">
        <v>2226</v>
      </c>
      <c r="B59" s="3184"/>
      <c r="C59" s="3184"/>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181">
        <f>J57+1</f>
        <v>5</v>
      </c>
      <c r="K59" s="3180" t="s">
        <v>2228</v>
      </c>
      <c r="L59" s="2994" t="s">
        <v>2222</v>
      </c>
      <c r="M59" s="1762"/>
      <c r="N59" s="1763">
        <f ca="1">M49-N57</f>
        <v>54</v>
      </c>
      <c r="O59" s="2491"/>
    </row>
    <row r="60" spans="1:35" ht="12" customHeight="1">
      <c r="A60" s="2492"/>
      <c r="B60" s="2414"/>
      <c r="C60" s="2414"/>
      <c r="D60" s="2414"/>
      <c r="E60" s="2164"/>
      <c r="F60" s="2485"/>
      <c r="G60" s="2485"/>
      <c r="H60" s="2493"/>
      <c r="I60" s="138"/>
      <c r="J60" s="3182"/>
      <c r="K60" s="3180"/>
      <c r="L60" s="2486" t="s">
        <v>2225</v>
      </c>
      <c r="M60" s="1761"/>
      <c r="N60" s="2488" t="str">
        <f ca="1">NUMBERSTRING(INT(N59*10000),2)&amp;"元整"</f>
        <v>伍拾肆万元整</v>
      </c>
      <c r="O60" s="2489"/>
    </row>
    <row r="61" spans="1:35" ht="13.5" thickBot="1">
      <c r="A61" s="3127" t="s">
        <v>2229</v>
      </c>
      <c r="B61" s="3127"/>
      <c r="C61" s="3127"/>
      <c r="D61" s="3127"/>
      <c r="E61" s="3127"/>
      <c r="F61" s="2485"/>
      <c r="G61" s="2485"/>
      <c r="H61" s="2493"/>
      <c r="I61" s="138"/>
      <c r="J61" s="2994">
        <f>J59+1</f>
        <v>6</v>
      </c>
      <c r="K61" s="3180" t="s">
        <v>2230</v>
      </c>
      <c r="L61" s="3180"/>
      <c r="M61" s="1764"/>
      <c r="N61" s="1765">
        <f ca="1">ROUND(N59*10000/'数据-汇总表'!E3,0)</f>
        <v>102</v>
      </c>
      <c r="O61" s="2494"/>
    </row>
    <row r="62" spans="1:35" ht="12.75">
      <c r="A62" s="3143" t="s">
        <v>2231</v>
      </c>
      <c r="B62" s="3144"/>
      <c r="C62" s="2991"/>
      <c r="D62" s="2991" t="s">
        <v>2232</v>
      </c>
      <c r="E62" s="192" t="s">
        <v>2233</v>
      </c>
      <c r="F62" s="2485"/>
      <c r="G62" s="2485"/>
      <c r="H62" s="2493"/>
      <c r="I62" s="138"/>
    </row>
    <row r="63" spans="1:35" ht="12.75">
      <c r="A63" s="203" t="s">
        <v>775</v>
      </c>
      <c r="B63" s="193" t="s">
        <v>2234</v>
      </c>
      <c r="C63" s="194">
        <f ca="1">ROUND((C64+C65)/(1+'数据-取费表'!C42),0)</f>
        <v>117</v>
      </c>
      <c r="D63" s="195"/>
      <c r="E63" s="196"/>
      <c r="F63" s="2485"/>
      <c r="G63" s="2485"/>
      <c r="H63" s="2493"/>
      <c r="I63" s="138"/>
      <c r="J63" s="3205" t="s">
        <v>2235</v>
      </c>
      <c r="K63" s="2996" t="s">
        <v>2236</v>
      </c>
      <c r="L63" s="1752">
        <f ca="1">IF(M49&gt;10000,M49*0.5%,IF(AND(M49&gt;1000,M49&lt;=10000),M49*1%,IF(AND(M49&gt;100,M49&lt;=1000),M49*3%,IF(AND(M49&gt;10,M49&lt;=100),M49*5%,M49*8%))))</f>
        <v>3.69</v>
      </c>
      <c r="M63" s="24">
        <f ca="1">ROUND(L63,1)</f>
        <v>3.7</v>
      </c>
      <c r="Z63" s="2419"/>
      <c r="AI63" s="2420"/>
    </row>
    <row r="64" spans="1:35" ht="14.25" customHeight="1">
      <c r="A64" s="197" t="s">
        <v>770</v>
      </c>
      <c r="B64" s="198" t="s">
        <v>2237</v>
      </c>
      <c r="C64" s="199">
        <f ca="1">D45</f>
        <v>123</v>
      </c>
      <c r="D64" s="200" t="s">
        <v>32</v>
      </c>
      <c r="E64" s="201"/>
      <c r="F64" s="2485"/>
      <c r="G64" s="2485"/>
      <c r="H64" s="2493"/>
      <c r="I64" s="138"/>
      <c r="J64" s="3205"/>
      <c r="K64" s="2996" t="s">
        <v>2238</v>
      </c>
      <c r="L64" s="1752">
        <f ca="1">IF(M49&gt;2000,M49*0.5%,IF(AND(M49&gt;1000,M49&lt;=2000),M49*0.6%,IF(AND(M49&gt;500,M49&lt;=1000),M49*0.7%,IF(AND(M49&gt;200,M49&lt;=500),M49*0.8%,IF(AND(M49&gt;100,M49&lt;=200),M49*0.9%,IF(AND(M49&gt;50,M49&lt;=100),M49*1%,IF(AND(M49&gt;20,M49&lt;=50),M49*1.5%,IF(AND(M49&gt;10,M49&lt;=20),M49*2%,IF(AND(M49&gt;1,M49&lt;=10),M49*2.5%)))))))))</f>
        <v>1.1070000000000002</v>
      </c>
      <c r="M64" s="24">
        <f t="shared" ref="M64:M65" ca="1" si="1">ROUND(L64,1)</f>
        <v>1.1000000000000001</v>
      </c>
      <c r="N64" s="138" t="s">
        <v>2239</v>
      </c>
      <c r="Z64" s="2419"/>
      <c r="AI64" s="2420"/>
    </row>
    <row r="65" spans="1:35" ht="14.25" customHeight="1">
      <c r="A65" s="197" t="s">
        <v>771</v>
      </c>
      <c r="B65" s="198" t="s">
        <v>2240</v>
      </c>
      <c r="C65" s="202"/>
      <c r="D65" s="200"/>
      <c r="E65" s="201"/>
      <c r="F65" s="2485"/>
      <c r="G65" s="2485"/>
      <c r="H65" s="2493"/>
      <c r="I65" s="138"/>
      <c r="J65" s="3205"/>
      <c r="K65" s="2996" t="s">
        <v>2241</v>
      </c>
      <c r="L65" s="1752">
        <f ca="1">IF(M49&gt;1000,M49*0.1%,IF(AND(M49&gt;500,M49&lt;=1000),M49*0.5%,IF(AND(M49&gt;50,M49&lt;=500),M49*1%,IF(AND(M49&gt;1,M49&lt;=50),M49*1.5%))))</f>
        <v>1.23</v>
      </c>
      <c r="M65" s="24">
        <f t="shared" ca="1" si="1"/>
        <v>1.2</v>
      </c>
      <c r="N65" s="138" t="s">
        <v>2239</v>
      </c>
      <c r="Z65" s="2419"/>
      <c r="AI65" s="2420"/>
    </row>
    <row r="66" spans="1:35" ht="14.25" customHeight="1">
      <c r="A66" s="203" t="s">
        <v>772</v>
      </c>
      <c r="B66" s="204" t="s">
        <v>2242</v>
      </c>
      <c r="C66" s="205"/>
      <c r="D66" s="206" t="s">
        <v>32</v>
      </c>
      <c r="E66" s="1776" t="s">
        <v>1371</v>
      </c>
      <c r="F66" s="2485"/>
      <c r="G66" s="2485"/>
      <c r="H66" s="2493"/>
      <c r="I66" s="138"/>
      <c r="J66" s="3205"/>
      <c r="K66" s="2996" t="s">
        <v>2243</v>
      </c>
      <c r="L66" s="1752">
        <f ca="1">M49*0.5%</f>
        <v>0.61499999999999999</v>
      </c>
      <c r="M66" s="24">
        <f ca="1">IF(L66&gt;0.5,0.5,ROUND(L66,0))</f>
        <v>0.5</v>
      </c>
      <c r="N66" s="138" t="s">
        <v>2244</v>
      </c>
      <c r="Z66" s="2419"/>
      <c r="AI66" s="2420"/>
    </row>
    <row r="67" spans="1:35" ht="14.25" customHeight="1">
      <c r="A67" s="203" t="s">
        <v>773</v>
      </c>
      <c r="B67" s="204" t="s">
        <v>2245</v>
      </c>
      <c r="C67" s="207">
        <f ca="1">C63-C66</f>
        <v>117</v>
      </c>
      <c r="D67" s="200" t="s">
        <v>32</v>
      </c>
      <c r="E67" s="201"/>
      <c r="F67" s="2485"/>
      <c r="G67" s="2485"/>
      <c r="H67" s="2493"/>
      <c r="I67" s="138"/>
      <c r="J67" s="3205"/>
      <c r="K67" s="2996" t="s">
        <v>2246</v>
      </c>
      <c r="L67" s="1752">
        <f ca="1">IF(M49&gt;=10000,(8.25+(M49-10000)*0.01%),IF(AND(M49&gt;=8000,M49&lt;10000),(7.85+(M49-8000)*0.02%),IF(AND(M49&gt;=5000,M49&lt;8000),(6.65+(M49-5000)*0.04%),IF(AND(M49&gt;=2000,M49&lt;5000),(4.25+(PM49-2000)*0.08%),IF(AND(M49&gt;=1000,M49&lt;2000),(2.75+(M49-1000)*0.15%),IF(AND(M49&gt;=100,M49&lt;1000),(0.5+(M49-100)*0.25%),IF(AND(M49&gt;0,M49&lt;100),M49*0.5%)))))))</f>
        <v>0.5575</v>
      </c>
      <c r="M67" s="24">
        <f ca="1">ROUND(L67*0.9,1)</f>
        <v>0.5</v>
      </c>
      <c r="Z67" s="2419"/>
      <c r="AI67" s="2420"/>
    </row>
    <row r="68" spans="1:35" ht="14.25" customHeight="1" thickBot="1">
      <c r="A68" s="208" t="s">
        <v>774</v>
      </c>
      <c r="B68" s="209" t="s">
        <v>2247</v>
      </c>
      <c r="C68" s="210">
        <f ca="1">IF(C67&lt;=0,0,ROUND(C67*D68,0))</f>
        <v>6</v>
      </c>
      <c r="D68" s="211">
        <f>'数据-取费表'!B41</f>
        <v>5.5000000000000007E-2</v>
      </c>
      <c r="E68" s="212"/>
      <c r="F68" s="2485"/>
      <c r="G68" s="2485"/>
      <c r="H68" s="2493"/>
      <c r="I68" s="138"/>
      <c r="J68" s="3205"/>
      <c r="K68" s="2996" t="s">
        <v>2248</v>
      </c>
      <c r="L68" s="1752">
        <f ca="1">IF(M49&gt;10000,M49*0.5%,IF(AND(M49&gt;5000,M49&lt;=10000),M49*1%,IF(AND(M49&gt;1000,M49&lt;=5000),M49*2%,IF(AND(M49&gt;200,M49&lt;=1000),M49*3%,M49*5%))))</f>
        <v>6.15</v>
      </c>
      <c r="M68" s="24">
        <f ca="1">ROUND(L68,1)</f>
        <v>6.2</v>
      </c>
      <c r="Z68" s="2419"/>
      <c r="AI68" s="2420"/>
    </row>
    <row r="69" spans="1:35" s="2442" customFormat="1" ht="16.5" customHeight="1">
      <c r="A69" s="2496"/>
      <c r="B69" s="2497"/>
      <c r="C69" s="2498"/>
      <c r="D69" s="2499"/>
      <c r="E69" s="2500"/>
      <c r="F69" s="2164"/>
      <c r="G69" s="2164"/>
      <c r="H69" s="2163"/>
      <c r="I69" s="2414"/>
      <c r="J69" s="3205"/>
      <c r="K69" s="2996" t="s">
        <v>2249</v>
      </c>
      <c r="L69" s="2501"/>
      <c r="M69" s="24">
        <f ca="1">ROUND(SUM(M63:M68),0)</f>
        <v>13</v>
      </c>
      <c r="N69" s="1753">
        <f ca="1">M69/M49</f>
        <v>0.10569105691056911</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64" t="s">
        <v>2250</v>
      </c>
      <c r="B70" s="3165"/>
      <c r="C70" s="3165"/>
      <c r="D70" s="3165"/>
      <c r="E70" s="3165"/>
      <c r="F70" s="3165"/>
      <c r="G70" s="3165"/>
      <c r="H70" s="316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43" t="s">
        <v>2231</v>
      </c>
      <c r="B71" s="3144"/>
      <c r="C71" s="2991"/>
      <c r="D71" s="2991"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117</v>
      </c>
      <c r="D72" s="200" t="s">
        <v>32</v>
      </c>
      <c r="E72" s="2990"/>
      <c r="F72" s="2985"/>
      <c r="G72" s="298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1</v>
      </c>
      <c r="D73" s="200" t="s">
        <v>32</v>
      </c>
      <c r="E73" s="2990"/>
      <c r="F73" s="2985"/>
      <c r="G73" s="298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2990"/>
      <c r="F74" s="2985"/>
      <c r="G74" s="298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38" t="s">
        <v>2259</v>
      </c>
      <c r="F76" s="3115"/>
      <c r="G76" s="3115"/>
      <c r="H76" s="316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4.0500000000000001E-2</v>
      </c>
      <c r="E77" s="2997" t="s">
        <v>2261</v>
      </c>
      <c r="F77" s="224"/>
      <c r="G77" s="2509" t="s">
        <v>2262</v>
      </c>
      <c r="H77" s="299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1</v>
      </c>
      <c r="D78" s="226">
        <f>'数据-取费表'!B43</f>
        <v>5.000000000000001E-3</v>
      </c>
      <c r="E78" s="3124" t="s">
        <v>2264</v>
      </c>
      <c r="F78" s="3125"/>
      <c r="G78" s="3125"/>
      <c r="H78" s="313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2265</v>
      </c>
      <c r="C79" s="207">
        <f ca="1">C72-C73</f>
        <v>116</v>
      </c>
      <c r="D79" s="200" t="s">
        <v>32</v>
      </c>
      <c r="E79" s="2990"/>
      <c r="F79" s="2985"/>
      <c r="G79" s="298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116</v>
      </c>
      <c r="D80" s="200" t="s">
        <v>32</v>
      </c>
      <c r="E80" s="2997" t="str">
        <f ca="1">IF(C80&gt;=200%,"增值额超过扣除项目金额200%",IF(C80&gt;=100%,"增值额超过扣除项目金额100%，未超过200%",IF(C80&gt;=50%,"增值额超过扣除项目金额50%，未超过100%",IF(C80&lt;50%,"增值额未超过扣除项目金额50%"))))</f>
        <v>增值额超过扣除项目金额200%</v>
      </c>
      <c r="F80" s="2985"/>
      <c r="G80" s="298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4" t="s">
        <v>2268</v>
      </c>
      <c r="B83" s="3165"/>
      <c r="C83" s="3165"/>
      <c r="D83" s="3165"/>
      <c r="E83" s="3165"/>
      <c r="F83" s="3165"/>
      <c r="G83" s="3165"/>
      <c r="H83" s="316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43" t="s">
        <v>2231</v>
      </c>
      <c r="B84" s="3144"/>
      <c r="C84" s="2991"/>
      <c r="D84" s="2991"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117</v>
      </c>
      <c r="D85" s="200" t="s">
        <v>32</v>
      </c>
      <c r="E85" s="2990"/>
      <c r="F85" s="2985"/>
      <c r="G85" s="298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1</v>
      </c>
      <c r="D86" s="235"/>
      <c r="E86" s="2990"/>
      <c r="F86" s="2985"/>
      <c r="G86" s="298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2986"/>
      <c r="F87" s="2987"/>
      <c r="G87" s="2987"/>
      <c r="H87" s="298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2987"/>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4.0500000000000001E-2</v>
      </c>
      <c r="E89" s="237" t="s">
        <v>2273</v>
      </c>
      <c r="F89" s="2987"/>
      <c r="G89" s="2987"/>
      <c r="H89" s="298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2987"/>
      <c r="G90" s="2987"/>
      <c r="H90" s="298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124" t="s">
        <v>2277</v>
      </c>
      <c r="F91" s="3125"/>
      <c r="G91" s="3125"/>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124" t="s">
        <v>2281</v>
      </c>
      <c r="F92" s="3125"/>
      <c r="G92" s="3125"/>
      <c r="H92" s="313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1</v>
      </c>
      <c r="D93" s="226">
        <f>'数据-取费表'!B43</f>
        <v>5.000000000000001E-3</v>
      </c>
      <c r="E93" s="3124" t="s">
        <v>2264</v>
      </c>
      <c r="F93" s="3125"/>
      <c r="G93" s="3125"/>
      <c r="H93" s="313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135" t="s">
        <v>2285</v>
      </c>
      <c r="F94" s="3136"/>
      <c r="G94" s="3136"/>
      <c r="H94" s="313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2265</v>
      </c>
      <c r="C95" s="207">
        <f ca="1">ROUND(C85-C86,0)</f>
        <v>116</v>
      </c>
      <c r="D95" s="200" t="s">
        <v>32</v>
      </c>
      <c r="E95" s="2990"/>
      <c r="F95" s="2985"/>
      <c r="G95" s="298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116</v>
      </c>
      <c r="D96" s="200" t="s">
        <v>32</v>
      </c>
      <c r="E96" s="2997" t="str">
        <f ca="1">IF(C96&gt;=200%,"增值额超过扣除项目金额200%",IF(C96&gt;=100%,"增值额超过扣除项目金额100%，未超过200%",IF(C96&gt;=50%,"增值额超过扣除项目金额50%，未超过100%",IF(C96&lt;50%,"增值额未超过扣除项目金额50%"))))</f>
        <v>增值额超过扣除项目金额200%</v>
      </c>
      <c r="F96" s="2985"/>
      <c r="G96" s="298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2286</v>
      </c>
      <c r="B99" s="2414"/>
      <c r="C99" s="2414"/>
      <c r="D99" s="2414"/>
      <c r="E99" s="2164"/>
      <c r="F99" s="2164"/>
      <c r="G99" s="2164"/>
      <c r="H99" s="2163"/>
      <c r="I99" s="138"/>
    </row>
    <row r="100" spans="1:35" ht="18.75" customHeight="1">
      <c r="A100" s="3109" t="s">
        <v>2287</v>
      </c>
      <c r="B100" s="3110"/>
      <c r="C100" s="3110"/>
      <c r="D100" s="3126"/>
      <c r="E100" s="3110" t="s">
        <v>2288</v>
      </c>
      <c r="F100" s="3110"/>
      <c r="G100" s="3110"/>
      <c r="H100" s="3126"/>
      <c r="I100" s="138"/>
    </row>
    <row r="101" spans="1:35" ht="18.75" customHeight="1">
      <c r="A101" s="3188" t="s">
        <v>2289</v>
      </c>
      <c r="B101" s="3189"/>
      <c r="C101" s="736" t="str">
        <f>C4</f>
        <v>比较法-商业</v>
      </c>
      <c r="D101" s="737" t="str">
        <f>D4</f>
        <v>收益法 (商业)</v>
      </c>
      <c r="E101" s="3202" t="s">
        <v>2290</v>
      </c>
      <c r="F101" s="3156"/>
      <c r="G101" s="2516" t="s">
        <v>2291</v>
      </c>
      <c r="H101" s="1048">
        <f ca="1">H118</f>
        <v>123</v>
      </c>
      <c r="I101" s="138"/>
    </row>
    <row r="102" spans="1:35" ht="18.75" customHeight="1">
      <c r="A102" s="3158" t="s">
        <v>2292</v>
      </c>
      <c r="B102" s="2516" t="s">
        <v>2291</v>
      </c>
      <c r="C102" s="736">
        <f ca="1">C19</f>
        <v>123</v>
      </c>
      <c r="D102" s="737">
        <f ca="1">D19</f>
        <v>122</v>
      </c>
      <c r="E102" s="3202"/>
      <c r="F102" s="3156"/>
      <c r="G102" s="2516" t="s">
        <v>2293</v>
      </c>
      <c r="H102" s="371">
        <f ca="1">I118</f>
        <v>233</v>
      </c>
      <c r="I102" s="138"/>
    </row>
    <row r="103" spans="1:35" ht="42.75" customHeight="1">
      <c r="A103" s="3158"/>
      <c r="B103" s="2516" t="s">
        <v>2293</v>
      </c>
      <c r="C103" s="738">
        <f ca="1">C20</f>
        <v>13627</v>
      </c>
      <c r="D103" s="739">
        <f ca="1">D20</f>
        <v>13562</v>
      </c>
      <c r="E103" s="3197" t="s">
        <v>2294</v>
      </c>
      <c r="F103" s="3198"/>
      <c r="G103" s="2517" t="s">
        <v>2295</v>
      </c>
      <c r="H103" s="1048">
        <f>IF(D36="正常操作",H104+H105+H106,H105+H106)</f>
        <v>0</v>
      </c>
      <c r="I103" s="138"/>
    </row>
    <row r="104" spans="1:35" ht="18.75" customHeight="1">
      <c r="A104" s="3158" t="s">
        <v>2296</v>
      </c>
      <c r="B104" s="2518" t="s">
        <v>2291</v>
      </c>
      <c r="C104" s="740">
        <f ca="1">H118</f>
        <v>123</v>
      </c>
      <c r="D104" s="741"/>
      <c r="E104" s="2264" t="s">
        <v>2297</v>
      </c>
      <c r="F104" s="2256"/>
      <c r="G104" s="2517" t="s">
        <v>2295</v>
      </c>
      <c r="H104" s="1049">
        <f>IF(D36="同一抵押权人同一抵押物续贷",C36&amp;"（未扣减，详见特别提示）",C36)</f>
        <v>0</v>
      </c>
      <c r="I104" s="138"/>
    </row>
    <row r="105" spans="1:35" ht="18.75" customHeight="1" thickBot="1">
      <c r="A105" s="3159"/>
      <c r="B105" s="2519" t="s">
        <v>2293</v>
      </c>
      <c r="C105" s="742">
        <f ca="1">I118</f>
        <v>233</v>
      </c>
      <c r="D105" s="743"/>
      <c r="E105" s="2264" t="s">
        <v>2298</v>
      </c>
      <c r="F105" s="2256"/>
      <c r="G105" s="2517" t="s">
        <v>2295</v>
      </c>
      <c r="H105" s="1049">
        <f>C37</f>
        <v>0</v>
      </c>
      <c r="I105" s="138"/>
    </row>
    <row r="106" spans="1:35" ht="18.75" customHeight="1">
      <c r="A106" s="2414" t="s">
        <v>2299</v>
      </c>
      <c r="B106" s="2414"/>
      <c r="C106" s="2414"/>
      <c r="D106" s="2414"/>
      <c r="E106" s="2520" t="s">
        <v>2300</v>
      </c>
      <c r="F106" s="2256"/>
      <c r="G106" s="2517" t="s">
        <v>2295</v>
      </c>
      <c r="H106" s="1049">
        <f>C38</f>
        <v>0</v>
      </c>
      <c r="I106" s="138"/>
    </row>
    <row r="107" spans="1:35" ht="18.75" customHeight="1">
      <c r="A107" s="138"/>
      <c r="B107" s="138"/>
      <c r="C107" s="138"/>
      <c r="D107" s="138"/>
      <c r="E107" s="3155" t="str">
        <f>IF(项目基本情况!E8="已注销","——","3.房地产抵押价值")</f>
        <v>3.房地产抵押价值</v>
      </c>
      <c r="F107" s="3156"/>
      <c r="G107" s="2516" t="s">
        <v>2291</v>
      </c>
      <c r="H107" s="1048">
        <f ca="1">IF(E107="——","——",H101-H103)</f>
        <v>123</v>
      </c>
      <c r="I107" s="138"/>
    </row>
    <row r="108" spans="1:35" ht="18.75" customHeight="1">
      <c r="A108" s="138"/>
      <c r="B108" s="138"/>
      <c r="C108" s="138"/>
      <c r="D108" s="138"/>
      <c r="E108" s="3155"/>
      <c r="F108" s="3156"/>
      <c r="G108" s="2516" t="s">
        <v>2293</v>
      </c>
      <c r="H108" s="371">
        <f ca="1">ROUND(H107*10000/'数据-汇总表'!E3,0)</f>
        <v>233</v>
      </c>
      <c r="I108" s="138"/>
    </row>
    <row r="109" spans="1:35" ht="18.75" customHeight="1">
      <c r="A109" s="138"/>
      <c r="B109" s="138"/>
      <c r="C109" s="138"/>
      <c r="D109" s="138"/>
      <c r="E109" s="3155" t="str">
        <f>IF(项目基本情况!E8="已注销及未注销","4.抵押担保权已注销时的房地产抵押价值",IF(项目基本情况!E8="已注销","3.抵押担保权已注销时的房地产抵押价值","——"))</f>
        <v>——</v>
      </c>
      <c r="F109" s="3156"/>
      <c r="G109" s="2516" t="s">
        <v>2291</v>
      </c>
      <c r="H109" s="348" t="str">
        <f>IF(E109="——","——",H101-H105-H106)</f>
        <v>——</v>
      </c>
      <c r="I109" s="138"/>
    </row>
    <row r="110" spans="1:35" ht="18.75" customHeight="1">
      <c r="A110" s="138"/>
      <c r="B110" s="138"/>
      <c r="C110" s="138"/>
      <c r="D110" s="138"/>
      <c r="E110" s="3155"/>
      <c r="F110" s="3156"/>
      <c r="G110" s="2516" t="s">
        <v>2293</v>
      </c>
      <c r="H110" s="371" t="str">
        <f>IF(H109="——","——",ROUND(H109*10000/'数据-汇总表'!E3,0))</f>
        <v>——</v>
      </c>
      <c r="I110" s="138"/>
    </row>
    <row r="111" spans="1:35" ht="18.75" customHeight="1">
      <c r="A111" s="138"/>
      <c r="B111" s="138"/>
      <c r="C111" s="138"/>
      <c r="D111" s="138"/>
      <c r="E111" s="3190" t="str">
        <f>IF(项目基本情况!E9="抵押净值",IF(OR(项目基本情况!E8="已注销",项目基本情况!E8="房地产抵押价值"),"4.抵押净值","5.抵押净值"),"——")</f>
        <v>——</v>
      </c>
      <c r="F111" s="3191"/>
      <c r="G111" s="2516" t="s">
        <v>2291</v>
      </c>
      <c r="H111" s="1048" t="str">
        <f>IF(E111="——","——",N59)</f>
        <v>——</v>
      </c>
      <c r="I111" s="138"/>
    </row>
    <row r="112" spans="1:35" ht="18.75" customHeight="1" thickBot="1">
      <c r="A112" s="138"/>
      <c r="B112" s="138"/>
      <c r="C112" s="138"/>
      <c r="D112" s="138"/>
      <c r="E112" s="3192"/>
      <c r="F112" s="3193"/>
      <c r="G112" s="2521" t="s">
        <v>2293</v>
      </c>
      <c r="H112" s="790" t="str">
        <f>IF(E111="——","——",N61)</f>
        <v>——</v>
      </c>
      <c r="I112" s="138"/>
    </row>
    <row r="113" spans="1:11" ht="18.75" customHeight="1">
      <c r="A113" s="138"/>
      <c r="B113" s="138"/>
      <c r="C113" s="138"/>
      <c r="D113" s="138"/>
      <c r="E113" s="3160" t="s">
        <v>2299</v>
      </c>
      <c r="F113" s="3160"/>
      <c r="G113" s="3160"/>
      <c r="H113" s="3160"/>
      <c r="I113" s="138"/>
    </row>
    <row r="114" spans="1:11" ht="3.75" customHeight="1">
      <c r="A114" s="2414"/>
      <c r="B114" s="2414"/>
      <c r="C114" s="2414"/>
      <c r="D114" s="2414"/>
      <c r="E114" s="2492"/>
      <c r="F114" s="2492"/>
      <c r="G114" s="2492"/>
      <c r="H114" s="2492"/>
      <c r="I114" s="2414"/>
    </row>
    <row r="115" spans="1:11" ht="18.75" customHeight="1">
      <c r="A115" s="3173" t="s">
        <v>2301</v>
      </c>
      <c r="B115" s="3174"/>
      <c r="C115" s="3174"/>
      <c r="D115" s="3174"/>
      <c r="E115" s="3174"/>
      <c r="F115" s="3174"/>
      <c r="G115" s="3174"/>
      <c r="H115" s="3174"/>
      <c r="I115" s="3175"/>
    </row>
    <row r="116" spans="1:11" ht="27" customHeight="1">
      <c r="A116" s="3066" t="s">
        <v>2302</v>
      </c>
      <c r="B116" s="3161" t="s">
        <v>2303</v>
      </c>
      <c r="C116" s="3161" t="s">
        <v>2304</v>
      </c>
      <c r="D116" s="3177" t="s">
        <v>2305</v>
      </c>
      <c r="E116" s="3178"/>
      <c r="F116" s="3169" t="s">
        <v>2306</v>
      </c>
      <c r="G116" s="3169"/>
      <c r="H116" s="3066" t="s">
        <v>2307</v>
      </c>
      <c r="I116" s="3066"/>
    </row>
    <row r="117" spans="1:11" ht="18.75" customHeight="1">
      <c r="A117" s="3066"/>
      <c r="B117" s="3162"/>
      <c r="C117" s="3162"/>
      <c r="D117" s="2983" t="s">
        <v>2308</v>
      </c>
      <c r="E117" s="2983" t="s">
        <v>2309</v>
      </c>
      <c r="F117" s="2983" t="s">
        <v>2308</v>
      </c>
      <c r="G117" s="2983" t="s">
        <v>2310</v>
      </c>
      <c r="H117" s="2983" t="s">
        <v>2308</v>
      </c>
      <c r="I117" s="2983" t="s">
        <v>2310</v>
      </c>
    </row>
    <row r="118" spans="1:11" ht="24.75" customHeight="1">
      <c r="A118" s="2522" t="str">
        <f>项目基本情况!S2</f>
        <v>河南省开封市龙亭区晋安路以北，三大街以西房地产</v>
      </c>
      <c r="B118" s="2983">
        <f>M18</f>
        <v>5274.8599999999988</v>
      </c>
      <c r="C118" s="2983">
        <f>M19</f>
        <v>1764.17</v>
      </c>
      <c r="D118" s="2983" t="e">
        <f ca="1">ROUND(IF(D32="总价",C34,E118*B118/10000),0)</f>
        <v>#REF!</v>
      </c>
      <c r="E118" s="2983" t="e">
        <f ca="1">ROUND(IF(C33="自定义",IF(D32="楼面单价",C34,D118*10000/B118),I118-G118),0)</f>
        <v>#REF!</v>
      </c>
      <c r="F118" s="2983" t="e">
        <f ca="1">ROUND(IF(D32="总价",C35,G118*B118/10000),0)</f>
        <v>#REF!</v>
      </c>
      <c r="G118" s="2983" t="e">
        <f ca="1">ROUND(IF(D32="楼面单价",C35,F118*10000/B118),0)</f>
        <v>#REF!</v>
      </c>
      <c r="H118" s="2983">
        <f ca="1">ROUND(IF(D32="总价",C32,I118*B118/10000),0)</f>
        <v>123</v>
      </c>
      <c r="I118" s="2983">
        <f ca="1">ROUND(IF(D32="楼面单价",C32,H118*10000/B118),0)</f>
        <v>233</v>
      </c>
    </row>
    <row r="119" spans="1:11" ht="18.75" customHeight="1">
      <c r="A119" s="3066" t="s">
        <v>2311</v>
      </c>
      <c r="B119" s="3066"/>
      <c r="C119" s="3066"/>
      <c r="D119" s="3166" t="e">
        <f ca="1">NUMBERSTRING(INT(D118*10000),2)&amp;"元整"</f>
        <v>#REF!</v>
      </c>
      <c r="E119" s="3168"/>
      <c r="F119" s="3166" t="e">
        <f ca="1">NUMBERSTRING(INT(F118*10000),2)&amp;"元整"</f>
        <v>#REF!</v>
      </c>
      <c r="G119" s="3168"/>
      <c r="H119" s="3166" t="str">
        <f ca="1">NUMBERSTRING(INT(H118*10000),2)&amp;"元整"</f>
        <v>壹佰贰拾叁万元整</v>
      </c>
      <c r="I119" s="3168"/>
    </row>
    <row r="120" spans="1:11" ht="18.75" customHeight="1">
      <c r="A120" s="3194" t="str">
        <f>IF(项目基本情况!B9="房地产市场价值","",MID(E103,3,LEN(E103)-2))</f>
        <v>估价师知悉的法定优先受偿款</v>
      </c>
      <c r="B120" s="3195"/>
      <c r="C120" s="3196"/>
      <c r="D120" s="3194">
        <f>H103</f>
        <v>0</v>
      </c>
      <c r="E120" s="3195"/>
      <c r="F120" s="3195"/>
      <c r="G120" s="3195"/>
      <c r="H120" s="3195"/>
      <c r="I120" s="3196"/>
      <c r="K120" s="2419" t="str">
        <f>IF(D120=0,"故，本次评估不存在"&amp;A120,"故，本次评估"&amp;A120&amp;"为人民币"&amp;D120&amp;"万元整。")</f>
        <v>故，本次评估不存在估价师知悉的法定优先受偿款</v>
      </c>
    </row>
    <row r="121" spans="1:11" ht="18.75" customHeight="1">
      <c r="A121" s="3170" t="s">
        <v>2311</v>
      </c>
      <c r="B121" s="3171"/>
      <c r="C121" s="3172"/>
      <c r="D121" s="3166" t="str">
        <f>IF(D120=0,"零元整",NUMBERSTRING(INT(D120*10000),2)&amp;"元整")</f>
        <v>零元整</v>
      </c>
      <c r="E121" s="3167"/>
      <c r="F121" s="3167"/>
      <c r="G121" s="3167"/>
      <c r="H121" s="3167"/>
      <c r="I121" s="3168"/>
    </row>
    <row r="122" spans="1:11" ht="18.75" customHeight="1">
      <c r="A122" s="3157" t="str">
        <f>IF(项目基本情况!B9="房地产市场价值","",MID(E107,3,LEN(E107)-2))</f>
        <v>房地产抵押价值</v>
      </c>
      <c r="B122" s="3157"/>
      <c r="C122" s="3157"/>
      <c r="D122" s="3194">
        <f ca="1">H107</f>
        <v>123</v>
      </c>
      <c r="E122" s="3195"/>
      <c r="F122" s="3195"/>
      <c r="G122" s="3195"/>
      <c r="H122" s="3195"/>
      <c r="I122" s="3196"/>
    </row>
    <row r="123" spans="1:11" ht="18.75" customHeight="1">
      <c r="A123" s="3066" t="s">
        <v>2311</v>
      </c>
      <c r="B123" s="3066"/>
      <c r="C123" s="3066"/>
      <c r="D123" s="3166" t="str">
        <f ca="1">NUMBERSTRING(INT(D122*10000),2)&amp;"元整"</f>
        <v>壹佰贰拾叁万元整</v>
      </c>
      <c r="E123" s="3167"/>
      <c r="F123" s="3167"/>
      <c r="G123" s="3167"/>
      <c r="H123" s="3167"/>
      <c r="I123" s="3168"/>
    </row>
    <row r="124" spans="1:11" ht="18.75" customHeight="1">
      <c r="A124" s="3157" t="str">
        <f>IF(项目基本情况!B9="房地产市场价值","",MID(E109,3,LEN(E109)-2))</f>
        <v/>
      </c>
      <c r="B124" s="3157"/>
      <c r="C124" s="3157"/>
      <c r="D124" s="3194" t="str">
        <f>H109</f>
        <v>——</v>
      </c>
      <c r="E124" s="3195"/>
      <c r="F124" s="3195"/>
      <c r="G124" s="3195"/>
      <c r="H124" s="3195"/>
      <c r="I124" s="3196"/>
    </row>
    <row r="125" spans="1:11" ht="18.75" customHeight="1">
      <c r="A125" s="3066" t="s">
        <v>2311</v>
      </c>
      <c r="B125" s="3066"/>
      <c r="C125" s="3066"/>
      <c r="D125" s="3166" t="e">
        <f>NUMBERSTRING(INT(D124*10000),2)&amp;"元整"</f>
        <v>#VALUE!</v>
      </c>
      <c r="E125" s="3167"/>
      <c r="F125" s="3167"/>
      <c r="G125" s="3167"/>
      <c r="H125" s="3167"/>
      <c r="I125" s="3168"/>
    </row>
    <row r="126" spans="1:11" ht="18.75" customHeight="1">
      <c r="A126" s="3157" t="str">
        <f>IF(项目基本情况!B9="房地产市场价值","",MID(E111,3,LEN(E111)-2))</f>
        <v/>
      </c>
      <c r="B126" s="3157"/>
      <c r="C126" s="3157"/>
      <c r="D126" s="3194" t="str">
        <f>H111</f>
        <v>——</v>
      </c>
      <c r="E126" s="3195"/>
      <c r="F126" s="3195"/>
      <c r="G126" s="3195"/>
      <c r="H126" s="3195"/>
      <c r="I126" s="3196"/>
    </row>
    <row r="127" spans="1:11" ht="18.75" customHeight="1">
      <c r="A127" s="3066" t="s">
        <v>2311</v>
      </c>
      <c r="B127" s="3066"/>
      <c r="C127" s="3066"/>
      <c r="D127" s="3166" t="e">
        <f>NUMBERSTRING(INT(D126*10000),2)&amp;"元整"</f>
        <v>#VALUE!</v>
      </c>
      <c r="E127" s="3167"/>
      <c r="F127" s="3167"/>
      <c r="G127" s="3167"/>
      <c r="H127" s="3167"/>
      <c r="I127" s="3168"/>
    </row>
    <row r="128" spans="1:11" ht="21.75" customHeight="1">
      <c r="A128" s="3176" t="s">
        <v>2312</v>
      </c>
      <c r="B128" s="3176"/>
      <c r="C128" s="3176"/>
      <c r="D128" s="3176"/>
      <c r="E128" s="3176"/>
      <c r="F128" s="3176"/>
      <c r="G128" s="3176"/>
      <c r="H128" s="3176"/>
      <c r="I128" s="3176"/>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09" priority="10" stopIfTrue="1" operator="equal">
      <formula>25</formula>
    </cfRule>
  </conditionalFormatting>
  <conditionalFormatting sqref="C8:C9">
    <cfRule type="cellIs" dxfId="108" priority="9" stopIfTrue="1" operator="equal">
      <formula>15</formula>
    </cfRule>
  </conditionalFormatting>
  <conditionalFormatting sqref="C14:C16">
    <cfRule type="cellIs" dxfId="107" priority="8" stopIfTrue="1" operator="equal">
      <formula>30</formula>
    </cfRule>
  </conditionalFormatting>
  <conditionalFormatting sqref="D5:D7">
    <cfRule type="cellIs" dxfId="106" priority="7" stopIfTrue="1" operator="equal">
      <formula>25</formula>
    </cfRule>
  </conditionalFormatting>
  <conditionalFormatting sqref="D8:D9">
    <cfRule type="cellIs" dxfId="105" priority="6" stopIfTrue="1" operator="equal">
      <formula>15</formula>
    </cfRule>
  </conditionalFormatting>
  <conditionalFormatting sqref="C10:D13">
    <cfRule type="cellIs" dxfId="104" priority="5" stopIfTrue="1" operator="equal">
      <formula>15</formula>
    </cfRule>
  </conditionalFormatting>
  <conditionalFormatting sqref="D14:D16">
    <cfRule type="cellIs" dxfId="103" priority="4" stopIfTrue="1" operator="equal">
      <formula>30</formula>
    </cfRule>
  </conditionalFormatting>
  <conditionalFormatting sqref="C90">
    <cfRule type="expression" dxfId="102" priority="3" stopIfTrue="1">
      <formula>$H$88&lt;&gt;"仅含出让金"</formula>
    </cfRule>
  </conditionalFormatting>
  <conditionalFormatting sqref="C91">
    <cfRule type="expression" dxfId="101" priority="2" stopIfTrue="1">
      <formula>$H$91="由企业提供"</formula>
    </cfRule>
  </conditionalFormatting>
  <conditionalFormatting sqref="E36">
    <cfRule type="expression" dxfId="10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 sqref="D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0" t="s">
        <v>2633</v>
      </c>
      <c r="C1" s="1637" t="s">
        <v>2521</v>
      </c>
      <c r="D1" s="1624" t="s">
        <v>3445</v>
      </c>
      <c r="E1" s="2653"/>
      <c r="F1" s="2582" t="s">
        <v>3343</v>
      </c>
      <c r="G1" s="1634" t="s">
        <v>2634</v>
      </c>
      <c r="H1" s="1633"/>
      <c r="I1" s="1633"/>
      <c r="J1" s="1633"/>
      <c r="K1" s="1635"/>
      <c r="L1" s="1636"/>
      <c r="M1" s="1637"/>
      <c r="N1" s="1637"/>
      <c r="O1" s="1637"/>
      <c r="P1" s="2654"/>
      <c r="Q1" s="2655"/>
      <c r="R1" s="2655"/>
      <c r="S1" s="2655"/>
      <c r="T1" s="2655"/>
      <c r="U1" s="2655"/>
      <c r="V1" s="2655"/>
      <c r="W1" s="2655"/>
      <c r="X1" s="2655"/>
      <c r="Y1" s="2655"/>
      <c r="Z1" s="2655"/>
      <c r="AA1" s="2655"/>
      <c r="AB1" s="2655"/>
      <c r="AC1" s="2656"/>
    </row>
    <row r="2" spans="1:29" s="398" customFormat="1" ht="28.5" customHeight="1" thickTop="1">
      <c r="A2" s="1620" t="s">
        <v>2321</v>
      </c>
      <c r="B2" s="1421">
        <f>IF(C2="——",ROUND(C49*D3/10000,0),ROUND(C49*D3/10000,0)-D2)</f>
        <v>123</v>
      </c>
      <c r="C2" s="2584" t="s">
        <v>70</v>
      </c>
      <c r="D2" s="1368" t="e">
        <f ca="1">SUMIF(INDIRECT("'"&amp;F2&amp;"'"&amp;"!A:A"),"承租人权益价值",INDIRECT("'"&amp;F2&amp;"'"&amp;"!c:c"))</f>
        <v>#REF!</v>
      </c>
      <c r="E2" s="2585" t="s">
        <v>2322</v>
      </c>
      <c r="F2" s="2586"/>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2323</v>
      </c>
      <c r="B3" s="609">
        <f>IF(C2="——",C49,ROUND(B2*10000/D3,0))</f>
        <v>13627</v>
      </c>
      <c r="C3" s="400" t="s">
        <v>2635</v>
      </c>
      <c r="D3" s="399">
        <f>IF(D1="",'数据-汇总表'!E3,SUMIF('数据-汇总表'!$C19:$C33,D1,'数据-汇总表'!$E19:$E33))</f>
        <v>89.959999999999923</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2636</v>
      </c>
      <c r="B4" s="402"/>
      <c r="C4" s="3215" t="s">
        <v>2637</v>
      </c>
      <c r="D4" s="3228"/>
      <c r="E4" s="3229" t="s">
        <v>2638</v>
      </c>
      <c r="F4" s="3230"/>
      <c r="G4" s="3215" t="s">
        <v>2639</v>
      </c>
      <c r="H4" s="3228"/>
      <c r="I4" s="3215" t="s">
        <v>2640</v>
      </c>
      <c r="J4" s="3228"/>
      <c r="K4" s="610" t="s">
        <v>2641</v>
      </c>
      <c r="L4" s="1133"/>
      <c r="M4" s="1134"/>
      <c r="N4" s="1134"/>
      <c r="O4" s="1134"/>
      <c r="P4" s="3231" t="s">
        <v>2642</v>
      </c>
      <c r="Q4" s="3232"/>
      <c r="R4" s="3237" t="s">
        <v>2638</v>
      </c>
      <c r="S4" s="3238"/>
      <c r="T4" s="3237" t="s">
        <v>2639</v>
      </c>
      <c r="U4" s="3238"/>
      <c r="V4" s="3224" t="s">
        <v>2640</v>
      </c>
      <c r="W4" s="3224"/>
      <c r="X4" s="1816"/>
      <c r="Y4" s="3237" t="s">
        <v>2642</v>
      </c>
      <c r="Z4" s="3238"/>
      <c r="AA4" s="3225" t="s">
        <v>2638</v>
      </c>
      <c r="AB4" s="3224" t="s">
        <v>2639</v>
      </c>
      <c r="AC4" s="3225" t="s">
        <v>2640</v>
      </c>
    </row>
    <row r="5" spans="1:29" ht="15">
      <c r="A5" s="404"/>
      <c r="B5" s="405"/>
      <c r="C5" s="3245" t="s">
        <v>2533</v>
      </c>
      <c r="D5" s="3246"/>
      <c r="E5" s="3290" t="s">
        <v>3065</v>
      </c>
      <c r="F5" s="3254"/>
      <c r="G5" s="3250" t="s">
        <v>3392</v>
      </c>
      <c r="H5" s="3246"/>
      <c r="I5" s="3250" t="s">
        <v>3402</v>
      </c>
      <c r="J5" s="3246"/>
      <c r="K5" s="610"/>
      <c r="L5" s="1133"/>
      <c r="M5" s="1134"/>
      <c r="N5" s="1134"/>
      <c r="O5" s="1134"/>
      <c r="P5" s="3233"/>
      <c r="Q5" s="3234"/>
      <c r="R5" s="3239"/>
      <c r="S5" s="3240"/>
      <c r="T5" s="3239"/>
      <c r="U5" s="3240"/>
      <c r="V5" s="3224"/>
      <c r="W5" s="3224"/>
      <c r="X5" s="1816"/>
      <c r="Y5" s="3239"/>
      <c r="Z5" s="3240"/>
      <c r="AA5" s="3226"/>
      <c r="AB5" s="3224"/>
      <c r="AC5" s="3226"/>
    </row>
    <row r="6" spans="1:29" ht="15.75" thickBot="1">
      <c r="A6" s="406"/>
      <c r="B6" s="407"/>
      <c r="C6" s="3291" t="s">
        <v>2537</v>
      </c>
      <c r="D6" s="3244"/>
      <c r="E6" s="3251" t="s">
        <v>3397</v>
      </c>
      <c r="F6" s="3252"/>
      <c r="G6" s="3243" t="s">
        <v>3400</v>
      </c>
      <c r="H6" s="3244"/>
      <c r="I6" s="3243" t="s">
        <v>3401</v>
      </c>
      <c r="J6" s="3244"/>
      <c r="K6" s="610" t="s">
        <v>2538</v>
      </c>
      <c r="L6" s="1133"/>
      <c r="M6" s="1134"/>
      <c r="N6" s="1134"/>
      <c r="O6" s="1134"/>
      <c r="P6" s="3235"/>
      <c r="Q6" s="3236"/>
      <c r="R6" s="3239"/>
      <c r="S6" s="3240"/>
      <c r="T6" s="3241"/>
      <c r="U6" s="3242"/>
      <c r="V6" s="3224"/>
      <c r="W6" s="3224"/>
      <c r="X6" s="1816"/>
      <c r="Y6" s="3241"/>
      <c r="Z6" s="3242"/>
      <c r="AA6" s="3227"/>
      <c r="AB6" s="3224"/>
      <c r="AC6" s="3227"/>
    </row>
    <row r="7" spans="1:29" s="117" customFormat="1" ht="15.75" thickBot="1">
      <c r="A7" s="408" t="s">
        <v>2539</v>
      </c>
      <c r="B7" s="409"/>
      <c r="C7" s="410">
        <f>'数据-取费表'!B2</f>
        <v>43307</v>
      </c>
      <c r="D7" s="411">
        <v>100</v>
      </c>
      <c r="E7" s="412">
        <v>43282</v>
      </c>
      <c r="F7" s="413">
        <f>SUMIF(58:58,YEAR(E7)&amp;"-"&amp;MONTH(E7),59:59)</f>
        <v>100</v>
      </c>
      <c r="G7" s="412">
        <v>43282</v>
      </c>
      <c r="H7" s="411">
        <f>SUMIF(58:58,YEAR(G7)&amp;"-"&amp;MONTH(G7),59:59)</f>
        <v>100</v>
      </c>
      <c r="I7" s="412">
        <v>43282</v>
      </c>
      <c r="J7" s="411">
        <f>SUMIF(58:58,YEAR(I7)&amp;"-"&amp;MONTH(I7),59:59)</f>
        <v>100</v>
      </c>
      <c r="K7" s="611"/>
      <c r="L7" s="1135"/>
      <c r="M7" s="1136"/>
      <c r="N7" s="1136"/>
      <c r="O7" s="1136"/>
      <c r="P7" s="3247" t="s">
        <v>2540</v>
      </c>
      <c r="Q7" s="3249"/>
      <c r="R7" s="770" t="s">
        <v>17</v>
      </c>
      <c r="S7" s="771">
        <f t="shared" ref="S7:S15" si="0">F7</f>
        <v>100</v>
      </c>
      <c r="T7" s="770" t="s">
        <v>17</v>
      </c>
      <c r="U7" s="771">
        <f t="shared" ref="U7:U15" si="1">H7</f>
        <v>100</v>
      </c>
      <c r="V7" s="770" t="s">
        <v>17</v>
      </c>
      <c r="W7" s="771">
        <f t="shared" ref="W7:W15" si="2">J7</f>
        <v>100</v>
      </c>
      <c r="X7" s="772"/>
      <c r="Y7" s="3247" t="s">
        <v>2540</v>
      </c>
      <c r="Z7" s="3248"/>
      <c r="AA7" s="773">
        <f>D7/F7</f>
        <v>1</v>
      </c>
      <c r="AB7" s="773">
        <f>D7/H7</f>
        <v>1</v>
      </c>
      <c r="AC7" s="773">
        <f>D7/J7</f>
        <v>1</v>
      </c>
    </row>
    <row r="8" spans="1:29" s="117" customFormat="1" ht="15.75" thickBot="1">
      <c r="A8" s="408" t="s">
        <v>2541</v>
      </c>
      <c r="B8" s="409"/>
      <c r="C8" s="414" t="s">
        <v>2643</v>
      </c>
      <c r="D8" s="411">
        <v>100</v>
      </c>
      <c r="E8" s="414" t="s">
        <v>2643</v>
      </c>
      <c r="F8" s="413">
        <f>SUMIF(61:61,E8,62:62)-SUMIF(61:61,C8,62:62)+100</f>
        <v>100</v>
      </c>
      <c r="G8" s="414" t="s">
        <v>2643</v>
      </c>
      <c r="H8" s="411">
        <f>SUMIF(61:61,G8,62:62)-SUMIF(61:61,C8,62:62)+100</f>
        <v>100</v>
      </c>
      <c r="I8" s="414" t="s">
        <v>2643</v>
      </c>
      <c r="J8" s="411">
        <f>SUMIF(61:61,I8,62:62)-SUMIF(61:61,C8,62:62)+100</f>
        <v>100</v>
      </c>
      <c r="K8" s="611"/>
      <c r="L8" s="1135"/>
      <c r="M8" s="1136"/>
      <c r="N8" s="1136"/>
      <c r="O8" s="1136"/>
      <c r="P8" s="3247" t="s">
        <v>2543</v>
      </c>
      <c r="Q8" s="3248"/>
      <c r="R8" s="770" t="s">
        <v>17</v>
      </c>
      <c r="S8" s="771">
        <f t="shared" si="0"/>
        <v>100</v>
      </c>
      <c r="T8" s="770" t="s">
        <v>17</v>
      </c>
      <c r="U8" s="771">
        <f t="shared" si="1"/>
        <v>100</v>
      </c>
      <c r="V8" s="770" t="s">
        <v>17</v>
      </c>
      <c r="W8" s="771">
        <f t="shared" si="2"/>
        <v>100</v>
      </c>
      <c r="X8" s="772"/>
      <c r="Y8" s="3247" t="s">
        <v>2543</v>
      </c>
      <c r="Z8" s="3248"/>
      <c r="AA8" s="773">
        <f t="shared" ref="AA8:AA46" si="3">D8/F8</f>
        <v>1</v>
      </c>
      <c r="AB8" s="773">
        <f t="shared" ref="AB8:AB46" si="4">D8/H8</f>
        <v>1</v>
      </c>
      <c r="AC8" s="773">
        <f t="shared" ref="AC8:AC46" si="5">D8/J8</f>
        <v>1</v>
      </c>
    </row>
    <row r="9" spans="1:29" s="117" customFormat="1">
      <c r="A9" s="415" t="s">
        <v>2544</v>
      </c>
      <c r="B9" s="71" t="s">
        <v>2545</v>
      </c>
      <c r="C9" s="2942" t="s">
        <v>3393</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17" t="s">
        <v>2546</v>
      </c>
      <c r="Q9" s="1798" t="str">
        <f t="shared" ref="Q9:Q15" si="6">B9</f>
        <v>用途</v>
      </c>
      <c r="R9" s="770" t="s">
        <v>17</v>
      </c>
      <c r="S9" s="771">
        <f t="shared" si="0"/>
        <v>100</v>
      </c>
      <c r="T9" s="770" t="s">
        <v>17</v>
      </c>
      <c r="U9" s="771">
        <f t="shared" si="1"/>
        <v>100</v>
      </c>
      <c r="V9" s="770" t="s">
        <v>17</v>
      </c>
      <c r="W9" s="771">
        <f t="shared" si="2"/>
        <v>100</v>
      </c>
      <c r="X9" s="772"/>
      <c r="Y9" s="3066" t="s">
        <v>2547</v>
      </c>
      <c r="Z9" s="55" t="str">
        <f t="shared" ref="Z9:Z15" si="7">Q9</f>
        <v>用途</v>
      </c>
      <c r="AA9" s="773">
        <f t="shared" si="3"/>
        <v>1</v>
      </c>
      <c r="AB9" s="773">
        <f t="shared" si="4"/>
        <v>1</v>
      </c>
      <c r="AC9" s="773">
        <f t="shared" si="5"/>
        <v>1</v>
      </c>
    </row>
    <row r="10" spans="1:29" s="427" customFormat="1" ht="27">
      <c r="A10" s="421"/>
      <c r="B10" s="422" t="s">
        <v>2548</v>
      </c>
      <c r="C10" s="423" t="s">
        <v>3394</v>
      </c>
      <c r="D10" s="136">
        <v>100</v>
      </c>
      <c r="E10" s="423" t="s">
        <v>3394</v>
      </c>
      <c r="F10" s="425">
        <f>SUMIF(65:65,E10,66:66)-SUMIF(65:65,C10,66:66)+100</f>
        <v>100</v>
      </c>
      <c r="G10" s="423" t="s">
        <v>3394</v>
      </c>
      <c r="H10" s="136">
        <f>SUMIF(65:65,G10,66:66)-SUMIF(65:65,C10,66:66)+100</f>
        <v>100</v>
      </c>
      <c r="I10" s="423" t="s">
        <v>3394</v>
      </c>
      <c r="J10" s="136">
        <f>SUMIF(65:65,I10,66:66)-SUMIF(65:65,C10,66:66)+100</f>
        <v>100</v>
      </c>
      <c r="K10" s="612"/>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75" thickBot="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17"/>
      <c r="Q11" s="1798" t="str">
        <f t="shared" si="6"/>
        <v>容积率</v>
      </c>
      <c r="R11" s="770" t="s">
        <v>17</v>
      </c>
      <c r="S11" s="771">
        <f t="shared" si="0"/>
        <v>100</v>
      </c>
      <c r="T11" s="770" t="s">
        <v>17</v>
      </c>
      <c r="U11" s="771">
        <f t="shared" si="1"/>
        <v>100</v>
      </c>
      <c r="V11" s="770" t="s">
        <v>17</v>
      </c>
      <c r="W11" s="771">
        <f t="shared" si="2"/>
        <v>100</v>
      </c>
      <c r="X11" s="772"/>
      <c r="Y11" s="3066"/>
      <c r="Z11" s="55" t="str">
        <f t="shared" si="7"/>
        <v>容积率</v>
      </c>
      <c r="AA11" s="773">
        <f t="shared" si="3"/>
        <v>1</v>
      </c>
      <c r="AB11" s="773">
        <f t="shared" si="4"/>
        <v>1</v>
      </c>
      <c r="AC11" s="773">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7"/>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7"/>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7"/>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85.5">
      <c r="A15" s="440" t="s">
        <v>2550</v>
      </c>
      <c r="B15" s="69" t="s">
        <v>2644</v>
      </c>
      <c r="C15" s="2600" t="str">
        <f>估价对象房地状况!C4</f>
        <v>估价对象位于开封市龙亭区，周边商业氛围一般，人流量较大，商业繁华度一般。</v>
      </c>
      <c r="D15" s="441">
        <v>100</v>
      </c>
      <c r="E15" s="2960" t="s">
        <v>3399</v>
      </c>
      <c r="F15" s="443">
        <f>SUMIF(76:76,E16,77:77)-SUMIF(76:76,C16,77:77)+100</f>
        <v>100</v>
      </c>
      <c r="G15" s="2960" t="s">
        <v>3399</v>
      </c>
      <c r="H15" s="441">
        <f>SUMIF(76:76,G16,77:77)-SUMIF(76:76,C16,77:77)+100</f>
        <v>100</v>
      </c>
      <c r="I15" s="2960" t="s">
        <v>3421</v>
      </c>
      <c r="J15" s="441">
        <f>SUMIF(76:76,I16,77:77)-SUMIF(76:76,C16,77:77)+100</f>
        <v>97</v>
      </c>
      <c r="K15" s="614">
        <v>3</v>
      </c>
      <c r="L15" s="1143"/>
      <c r="M15" s="1134"/>
      <c r="N15" s="1134"/>
      <c r="O15" s="1134"/>
      <c r="P15" s="3288" t="s">
        <v>2551</v>
      </c>
      <c r="Q15" s="1813" t="str">
        <f t="shared" si="6"/>
        <v>商业繁华度</v>
      </c>
      <c r="R15" s="774" t="s">
        <v>17</v>
      </c>
      <c r="S15" s="775">
        <f t="shared" si="0"/>
        <v>100</v>
      </c>
      <c r="T15" s="774" t="s">
        <v>17</v>
      </c>
      <c r="U15" s="775">
        <f t="shared" si="1"/>
        <v>100</v>
      </c>
      <c r="V15" s="774" t="s">
        <v>17</v>
      </c>
      <c r="W15" s="775">
        <f t="shared" si="2"/>
        <v>97</v>
      </c>
      <c r="X15" s="1816"/>
      <c r="Y15" s="3220" t="s">
        <v>2551</v>
      </c>
      <c r="Z15" s="1817" t="str">
        <f t="shared" si="7"/>
        <v>商业繁华度</v>
      </c>
      <c r="AA15" s="1814">
        <f t="shared" si="3"/>
        <v>1</v>
      </c>
      <c r="AB15" s="1814">
        <f t="shared" si="4"/>
        <v>1</v>
      </c>
      <c r="AC15" s="1814">
        <f t="shared" si="5"/>
        <v>1.0309278350515463</v>
      </c>
    </row>
    <row r="16" spans="1:29" ht="15">
      <c r="A16" s="428"/>
      <c r="B16" s="446"/>
      <c r="C16" s="447" t="s">
        <v>3084</v>
      </c>
      <c r="D16" s="448"/>
      <c r="E16" s="447" t="s">
        <v>3084</v>
      </c>
      <c r="F16" s="449"/>
      <c r="G16" s="447" t="s">
        <v>3084</v>
      </c>
      <c r="H16" s="450"/>
      <c r="I16" s="447" t="s">
        <v>3104</v>
      </c>
      <c r="J16" s="448"/>
      <c r="K16" s="615"/>
      <c r="L16" s="1143"/>
      <c r="M16" s="1134"/>
      <c r="N16" s="1134"/>
      <c r="O16" s="1134"/>
      <c r="P16" s="3289"/>
      <c r="Q16" s="1813"/>
      <c r="R16" s="774"/>
      <c r="S16" s="775"/>
      <c r="T16" s="774"/>
      <c r="U16" s="775"/>
      <c r="V16" s="774"/>
      <c r="W16" s="775"/>
      <c r="X16" s="1816"/>
      <c r="Y16" s="3221"/>
      <c r="Z16" s="1817"/>
      <c r="AA16" s="1814">
        <v>1</v>
      </c>
      <c r="AB16" s="1814">
        <v>1</v>
      </c>
      <c r="AC16" s="1814">
        <v>1</v>
      </c>
    </row>
    <row r="17" spans="1:29" ht="114">
      <c r="A17" s="428"/>
      <c r="B17" s="451" t="s">
        <v>2090</v>
      </c>
      <c r="C17" s="2604" t="str">
        <f>估价对象房地状况!C6</f>
        <v>估价对象周边路网较密集，公共交通通达情况较好、停车便捷程度较好，有27路、44路等公交车，综合评价交通便捷度较好。</v>
      </c>
      <c r="D17" s="450">
        <v>100</v>
      </c>
      <c r="E17" s="454" t="s">
        <v>3101</v>
      </c>
      <c r="F17" s="453">
        <f>SUMIF(78:78,E18,79:79)-SUMIF(78:78,C18,79:79)+100</f>
        <v>100</v>
      </c>
      <c r="G17" s="454" t="s">
        <v>3403</v>
      </c>
      <c r="H17" s="455">
        <f>SUMIF(78:78,G18,79:79)-SUMIF(78:78,C18,79:79)+100</f>
        <v>100</v>
      </c>
      <c r="I17" s="454" t="s">
        <v>3096</v>
      </c>
      <c r="J17" s="455">
        <f>SUMIF(78:78,I18,79:79)-SUMIF(78:78,C18,79:79)+100</f>
        <v>100</v>
      </c>
      <c r="K17" s="614"/>
      <c r="L17" s="1143"/>
      <c r="M17" s="1134"/>
      <c r="N17" s="1134"/>
      <c r="O17" s="1134"/>
      <c r="P17" s="3289"/>
      <c r="Q17" s="1813" t="str">
        <f>B17</f>
        <v>交通便捷度</v>
      </c>
      <c r="R17" s="774" t="s">
        <v>17</v>
      </c>
      <c r="S17" s="775">
        <f>F17</f>
        <v>100</v>
      </c>
      <c r="T17" s="774" t="s">
        <v>17</v>
      </c>
      <c r="U17" s="775">
        <f>H17</f>
        <v>100</v>
      </c>
      <c r="V17" s="774" t="s">
        <v>17</v>
      </c>
      <c r="W17" s="775">
        <f>J17</f>
        <v>100</v>
      </c>
      <c r="X17" s="1816"/>
      <c r="Y17" s="3221"/>
      <c r="Z17" s="1817" t="str">
        <f>Q17</f>
        <v>交通便捷度</v>
      </c>
      <c r="AA17" s="1814">
        <f t="shared" si="3"/>
        <v>1</v>
      </c>
      <c r="AB17" s="1814">
        <f t="shared" si="4"/>
        <v>1</v>
      </c>
      <c r="AC17" s="1814">
        <f t="shared" si="5"/>
        <v>1</v>
      </c>
    </row>
    <row r="18" spans="1:29" ht="15">
      <c r="A18" s="428"/>
      <c r="B18" s="456"/>
      <c r="C18" s="2605" t="s">
        <v>3083</v>
      </c>
      <c r="D18" s="450"/>
      <c r="E18" s="2607" t="s">
        <v>3083</v>
      </c>
      <c r="F18" s="453"/>
      <c r="G18" s="2606" t="s">
        <v>3083</v>
      </c>
      <c r="H18" s="448"/>
      <c r="I18" s="2606" t="s">
        <v>3083</v>
      </c>
      <c r="J18" s="448"/>
      <c r="K18" s="615"/>
      <c r="L18" s="1143"/>
      <c r="M18" s="1134"/>
      <c r="N18" s="1134"/>
      <c r="O18" s="1134"/>
      <c r="P18" s="3289"/>
      <c r="Q18" s="1813"/>
      <c r="R18" s="774"/>
      <c r="S18" s="775"/>
      <c r="T18" s="774"/>
      <c r="U18" s="775"/>
      <c r="V18" s="774"/>
      <c r="W18" s="775"/>
      <c r="X18" s="1816"/>
      <c r="Y18" s="3221"/>
      <c r="Z18" s="1817"/>
      <c r="AA18" s="1814">
        <v>1</v>
      </c>
      <c r="AB18" s="1814">
        <v>1</v>
      </c>
      <c r="AC18" s="1814">
        <v>1</v>
      </c>
    </row>
    <row r="19" spans="1:29" ht="185.25">
      <c r="A19" s="428"/>
      <c r="B19" s="451" t="s">
        <v>2645</v>
      </c>
      <c r="C19" s="2604" t="str">
        <f>估价对象房地状况!C7</f>
        <v>估价对象所在区域2公里范围内有：银行（中国银行、河南汴京农村商业银行），购物（大宏万达广场、和润超市），学校（二师附小、金明实验中学）等，无医院，公共配套设施齐备情况一般。</v>
      </c>
      <c r="D19" s="455">
        <v>100</v>
      </c>
      <c r="E19" s="459" t="s">
        <v>3085</v>
      </c>
      <c r="F19" s="458">
        <f>SUMIF(80:80,E20,81:81)-SUMIF(80:80,C20,81:81)+100</f>
        <v>100</v>
      </c>
      <c r="G19" s="459" t="s">
        <v>3404</v>
      </c>
      <c r="H19" s="450">
        <f>SUMIF(80:80,G20,81:81)-SUMIF(80:80,C20,81:81)+100</f>
        <v>100</v>
      </c>
      <c r="I19" s="459" t="s">
        <v>3097</v>
      </c>
      <c r="J19" s="450">
        <f>SUMIF(80:80,I20,81:81)-SUMIF(80:80,C20,81:81)+100</f>
        <v>100</v>
      </c>
      <c r="K19" s="614"/>
      <c r="L19" s="1143"/>
      <c r="M19" s="1134"/>
      <c r="N19" s="1134"/>
      <c r="O19" s="1134"/>
      <c r="P19" s="3289"/>
      <c r="Q19" s="1813" t="str">
        <f>B19</f>
        <v>公共配套设施</v>
      </c>
      <c r="R19" s="774" t="s">
        <v>17</v>
      </c>
      <c r="S19" s="775">
        <f>F19</f>
        <v>100</v>
      </c>
      <c r="T19" s="774" t="s">
        <v>17</v>
      </c>
      <c r="U19" s="775">
        <f>H19</f>
        <v>100</v>
      </c>
      <c r="V19" s="774" t="s">
        <v>17</v>
      </c>
      <c r="W19" s="775">
        <f>J19</f>
        <v>100</v>
      </c>
      <c r="X19" s="1816"/>
      <c r="Y19" s="3221"/>
      <c r="Z19" s="1817" t="str">
        <f>Q19</f>
        <v>公共配套设施</v>
      </c>
      <c r="AA19" s="1814">
        <f t="shared" si="3"/>
        <v>1</v>
      </c>
      <c r="AB19" s="1814">
        <f t="shared" si="4"/>
        <v>1</v>
      </c>
      <c r="AC19" s="1814">
        <f t="shared" si="5"/>
        <v>1</v>
      </c>
    </row>
    <row r="20" spans="1:29" ht="15">
      <c r="A20" s="428"/>
      <c r="B20" s="456"/>
      <c r="C20" s="447" t="s">
        <v>3084</v>
      </c>
      <c r="D20" s="448"/>
      <c r="E20" s="2602" t="s">
        <v>3084</v>
      </c>
      <c r="F20" s="449"/>
      <c r="G20" s="2601" t="s">
        <v>3084</v>
      </c>
      <c r="H20" s="448"/>
      <c r="I20" s="2602" t="s">
        <v>3084</v>
      </c>
      <c r="J20" s="448"/>
      <c r="K20" s="615"/>
      <c r="L20" s="1143"/>
      <c r="M20" s="1134"/>
      <c r="N20" s="1134"/>
      <c r="O20" s="1134"/>
      <c r="P20" s="3289"/>
      <c r="Q20" s="1813"/>
      <c r="R20" s="774"/>
      <c r="S20" s="775"/>
      <c r="T20" s="774"/>
      <c r="U20" s="775"/>
      <c r="V20" s="774"/>
      <c r="W20" s="775"/>
      <c r="X20" s="1816"/>
      <c r="Y20" s="3221"/>
      <c r="Z20" s="1817"/>
      <c r="AA20" s="1814">
        <v>1</v>
      </c>
      <c r="AB20" s="1814">
        <v>1</v>
      </c>
      <c r="AC20" s="1814">
        <v>1</v>
      </c>
    </row>
    <row r="21" spans="1:29" ht="42.75">
      <c r="A21" s="428"/>
      <c r="B21" s="1387" t="s">
        <v>2646</v>
      </c>
      <c r="C21" s="2604" t="str">
        <f>估价对象房地状况!C8</f>
        <v>估价对象所在区域基础设施水平达到“七通”。</v>
      </c>
      <c r="D21" s="455">
        <v>100</v>
      </c>
      <c r="E21" s="457" t="s">
        <v>3251</v>
      </c>
      <c r="F21" s="458">
        <f>SUMIF(82:82,E22,83:83)-SUMIF(82:82,C22,83:83)+100</f>
        <v>100</v>
      </c>
      <c r="G21" s="459" t="s">
        <v>3251</v>
      </c>
      <c r="H21" s="450">
        <f>SUMIF(82:82,G22,83:83)-SUMIF(82:82,C22,83:83)+100</f>
        <v>100</v>
      </c>
      <c r="I21" s="457" t="s">
        <v>3251</v>
      </c>
      <c r="J21" s="450">
        <f>SUMIF(82:82,I22,83:83)-SUMIF(82:82,C22,83:83)+100</f>
        <v>100</v>
      </c>
      <c r="K21" s="614"/>
      <c r="L21" s="1143"/>
      <c r="M21" s="1134"/>
      <c r="N21" s="1134"/>
      <c r="O21" s="1134"/>
      <c r="P21" s="3289"/>
      <c r="Q21" s="1813" t="str">
        <f>B21</f>
        <v>基础设施水平</v>
      </c>
      <c r="R21" s="774" t="s">
        <v>17</v>
      </c>
      <c r="S21" s="775">
        <f>F21</f>
        <v>100</v>
      </c>
      <c r="T21" s="774" t="s">
        <v>17</v>
      </c>
      <c r="U21" s="775">
        <f>H21</f>
        <v>100</v>
      </c>
      <c r="V21" s="774" t="s">
        <v>17</v>
      </c>
      <c r="W21" s="775">
        <f>J21</f>
        <v>100</v>
      </c>
      <c r="X21" s="1816"/>
      <c r="Y21" s="3221"/>
      <c r="Z21" s="1817" t="str">
        <f>Q21</f>
        <v>基础设施水平</v>
      </c>
      <c r="AA21" s="1814">
        <f t="shared" ref="AA21" si="8">D21/F21</f>
        <v>1</v>
      </c>
      <c r="AB21" s="1814">
        <f t="shared" ref="AB21" si="9">D21/H21</f>
        <v>1</v>
      </c>
      <c r="AC21" s="1814">
        <f t="shared" ref="AC21" si="10">D21/J21</f>
        <v>1</v>
      </c>
    </row>
    <row r="22" spans="1:29" ht="15">
      <c r="A22" s="428"/>
      <c r="B22" s="1387"/>
      <c r="C22" s="2605" t="s">
        <v>3079</v>
      </c>
      <c r="D22" s="448"/>
      <c r="E22" s="2605" t="s">
        <v>3079</v>
      </c>
      <c r="F22" s="449"/>
      <c r="G22" s="2605" t="s">
        <v>3079</v>
      </c>
      <c r="H22" s="448"/>
      <c r="I22" s="2605" t="s">
        <v>3079</v>
      </c>
      <c r="J22" s="448"/>
      <c r="K22" s="1386"/>
      <c r="L22" s="1143"/>
      <c r="M22" s="1134"/>
      <c r="N22" s="1134"/>
      <c r="O22" s="1134"/>
      <c r="P22" s="3289"/>
      <c r="Q22" s="1813"/>
      <c r="R22" s="774"/>
      <c r="S22" s="775"/>
      <c r="T22" s="774"/>
      <c r="U22" s="775"/>
      <c r="V22" s="774"/>
      <c r="W22" s="775"/>
      <c r="X22" s="1816"/>
      <c r="Y22" s="3221"/>
      <c r="Z22" s="1817"/>
      <c r="AA22" s="1814">
        <v>1</v>
      </c>
      <c r="AB22" s="1814">
        <v>1</v>
      </c>
      <c r="AC22" s="1814">
        <v>1</v>
      </c>
    </row>
    <row r="23" spans="1:29" ht="128.25">
      <c r="A23" s="428"/>
      <c r="B23" s="451" t="s">
        <v>2095</v>
      </c>
      <c r="C23" s="2660" t="str">
        <f>估价对象房地状况!C9</f>
        <v>区域自然环境：有大型绿化景观，有中意湖等自然景观；人文环境：开封市博物馆、开封市规划展示馆；综合评价环境状况较好。</v>
      </c>
      <c r="D23" s="450">
        <v>100</v>
      </c>
      <c r="E23" s="2950" t="s">
        <v>3098</v>
      </c>
      <c r="F23" s="453">
        <f>SUMIF(84:84,E24,85:85)-SUMIF(84:84,C24,85:85)+100</f>
        <v>100</v>
      </c>
      <c r="G23" s="2950" t="s">
        <v>3098</v>
      </c>
      <c r="H23" s="450">
        <f>SUMIF(84:84,G24,85:85)-SUMIF(84:84,C24,85:85)+100</f>
        <v>100</v>
      </c>
      <c r="I23" s="2950" t="s">
        <v>3099</v>
      </c>
      <c r="J23" s="450">
        <f>SUMIF(84:84,I24,85:85)-SUMIF(84:84,C24,85:85)+100</f>
        <v>98</v>
      </c>
      <c r="K23" s="614">
        <v>2</v>
      </c>
      <c r="L23" s="1143"/>
      <c r="M23" s="1134"/>
      <c r="N23" s="1134"/>
      <c r="O23" s="1134"/>
      <c r="P23" s="3289"/>
      <c r="Q23" s="1813" t="str">
        <f>B23</f>
        <v>自然及人文环境</v>
      </c>
      <c r="R23" s="774" t="s">
        <v>17</v>
      </c>
      <c r="S23" s="775">
        <f>F23</f>
        <v>100</v>
      </c>
      <c r="T23" s="774" t="s">
        <v>17</v>
      </c>
      <c r="U23" s="775">
        <f>H23</f>
        <v>100</v>
      </c>
      <c r="V23" s="774" t="s">
        <v>17</v>
      </c>
      <c r="W23" s="775">
        <f>J23</f>
        <v>98</v>
      </c>
      <c r="X23" s="1816"/>
      <c r="Y23" s="3221"/>
      <c r="Z23" s="1817" t="str">
        <f>Q23</f>
        <v>自然及人文环境</v>
      </c>
      <c r="AA23" s="1814">
        <f t="shared" si="3"/>
        <v>1</v>
      </c>
      <c r="AB23" s="1814">
        <f t="shared" si="4"/>
        <v>1</v>
      </c>
      <c r="AC23" s="1814">
        <f t="shared" si="5"/>
        <v>1.0204081632653061</v>
      </c>
    </row>
    <row r="24" spans="1:29" ht="15">
      <c r="A24" s="428"/>
      <c r="B24" s="456"/>
      <c r="C24" s="447" t="s">
        <v>3083</v>
      </c>
      <c r="D24" s="448"/>
      <c r="E24" s="447" t="s">
        <v>3083</v>
      </c>
      <c r="F24" s="449"/>
      <c r="G24" s="447" t="s">
        <v>3083</v>
      </c>
      <c r="H24" s="448"/>
      <c r="I24" s="447" t="s">
        <v>3084</v>
      </c>
      <c r="J24" s="448"/>
      <c r="K24" s="615"/>
      <c r="L24" s="1143"/>
      <c r="M24" s="1134"/>
      <c r="N24" s="1134"/>
      <c r="O24" s="1134"/>
      <c r="P24" s="3289"/>
      <c r="Q24" s="1813"/>
      <c r="R24" s="774"/>
      <c r="S24" s="775"/>
      <c r="T24" s="774"/>
      <c r="U24" s="775"/>
      <c r="V24" s="774"/>
      <c r="W24" s="775"/>
      <c r="X24" s="1816"/>
      <c r="Y24" s="3221"/>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9"/>
      <c r="Q25" s="1813" t="str">
        <f t="shared" ref="Q25:Q46" si="11">B25</f>
        <v>临街状况</v>
      </c>
      <c r="R25" s="774" t="s">
        <v>17</v>
      </c>
      <c r="S25" s="775">
        <f>F25</f>
        <v>100</v>
      </c>
      <c r="T25" s="774" t="s">
        <v>17</v>
      </c>
      <c r="U25" s="775">
        <f>H25</f>
        <v>100</v>
      </c>
      <c r="V25" s="774" t="s">
        <v>17</v>
      </c>
      <c r="W25" s="775">
        <f>J25</f>
        <v>100</v>
      </c>
      <c r="X25" s="1816"/>
      <c r="Y25" s="3221"/>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9"/>
      <c r="Q26" s="1813" t="str">
        <f t="shared" si="11"/>
        <v>平面位置/可视性</v>
      </c>
      <c r="R26" s="774" t="s">
        <v>17</v>
      </c>
      <c r="S26" s="775">
        <f>F26</f>
        <v>100</v>
      </c>
      <c r="T26" s="774" t="s">
        <v>17</v>
      </c>
      <c r="U26" s="775">
        <f>H26</f>
        <v>100</v>
      </c>
      <c r="V26" s="774" t="s">
        <v>17</v>
      </c>
      <c r="W26" s="775">
        <f>J26</f>
        <v>100</v>
      </c>
      <c r="X26" s="1816"/>
      <c r="Y26" s="3221"/>
      <c r="Z26" s="1817" t="str">
        <f>Q26</f>
        <v>平面位置/可视性</v>
      </c>
      <c r="AA26" s="1814">
        <f t="shared" si="3"/>
        <v>1</v>
      </c>
      <c r="AB26" s="1814">
        <f t="shared" si="4"/>
        <v>1</v>
      </c>
      <c r="AC26" s="1814">
        <f t="shared" si="5"/>
        <v>1</v>
      </c>
    </row>
    <row r="27" spans="1:29" s="117" customFormat="1" ht="15">
      <c r="A27" s="431"/>
      <c r="B27" s="451" t="s">
        <v>2649</v>
      </c>
      <c r="C27" s="2661" t="s">
        <v>3416</v>
      </c>
      <c r="D27" s="462">
        <v>100</v>
      </c>
      <c r="E27" s="2661" t="s">
        <v>3416</v>
      </c>
      <c r="F27" s="464">
        <f>SUMIF(90:90,E27,91:91)-SUMIF(90:90,C27,91:91)+100</f>
        <v>100</v>
      </c>
      <c r="G27" s="2661" t="s">
        <v>3416</v>
      </c>
      <c r="H27" s="462">
        <f>SUMIF(90:90,G27,91:91)-SUMIF(90:90,C27,91:91)+100</f>
        <v>100</v>
      </c>
      <c r="I27" s="2661" t="s">
        <v>3084</v>
      </c>
      <c r="J27" s="462">
        <f>SUMIF(90:90,I27,91:91)-SUMIF(90:90,C27,91:91)+100</f>
        <v>98</v>
      </c>
      <c r="K27" s="612">
        <v>2</v>
      </c>
      <c r="L27" s="1135"/>
      <c r="M27" s="1136"/>
      <c r="N27" s="1136"/>
      <c r="O27" s="1136"/>
      <c r="P27" s="3289"/>
      <c r="Q27" s="1798" t="str">
        <f t="shared" si="11"/>
        <v>人流量</v>
      </c>
      <c r="R27" s="770" t="s">
        <v>17</v>
      </c>
      <c r="S27" s="771">
        <f>F27</f>
        <v>100</v>
      </c>
      <c r="T27" s="770" t="s">
        <v>17</v>
      </c>
      <c r="U27" s="771">
        <f>H27</f>
        <v>100</v>
      </c>
      <c r="V27" s="770" t="s">
        <v>17</v>
      </c>
      <c r="W27" s="771">
        <f>J27</f>
        <v>98</v>
      </c>
      <c r="X27" s="772"/>
      <c r="Y27" s="3221"/>
      <c r="Z27" s="55" t="str">
        <f>Q27</f>
        <v>人流量</v>
      </c>
      <c r="AA27" s="1814">
        <f>D27/F27</f>
        <v>1</v>
      </c>
      <c r="AB27" s="1814">
        <f>D27/H27</f>
        <v>1</v>
      </c>
      <c r="AC27" s="1814">
        <f>D27/J27</f>
        <v>1.0204081632653061</v>
      </c>
    </row>
    <row r="28" spans="1:29" ht="15.75" thickBot="1">
      <c r="A28" s="428"/>
      <c r="B28" s="422" t="s">
        <v>2650</v>
      </c>
      <c r="C28" s="616" t="s">
        <v>3414</v>
      </c>
      <c r="D28" s="435">
        <v>100</v>
      </c>
      <c r="E28" s="616" t="s">
        <v>3414</v>
      </c>
      <c r="F28" s="461">
        <f>SUMIF(92:92,E28,93:93)-SUMIF(92:92,C28,93:93)+100</f>
        <v>100</v>
      </c>
      <c r="G28" s="616" t="s">
        <v>3414</v>
      </c>
      <c r="H28" s="435">
        <f>SUMIF(92:92,G28,93:93)-SUMIF(92:92,C28,93:93)+100</f>
        <v>100</v>
      </c>
      <c r="I28" s="616" t="s">
        <v>3414</v>
      </c>
      <c r="J28" s="435">
        <f>SUMIF(92:92,I28,93:93)-SUMIF(92:92,C28,93:93)+100</f>
        <v>100</v>
      </c>
      <c r="K28" s="613"/>
      <c r="L28" s="1143"/>
      <c r="M28" s="1134"/>
      <c r="N28" s="1134"/>
      <c r="O28" s="1134"/>
      <c r="P28" s="328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1"/>
      <c r="Z28" s="1817" t="str">
        <f t="shared" ref="Z28:Z46" si="15">Q28</f>
        <v>楼层</v>
      </c>
      <c r="AA28" s="1814">
        <f t="shared" si="3"/>
        <v>1</v>
      </c>
      <c r="AB28" s="1814">
        <f t="shared" si="4"/>
        <v>1</v>
      </c>
      <c r="AC28" s="1814">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9"/>
      <c r="Q29" s="1813">
        <f t="shared" si="11"/>
        <v>111</v>
      </c>
      <c r="R29" s="774" t="s">
        <v>17</v>
      </c>
      <c r="S29" s="775">
        <f t="shared" si="12"/>
        <v>100</v>
      </c>
      <c r="T29" s="774" t="s">
        <v>17</v>
      </c>
      <c r="U29" s="775">
        <f t="shared" si="13"/>
        <v>100</v>
      </c>
      <c r="V29" s="774" t="s">
        <v>17</v>
      </c>
      <c r="W29" s="775">
        <f t="shared" si="14"/>
        <v>100</v>
      </c>
      <c r="X29" s="1816"/>
      <c r="Y29" s="3221"/>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9"/>
      <c r="Q30" s="1813">
        <f t="shared" si="11"/>
        <v>111</v>
      </c>
      <c r="R30" s="774" t="s">
        <v>17</v>
      </c>
      <c r="S30" s="775">
        <f t="shared" si="12"/>
        <v>100</v>
      </c>
      <c r="T30" s="774" t="s">
        <v>17</v>
      </c>
      <c r="U30" s="775">
        <f t="shared" si="13"/>
        <v>100</v>
      </c>
      <c r="V30" s="774" t="s">
        <v>17</v>
      </c>
      <c r="W30" s="775">
        <f t="shared" si="14"/>
        <v>100</v>
      </c>
      <c r="X30" s="1816"/>
      <c r="Y30" s="3221"/>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9"/>
      <c r="Q31" s="1813">
        <f t="shared" si="11"/>
        <v>111</v>
      </c>
      <c r="R31" s="774" t="s">
        <v>17</v>
      </c>
      <c r="S31" s="775">
        <f t="shared" si="12"/>
        <v>100</v>
      </c>
      <c r="T31" s="774" t="s">
        <v>17</v>
      </c>
      <c r="U31" s="775">
        <f t="shared" si="13"/>
        <v>100</v>
      </c>
      <c r="V31" s="774" t="s">
        <v>17</v>
      </c>
      <c r="W31" s="775">
        <f t="shared" si="14"/>
        <v>100</v>
      </c>
      <c r="X31" s="1816"/>
      <c r="Y31" s="3221"/>
      <c r="Z31" s="1817">
        <f t="shared" si="15"/>
        <v>111</v>
      </c>
      <c r="AA31" s="1814">
        <f t="shared" si="3"/>
        <v>1</v>
      </c>
      <c r="AB31" s="1814">
        <f t="shared" si="4"/>
        <v>1</v>
      </c>
      <c r="AC31" s="1814">
        <f t="shared" si="5"/>
        <v>1</v>
      </c>
    </row>
    <row r="32" spans="1:29" ht="15">
      <c r="A32" s="440" t="s">
        <v>2554</v>
      </c>
      <c r="B32" s="71" t="s">
        <v>2651</v>
      </c>
      <c r="C32" s="2614" t="s">
        <v>3405</v>
      </c>
      <c r="D32" s="467">
        <v>100</v>
      </c>
      <c r="E32" s="2614" t="s">
        <v>3405</v>
      </c>
      <c r="F32" s="461">
        <f>SUMIF(100:100,E32,101:101)-SUMIF(100:100,C32,101:101)+100</f>
        <v>100</v>
      </c>
      <c r="G32" s="2614" t="s">
        <v>3405</v>
      </c>
      <c r="H32" s="435">
        <f>SUMIF(100:100,G32,101:101)-SUMIF(100:100,C32,101:101)+100</f>
        <v>100</v>
      </c>
      <c r="I32" s="2614" t="s">
        <v>3405</v>
      </c>
      <c r="J32" s="467">
        <f>SUMIF(100:100,I32,101:101)-SUMIF(100:100,C32,101:101)+100</f>
        <v>100</v>
      </c>
      <c r="K32" s="612"/>
      <c r="L32" s="1143"/>
      <c r="M32" s="1134"/>
      <c r="N32" s="1134"/>
      <c r="O32" s="1134"/>
      <c r="P32" s="3284" t="s">
        <v>2556</v>
      </c>
      <c r="Q32" s="1813" t="str">
        <f t="shared" si="11"/>
        <v>商业类型</v>
      </c>
      <c r="R32" s="774" t="s">
        <v>17</v>
      </c>
      <c r="S32" s="775">
        <f t="shared" si="12"/>
        <v>100</v>
      </c>
      <c r="T32" s="774" t="s">
        <v>17</v>
      </c>
      <c r="U32" s="775">
        <f t="shared" si="13"/>
        <v>100</v>
      </c>
      <c r="V32" s="774" t="s">
        <v>17</v>
      </c>
      <c r="W32" s="775">
        <f t="shared" si="14"/>
        <v>100</v>
      </c>
      <c r="X32" s="1816"/>
      <c r="Y32" s="3223"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285"/>
      <c r="Q33" s="776" t="str">
        <f t="shared" si="11"/>
        <v>项目建筑规模</v>
      </c>
      <c r="R33" s="777" t="s">
        <v>17</v>
      </c>
      <c r="S33" s="778">
        <f t="shared" si="12"/>
        <v>100</v>
      </c>
      <c r="T33" s="777" t="s">
        <v>17</v>
      </c>
      <c r="U33" s="778">
        <f t="shared" si="13"/>
        <v>100</v>
      </c>
      <c r="V33" s="777" t="s">
        <v>17</v>
      </c>
      <c r="W33" s="778">
        <f t="shared" si="14"/>
        <v>100</v>
      </c>
      <c r="X33" s="779"/>
      <c r="Y33" s="3223"/>
      <c r="Z33" s="780" t="str">
        <f t="shared" si="15"/>
        <v>项目建筑规模</v>
      </c>
      <c r="AA33" s="1814">
        <f t="shared" si="3"/>
        <v>1</v>
      </c>
      <c r="AB33" s="1814">
        <f t="shared" si="4"/>
        <v>1</v>
      </c>
      <c r="AC33" s="1814">
        <f t="shared" si="5"/>
        <v>1</v>
      </c>
    </row>
    <row r="34" spans="1:29" ht="15">
      <c r="A34" s="472"/>
      <c r="B34" s="422" t="s">
        <v>2558</v>
      </c>
      <c r="C34" s="2616" t="s">
        <v>3086</v>
      </c>
      <c r="D34" s="435">
        <v>100</v>
      </c>
      <c r="E34" s="2616" t="s">
        <v>3086</v>
      </c>
      <c r="F34" s="461">
        <f>SUMIF(105:105,E34,106:106)-SUMIF(105:105,C34,106:106)+100</f>
        <v>100</v>
      </c>
      <c r="G34" s="2616" t="s">
        <v>3086</v>
      </c>
      <c r="H34" s="435">
        <f>SUMIF(105:105,G34,106:106)-SUMIF(105:105,C34,106:106)+100</f>
        <v>100</v>
      </c>
      <c r="I34" s="2616" t="s">
        <v>3086</v>
      </c>
      <c r="J34" s="435">
        <f>SUMIF(105:105,I34,106:106)-SUMIF(105:105,C34,106:106)+100</f>
        <v>100</v>
      </c>
      <c r="K34" s="612"/>
      <c r="L34" s="1143"/>
      <c r="M34" s="1134"/>
      <c r="N34" s="1134"/>
      <c r="O34" s="1134"/>
      <c r="P34" s="3285"/>
      <c r="Q34" s="1813" t="str">
        <f t="shared" si="11"/>
        <v>建筑结构</v>
      </c>
      <c r="R34" s="774" t="s">
        <v>17</v>
      </c>
      <c r="S34" s="775">
        <f t="shared" si="12"/>
        <v>100</v>
      </c>
      <c r="T34" s="774" t="s">
        <v>17</v>
      </c>
      <c r="U34" s="775">
        <f t="shared" si="13"/>
        <v>100</v>
      </c>
      <c r="V34" s="774" t="s">
        <v>17</v>
      </c>
      <c r="W34" s="775">
        <f t="shared" si="14"/>
        <v>100</v>
      </c>
      <c r="X34" s="1816"/>
      <c r="Y34" s="3223"/>
      <c r="Z34" s="1817" t="str">
        <f t="shared" si="15"/>
        <v>建筑结构</v>
      </c>
      <c r="AA34" s="1814">
        <f t="shared" si="3"/>
        <v>1</v>
      </c>
      <c r="AB34" s="1814">
        <f t="shared" si="4"/>
        <v>1</v>
      </c>
      <c r="AC34" s="1814">
        <f t="shared" si="5"/>
        <v>1</v>
      </c>
    </row>
    <row r="35" spans="1:29" ht="15">
      <c r="A35" s="472"/>
      <c r="B35" s="422" t="s">
        <v>2652</v>
      </c>
      <c r="C35" s="2610" t="s">
        <v>3070</v>
      </c>
      <c r="D35" s="435">
        <v>100</v>
      </c>
      <c r="E35" s="2610" t="s">
        <v>3070</v>
      </c>
      <c r="F35" s="461">
        <f>SUMIF(107:107,E35,108:108)-SUMIF(107:107,C35,108:108)+100</f>
        <v>100</v>
      </c>
      <c r="G35" s="2610" t="s">
        <v>3070</v>
      </c>
      <c r="H35" s="435">
        <f>SUMIF(107:107,G35,108:108)-SUMIF(107:107,C35,108:108)+100</f>
        <v>100</v>
      </c>
      <c r="I35" s="2610" t="s">
        <v>3070</v>
      </c>
      <c r="J35" s="435">
        <f>SUMIF(107:107,I35,108:108)-SUMIF(107:107,C35,108:108)+100</f>
        <v>100</v>
      </c>
      <c r="K35" s="612"/>
      <c r="L35" s="1143"/>
      <c r="M35" s="1134"/>
      <c r="N35" s="1134"/>
      <c r="O35" s="1134"/>
      <c r="P35" s="3285"/>
      <c r="Q35" s="1813" t="str">
        <f t="shared" si="11"/>
        <v>公共部分装修</v>
      </c>
      <c r="R35" s="774" t="s">
        <v>17</v>
      </c>
      <c r="S35" s="775">
        <f t="shared" si="12"/>
        <v>100</v>
      </c>
      <c r="T35" s="774" t="s">
        <v>17</v>
      </c>
      <c r="U35" s="775">
        <f t="shared" si="13"/>
        <v>100</v>
      </c>
      <c r="V35" s="774" t="s">
        <v>17</v>
      </c>
      <c r="W35" s="775">
        <f t="shared" si="14"/>
        <v>100</v>
      </c>
      <c r="X35" s="1816"/>
      <c r="Y35" s="3223"/>
      <c r="Z35" s="1817" t="str">
        <f t="shared" si="15"/>
        <v>公共部分装修</v>
      </c>
      <c r="AA35" s="1814">
        <f t="shared" si="3"/>
        <v>1</v>
      </c>
      <c r="AB35" s="1814">
        <f t="shared" si="4"/>
        <v>1</v>
      </c>
      <c r="AC35" s="1814">
        <f t="shared" si="5"/>
        <v>1</v>
      </c>
    </row>
    <row r="36" spans="1:29" ht="15">
      <c r="A36" s="472"/>
      <c r="B36" s="422" t="s">
        <v>2653</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85"/>
      <c r="Q36" s="1813" t="str">
        <f t="shared" si="11"/>
        <v>成新度</v>
      </c>
      <c r="R36" s="774" t="s">
        <v>17</v>
      </c>
      <c r="S36" s="775">
        <f t="shared" si="12"/>
        <v>100</v>
      </c>
      <c r="T36" s="774" t="s">
        <v>17</v>
      </c>
      <c r="U36" s="775">
        <f t="shared" si="13"/>
        <v>100</v>
      </c>
      <c r="V36" s="774" t="s">
        <v>17</v>
      </c>
      <c r="W36" s="775">
        <f t="shared" si="14"/>
        <v>100</v>
      </c>
      <c r="X36" s="1816"/>
      <c r="Y36" s="3223"/>
      <c r="Z36" s="1817" t="str">
        <f t="shared" si="15"/>
        <v>成新度</v>
      </c>
      <c r="AA36" s="1814">
        <f t="shared" si="3"/>
        <v>1</v>
      </c>
      <c r="AB36" s="1814">
        <f t="shared" si="4"/>
        <v>1</v>
      </c>
      <c r="AC36" s="1814">
        <f t="shared" si="5"/>
        <v>1</v>
      </c>
    </row>
    <row r="37" spans="1:29" s="117" customFormat="1" ht="15">
      <c r="A37" s="473"/>
      <c r="B37" s="422" t="s">
        <v>2654</v>
      </c>
      <c r="C37" s="2610" t="s">
        <v>3079</v>
      </c>
      <c r="D37" s="136">
        <v>100</v>
      </c>
      <c r="E37" s="2610" t="s">
        <v>3079</v>
      </c>
      <c r="F37" s="461">
        <f>SUMIF(112:112,E37,113:113)-SUMIF(112:112,C37,113:113)+100</f>
        <v>100</v>
      </c>
      <c r="G37" s="2610" t="s">
        <v>3079</v>
      </c>
      <c r="H37" s="435">
        <f>SUMIF(112:112,G37,113:113)-SUMIF(112:112,C37,113:113)+100</f>
        <v>100</v>
      </c>
      <c r="I37" s="2610" t="s">
        <v>3079</v>
      </c>
      <c r="J37" s="435">
        <f>SUMIF(112:112,I37,113:113)-SUMIF(112:112,C37,113:113)+100</f>
        <v>100</v>
      </c>
      <c r="K37" s="612"/>
      <c r="L37" s="1135"/>
      <c r="M37" s="1136"/>
      <c r="N37" s="1136"/>
      <c r="O37" s="1136"/>
      <c r="P37" s="3285"/>
      <c r="Q37" s="1798"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
      <c r="A38" s="472"/>
      <c r="B38" s="422" t="s">
        <v>2655</v>
      </c>
      <c r="C38" s="2610" t="s">
        <v>3422</v>
      </c>
      <c r="D38" s="435">
        <v>100</v>
      </c>
      <c r="E38" s="2610" t="s">
        <v>3422</v>
      </c>
      <c r="F38" s="461">
        <f>SUMIF(114:114,E38,115:115)-SUMIF(114:114,C38,115:115)+100</f>
        <v>100</v>
      </c>
      <c r="G38" s="2610" t="s">
        <v>3422</v>
      </c>
      <c r="H38" s="435">
        <f>SUMIF(114:114,G38,115:115)-SUMIF(114:114,C38,115:115)+100</f>
        <v>100</v>
      </c>
      <c r="I38" s="2610" t="s">
        <v>3422</v>
      </c>
      <c r="J38" s="435">
        <f>SUMIF(114:114,I38,115:115)-SUMIF(114:114,C38,115:115)+100</f>
        <v>100</v>
      </c>
      <c r="K38" s="612"/>
      <c r="L38" s="1143"/>
      <c r="M38" s="1134"/>
      <c r="N38" s="1134"/>
      <c r="O38" s="1134"/>
      <c r="P38" s="3285" t="s">
        <v>2556</v>
      </c>
      <c r="Q38" s="1813" t="str">
        <f t="shared" si="11"/>
        <v>业态</v>
      </c>
      <c r="R38" s="774" t="s">
        <v>17</v>
      </c>
      <c r="S38" s="775">
        <f t="shared" si="12"/>
        <v>100</v>
      </c>
      <c r="T38" s="774" t="s">
        <v>17</v>
      </c>
      <c r="U38" s="775">
        <f t="shared" si="13"/>
        <v>100</v>
      </c>
      <c r="V38" s="774" t="s">
        <v>17</v>
      </c>
      <c r="W38" s="775">
        <f t="shared" si="14"/>
        <v>100</v>
      </c>
      <c r="X38" s="1816"/>
      <c r="Y38" s="3223" t="s">
        <v>2556</v>
      </c>
      <c r="Z38" s="1817" t="str">
        <f t="shared" si="15"/>
        <v>业态</v>
      </c>
      <c r="AA38" s="1814">
        <f t="shared" si="3"/>
        <v>1</v>
      </c>
      <c r="AB38" s="1814">
        <f t="shared" si="4"/>
        <v>1</v>
      </c>
      <c r="AC38" s="1814">
        <f t="shared" si="5"/>
        <v>1</v>
      </c>
    </row>
    <row r="39" spans="1:29" ht="15">
      <c r="A39" s="472"/>
      <c r="B39" s="422" t="s">
        <v>2656</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3"/>
      <c r="M39" s="1134"/>
      <c r="N39" s="1134"/>
      <c r="O39" s="1134"/>
      <c r="P39" s="3285"/>
      <c r="Q39" s="1813" t="str">
        <f t="shared" si="11"/>
        <v>层高</v>
      </c>
      <c r="R39" s="774" t="s">
        <v>17</v>
      </c>
      <c r="S39" s="775">
        <f t="shared" si="12"/>
        <v>100</v>
      </c>
      <c r="T39" s="774" t="s">
        <v>17</v>
      </c>
      <c r="U39" s="775">
        <f t="shared" si="13"/>
        <v>100</v>
      </c>
      <c r="V39" s="774" t="s">
        <v>17</v>
      </c>
      <c r="W39" s="775">
        <f t="shared" si="14"/>
        <v>100</v>
      </c>
      <c r="X39" s="1816"/>
      <c r="Y39" s="3223"/>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5"/>
      <c r="Q40" s="1813" t="str">
        <f t="shared" si="11"/>
        <v>单套建筑面积</v>
      </c>
      <c r="R40" s="774" t="s">
        <v>17</v>
      </c>
      <c r="S40" s="775">
        <f t="shared" si="12"/>
        <v>100</v>
      </c>
      <c r="T40" s="774" t="s">
        <v>17</v>
      </c>
      <c r="U40" s="775">
        <f t="shared" si="13"/>
        <v>100</v>
      </c>
      <c r="V40" s="774" t="s">
        <v>17</v>
      </c>
      <c r="W40" s="775">
        <f t="shared" si="14"/>
        <v>100</v>
      </c>
      <c r="X40" s="1816"/>
      <c r="Y40" s="3223"/>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5"/>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14">
        <f t="shared" si="3"/>
        <v>1</v>
      </c>
      <c r="AB41" s="1814">
        <f t="shared" si="4"/>
        <v>1</v>
      </c>
      <c r="AC41" s="1814">
        <f t="shared" si="5"/>
        <v>1</v>
      </c>
    </row>
    <row r="42" spans="1:29" ht="15">
      <c r="A42" s="472"/>
      <c r="B42" s="422" t="s">
        <v>2659</v>
      </c>
      <c r="C42" s="2610" t="s">
        <v>3073</v>
      </c>
      <c r="D42" s="435">
        <v>100</v>
      </c>
      <c r="E42" s="2610" t="s">
        <v>3073</v>
      </c>
      <c r="F42" s="461">
        <f>SUMIF(122:122,E42,123:123)-SUMIF(122:122,C42,123:123)+100</f>
        <v>100</v>
      </c>
      <c r="G42" s="2610" t="s">
        <v>3073</v>
      </c>
      <c r="H42" s="435">
        <f>SUMIF(122:122,G42,123:123)-SUMIF(122:122,C42,123:123)+100</f>
        <v>100</v>
      </c>
      <c r="I42" s="2610" t="s">
        <v>3073</v>
      </c>
      <c r="J42" s="435">
        <f>SUMIF(122:122,I42,123:123)-SUMIF(122:122,C42,123:123)+100</f>
        <v>100</v>
      </c>
      <c r="K42" s="612"/>
      <c r="L42" s="1143"/>
      <c r="M42" s="1134"/>
      <c r="N42" s="1134"/>
      <c r="O42" s="1134"/>
      <c r="P42" s="3285"/>
      <c r="Q42" s="1813" t="str">
        <f t="shared" si="11"/>
        <v>内部装修</v>
      </c>
      <c r="R42" s="774" t="s">
        <v>17</v>
      </c>
      <c r="S42" s="775">
        <f t="shared" si="12"/>
        <v>100</v>
      </c>
      <c r="T42" s="774" t="s">
        <v>17</v>
      </c>
      <c r="U42" s="775">
        <f t="shared" si="13"/>
        <v>100</v>
      </c>
      <c r="V42" s="774" t="s">
        <v>17</v>
      </c>
      <c r="W42" s="775">
        <f t="shared" si="14"/>
        <v>100</v>
      </c>
      <c r="X42" s="1816"/>
      <c r="Y42" s="3223"/>
      <c r="Z42" s="1817" t="str">
        <f t="shared" si="15"/>
        <v>内部装修</v>
      </c>
      <c r="AA42" s="1814">
        <f t="shared" si="3"/>
        <v>1</v>
      </c>
      <c r="AB42" s="1814">
        <f t="shared" si="4"/>
        <v>1</v>
      </c>
      <c r="AC42" s="1814">
        <f t="shared" si="5"/>
        <v>1</v>
      </c>
    </row>
    <row r="43" spans="1:29" ht="15.75" thickBot="1">
      <c r="A43" s="472"/>
      <c r="B43" s="422" t="s">
        <v>2567</v>
      </c>
      <c r="C43" s="2610" t="s">
        <v>3083</v>
      </c>
      <c r="D43" s="435">
        <v>100</v>
      </c>
      <c r="E43" s="2610" t="s">
        <v>3083</v>
      </c>
      <c r="F43" s="461">
        <f>SUMIF(124:124,E43,125:125)-SUMIF(124:124,C43,125:125)+100</f>
        <v>100</v>
      </c>
      <c r="G43" s="2610" t="s">
        <v>3083</v>
      </c>
      <c r="H43" s="435">
        <f>SUMIF(124:124,G43,125:125)-SUMIF(124:124,C43,125:125)+100</f>
        <v>100</v>
      </c>
      <c r="I43" s="2610" t="s">
        <v>3083</v>
      </c>
      <c r="J43" s="435">
        <f>SUMIF(124:124,I43,125:125)-SUMIF(124:124,C43,125:125)+100</f>
        <v>100</v>
      </c>
      <c r="K43" s="612"/>
      <c r="L43" s="1143"/>
      <c r="M43" s="1134"/>
      <c r="N43" s="1134"/>
      <c r="O43" s="1134"/>
      <c r="P43" s="3285"/>
      <c r="Q43" s="1813" t="str">
        <f t="shared" si="11"/>
        <v>内部装修维护情况</v>
      </c>
      <c r="R43" s="774" t="s">
        <v>17</v>
      </c>
      <c r="S43" s="775">
        <f t="shared" si="12"/>
        <v>100</v>
      </c>
      <c r="T43" s="774" t="s">
        <v>17</v>
      </c>
      <c r="U43" s="775">
        <f t="shared" si="13"/>
        <v>100</v>
      </c>
      <c r="V43" s="774" t="s">
        <v>17</v>
      </c>
      <c r="W43" s="775">
        <f t="shared" si="14"/>
        <v>100</v>
      </c>
      <c r="X43" s="1816"/>
      <c r="Y43" s="3223"/>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5"/>
      <c r="Q44" s="1798">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5"/>
      <c r="Q45" s="1813">
        <f t="shared" si="11"/>
        <v>111</v>
      </c>
      <c r="R45" s="774" t="s">
        <v>17</v>
      </c>
      <c r="S45" s="775">
        <f t="shared" si="12"/>
        <v>100</v>
      </c>
      <c r="T45" s="774" t="s">
        <v>17</v>
      </c>
      <c r="U45" s="775">
        <f t="shared" si="13"/>
        <v>100</v>
      </c>
      <c r="V45" s="774" t="s">
        <v>17</v>
      </c>
      <c r="W45" s="775">
        <f t="shared" si="14"/>
        <v>100</v>
      </c>
      <c r="X45" s="1816"/>
      <c r="Y45" s="3223"/>
      <c r="Z45" s="1817">
        <f t="shared" si="15"/>
        <v>111</v>
      </c>
      <c r="AA45" s="1814">
        <f t="shared" si="3"/>
        <v>1</v>
      </c>
      <c r="AB45" s="1814">
        <f t="shared" si="4"/>
        <v>1</v>
      </c>
      <c r="AC45" s="1814">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6"/>
      <c r="Q46" s="1813">
        <f t="shared" si="11"/>
        <v>111</v>
      </c>
      <c r="R46" s="774" t="s">
        <v>17</v>
      </c>
      <c r="S46" s="775">
        <f t="shared" si="12"/>
        <v>100</v>
      </c>
      <c r="T46" s="774" t="s">
        <v>17</v>
      </c>
      <c r="U46" s="775">
        <f t="shared" si="13"/>
        <v>100</v>
      </c>
      <c r="V46" s="774" t="s">
        <v>17</v>
      </c>
      <c r="W46" s="775">
        <f t="shared" si="14"/>
        <v>100</v>
      </c>
      <c r="X46" s="1816"/>
      <c r="Y46" s="3287"/>
      <c r="Z46" s="1817">
        <f t="shared" si="15"/>
        <v>111</v>
      </c>
      <c r="AA46" s="1814">
        <f t="shared" si="3"/>
        <v>1</v>
      </c>
      <c r="AB46" s="1814">
        <f t="shared" si="4"/>
        <v>1</v>
      </c>
      <c r="AC46" s="1814">
        <f t="shared" si="5"/>
        <v>1</v>
      </c>
    </row>
    <row r="47" spans="1:29" ht="15">
      <c r="A47" s="479" t="s">
        <v>2568</v>
      </c>
      <c r="B47" s="480"/>
      <c r="C47" s="1410" t="s">
        <v>1</v>
      </c>
      <c r="D47" s="1411"/>
      <c r="E47" s="1412">
        <v>13000</v>
      </c>
      <c r="F47" s="1413"/>
      <c r="G47" s="1414">
        <v>15000</v>
      </c>
      <c r="H47" s="1415"/>
      <c r="I47" s="1412">
        <v>12000</v>
      </c>
      <c r="J47" s="1415"/>
      <c r="K47" s="783"/>
      <c r="L47" s="1146"/>
      <c r="M47" s="1147"/>
      <c r="N47" s="1134"/>
      <c r="O47" s="1147"/>
      <c r="P47" s="3218" t="str">
        <f>A47</f>
        <v>成交单价（元/平方米）</v>
      </c>
      <c r="Q47" s="3218"/>
      <c r="R47" s="3224">
        <f>E47</f>
        <v>13000</v>
      </c>
      <c r="S47" s="3224"/>
      <c r="T47" s="3224">
        <f>G47</f>
        <v>15000</v>
      </c>
      <c r="U47" s="3224"/>
      <c r="V47" s="3224">
        <f>I47</f>
        <v>12000</v>
      </c>
      <c r="W47" s="3224"/>
      <c r="X47" s="759"/>
      <c r="Y47" s="781"/>
      <c r="Z47" s="759"/>
      <c r="AA47" s="759"/>
      <c r="AB47" s="759"/>
      <c r="AC47" s="759"/>
    </row>
    <row r="48" spans="1:29" ht="15.75" thickBot="1">
      <c r="A48" s="486" t="s">
        <v>2660</v>
      </c>
      <c r="B48" s="487"/>
      <c r="C48" s="1416">
        <f>R49</f>
        <v>13627</v>
      </c>
      <c r="D48" s="1417"/>
      <c r="E48" s="1418">
        <f>R48</f>
        <v>13000</v>
      </c>
      <c r="F48" s="1418"/>
      <c r="G48" s="1416">
        <f>T48</f>
        <v>15000</v>
      </c>
      <c r="H48" s="1417"/>
      <c r="I48" s="1418">
        <f>V48</f>
        <v>12881</v>
      </c>
      <c r="J48" s="1417"/>
      <c r="K48" s="784"/>
      <c r="L48" s="1146"/>
      <c r="M48" s="1147"/>
      <c r="N48" s="1134"/>
      <c r="O48" s="1147"/>
      <c r="P48" s="3218" t="str">
        <f>A48</f>
        <v>比较价值（元/平方米）</v>
      </c>
      <c r="Q48" s="3218"/>
      <c r="R48" s="3283">
        <f>IF(F1="售价",ROUND(PRODUCT(R47,AA7:AA46),0),ROUND(PRODUCT(R47,AA7:AA46),1))</f>
        <v>13000</v>
      </c>
      <c r="S48" s="3283"/>
      <c r="T48" s="3283">
        <f>IF(F1="售价",ROUND(PRODUCT(T47,AB7:AB46),0),ROUND(PRODUCT(T47,AB7:AB46),1))</f>
        <v>15000</v>
      </c>
      <c r="U48" s="3283"/>
      <c r="V48" s="3283">
        <f>IF(F1="售价",ROUND(PRODUCT(V47,AC7:AC46),0),ROUND(PRODUCT(V47,AC7:AC46),1))</f>
        <v>12881</v>
      </c>
      <c r="W48" s="3283"/>
      <c r="X48" s="759"/>
      <c r="Y48" s="759"/>
      <c r="Z48" s="759"/>
      <c r="AA48" s="759"/>
      <c r="AB48" s="759"/>
      <c r="AC48" s="759"/>
    </row>
    <row r="49" spans="1:29" ht="15.75" thickBot="1">
      <c r="A49" s="492" t="s">
        <v>2661</v>
      </c>
      <c r="B49" s="493"/>
      <c r="C49" s="1420">
        <f>R49</f>
        <v>13627</v>
      </c>
      <c r="D49" s="1420"/>
      <c r="E49" s="1420"/>
      <c r="F49" s="1420"/>
      <c r="G49" s="1420"/>
      <c r="H49" s="1420"/>
      <c r="I49" s="1420"/>
      <c r="J49" s="1420"/>
      <c r="K49" s="785"/>
      <c r="L49" s="1146"/>
      <c r="M49" s="1147"/>
      <c r="N49" s="1134"/>
      <c r="O49" s="1147"/>
      <c r="P49" s="3212" t="str">
        <f>A49</f>
        <v>估价对象XX用房的比较价值（楼面单价，元/平方米）</v>
      </c>
      <c r="Q49" s="3213"/>
      <c r="R49" s="3282">
        <f>IF(F1="售价",ROUND(AVERAGE(R48:V48),0),ROUND(AVERAGE(R48:V48),1))</f>
        <v>13627</v>
      </c>
      <c r="S49" s="3282"/>
      <c r="T49" s="3282"/>
      <c r="U49" s="3282"/>
      <c r="V49" s="3282"/>
      <c r="W49" s="32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f>IF(E47&lt;E48,E48/E47-1,E47/E48-1)</f>
        <v>0</v>
      </c>
      <c r="F52" s="500" t="str">
        <f>IF(OR(E52&gt;=0.3,E52&lt;=-0.3),"超过30%","")</f>
        <v/>
      </c>
      <c r="G52" s="499">
        <f>IF(G47&lt;G48,G48/G47-1,G47/G48-1)</f>
        <v>0</v>
      </c>
      <c r="H52" s="500" t="str">
        <f>IF(OR(G52&gt;=0.3,G52&lt;=-0.3),"超过30%","")</f>
        <v/>
      </c>
      <c r="I52" s="499">
        <f>IF(I47&lt;I48,I48/I47-1,I47/I48-1)</f>
        <v>7.3416666666666686E-2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f>IF(E48&lt;G48,G48/E48-1,E48/G48-1)</f>
        <v>0.15384615384615374</v>
      </c>
      <c r="F53" s="500" t="str">
        <f>IF(OR(E53&gt;=0.2,E53&lt;=-0.2),"超过20%","")</f>
        <v/>
      </c>
      <c r="G53" s="499">
        <f>IF(G48&lt;I48,I48/G48-1,G48/I48-1)</f>
        <v>0.16450586134616874</v>
      </c>
      <c r="H53" s="500" t="str">
        <f>IF(OR(G53&gt;=0.2,G53&lt;=-0.2),"超过20%","")</f>
        <v/>
      </c>
      <c r="I53" s="499">
        <f>IF(I48&lt;E48,E48/I48-1,I48/E48-1)</f>
        <v>9.2384131666796154E-3</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f>IF(E47&lt;G47,G47/E47-1,E47/G47-1)</f>
        <v>0.15384615384615374</v>
      </c>
      <c r="F54" s="500" t="str">
        <f>IF(OR(E54&gt;=0.3,E54&lt;=-0.3),"超过30%","")</f>
        <v/>
      </c>
      <c r="G54" s="499">
        <f>IF(G47&lt;I47,I47/G47-1,G47/I47-1)</f>
        <v>0.25</v>
      </c>
      <c r="H54" s="500" t="str">
        <f>IF(OR(G54&gt;=0.3,G54&lt;=-0.3),"超过30%","")</f>
        <v/>
      </c>
      <c r="I54" s="499">
        <f>IF(I47&lt;E47,E47/I47-1,I47/E47-1)</f>
        <v>8.3333333333333259E-2</v>
      </c>
      <c r="J54" s="500" t="str">
        <f>IF(OR(I54&gt;=0.3,I54&lt;=-0.3),"超过30%","")</f>
        <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2539</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24"/>
    </row>
    <row r="60" spans="1:29" s="117" customFormat="1" ht="15.75" thickBot="1">
      <c r="A60" s="515" t="s">
        <v>2576</v>
      </c>
      <c r="B60" s="516"/>
      <c r="C60" s="517"/>
      <c r="D60" s="518"/>
      <c r="E60" s="518"/>
      <c r="F60" s="518"/>
      <c r="G60" s="518"/>
      <c r="H60" s="518"/>
      <c r="I60" s="518"/>
      <c r="J60" s="518"/>
      <c r="K60" s="518"/>
      <c r="L60" s="518"/>
      <c r="M60" s="519"/>
      <c r="N60" s="518"/>
      <c r="O60" s="519"/>
      <c r="P60" s="2624"/>
      <c r="Q60" s="504"/>
    </row>
    <row r="61" spans="1:29" s="117" customFormat="1" ht="15">
      <c r="A61" s="521" t="s">
        <v>2541</v>
      </c>
      <c r="B61" s="510"/>
      <c r="C61" s="522" t="s">
        <v>2643</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2579</v>
      </c>
      <c r="B63" s="528" t="s">
        <v>2545</v>
      </c>
      <c r="C63" s="529" t="str">
        <f>C9</f>
        <v>商业</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2549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26"/>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26"/>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6"/>
      <c r="Q85" s="504"/>
    </row>
    <row r="86" spans="1:17" s="117" customFormat="1" ht="15.75" thickTop="1">
      <c r="A86" s="579"/>
      <c r="B86" s="538" t="s">
        <v>2671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2943" t="s">
        <v>3415</v>
      </c>
      <c r="D90" s="2943" t="s">
        <v>3417</v>
      </c>
      <c r="E90" s="2943" t="s">
        <v>3418</v>
      </c>
      <c r="F90" s="2943" t="s">
        <v>3419</v>
      </c>
      <c r="G90" s="2943" t="s">
        <v>3420</v>
      </c>
      <c r="H90" s="555"/>
      <c r="I90" s="555"/>
      <c r="J90" s="555"/>
      <c r="K90" s="555"/>
      <c r="L90" s="556"/>
      <c r="M90" s="557"/>
      <c r="N90" s="1157"/>
      <c r="O90" s="1157"/>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27"/>
      <c r="Q91" s="559"/>
    </row>
    <row r="92" spans="1:17" ht="15.75" thickTop="1">
      <c r="A92" s="534"/>
      <c r="B92" s="538" t="str">
        <f>B28</f>
        <v>楼层</v>
      </c>
      <c r="C92" s="554" t="s">
        <v>3413</v>
      </c>
      <c r="D92" s="554"/>
      <c r="E92" s="554"/>
      <c r="F92" s="554"/>
      <c r="G92" s="554"/>
      <c r="H92" s="554"/>
      <c r="I92" s="554"/>
      <c r="J92" s="554"/>
      <c r="K92" s="554"/>
      <c r="L92" s="580"/>
      <c r="M92" s="581"/>
      <c r="N92" s="1155"/>
      <c r="O92" s="1155"/>
      <c r="P92" s="2626"/>
      <c r="Q92" s="504"/>
    </row>
    <row r="93" spans="1:17" ht="15.75" thickBot="1">
      <c r="A93" s="534"/>
      <c r="B93" s="543"/>
      <c r="C93" s="536">
        <v>100</v>
      </c>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2554</v>
      </c>
      <c r="B100" s="528" t="s">
        <v>2672</v>
      </c>
      <c r="C100" s="2957" t="s">
        <v>3406</v>
      </c>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2604</v>
      </c>
      <c r="C102" s="578" t="str">
        <f>C103&amp;"(含)"&amp;"-"&amp;D103</f>
        <v>0(含)-100</v>
      </c>
      <c r="D102" s="578" t="str">
        <f t="shared" ref="D102:L102" si="23">D103&amp;"(含)"&amp;"-"&amp;E103</f>
        <v>100(含)-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v>0</v>
      </c>
      <c r="D103" s="595">
        <v>100</v>
      </c>
      <c r="E103" s="595"/>
      <c r="F103" s="595"/>
      <c r="G103" s="595"/>
      <c r="H103" s="595"/>
      <c r="I103" s="595"/>
      <c r="J103" s="596"/>
      <c r="K103" s="596"/>
      <c r="L103" s="597"/>
      <c r="M103" s="598"/>
      <c r="N103" s="1157"/>
      <c r="O103" s="1157"/>
      <c r="P103" s="2627"/>
      <c r="Q103" s="559"/>
    </row>
    <row r="104" spans="1:17" s="471" customFormat="1" ht="15.75" thickBot="1">
      <c r="A104" s="553"/>
      <c r="B104" s="543"/>
      <c r="C104" s="560">
        <v>100</v>
      </c>
      <c r="D104" s="536"/>
      <c r="E104" s="536"/>
      <c r="F104" s="536"/>
      <c r="G104" s="536"/>
      <c r="H104" s="536"/>
      <c r="I104" s="536"/>
      <c r="J104" s="536"/>
      <c r="K104" s="536"/>
      <c r="L104" s="536"/>
      <c r="M104" s="537"/>
      <c r="N104" s="1156"/>
      <c r="O104" s="1156"/>
      <c r="P104" s="2627"/>
      <c r="Q104" s="559"/>
    </row>
    <row r="105" spans="1:17" ht="15" thickTop="1">
      <c r="A105" s="599"/>
      <c r="B105" s="538" t="s">
        <v>2605</v>
      </c>
      <c r="C105" s="2943" t="s">
        <v>3411</v>
      </c>
      <c r="D105" s="2943" t="s">
        <v>3412</v>
      </c>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2607</v>
      </c>
      <c r="C107" s="2943" t="s">
        <v>3407</v>
      </c>
      <c r="D107" s="2943" t="s">
        <v>3408</v>
      </c>
      <c r="E107" s="2943" t="s">
        <v>3409</v>
      </c>
      <c r="F107" s="2944" t="s">
        <v>3410</v>
      </c>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2609</v>
      </c>
      <c r="C112" s="2943" t="s">
        <v>3425</v>
      </c>
      <c r="D112" s="2943" t="s">
        <v>3426</v>
      </c>
      <c r="E112" s="2943" t="s">
        <v>3427</v>
      </c>
      <c r="F112" s="2943" t="s">
        <v>3428</v>
      </c>
      <c r="G112" s="2943" t="s">
        <v>3429</v>
      </c>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2673</v>
      </c>
      <c r="C114" s="2943" t="s">
        <v>3423</v>
      </c>
      <c r="D114" s="2943" t="s">
        <v>3424</v>
      </c>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2674</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2675</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2611</v>
      </c>
      <c r="C122" s="2943" t="s">
        <v>3407</v>
      </c>
      <c r="D122" s="2943" t="s">
        <v>3408</v>
      </c>
      <c r="E122" s="2943" t="s">
        <v>3409</v>
      </c>
      <c r="F122" s="2944" t="s">
        <v>3410</v>
      </c>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河南新晋美置业有限公司：</v>
      </c>
    </row>
    <row r="4" spans="1:1" ht="36">
      <c r="A4" s="1951" t="str">
        <f>"受贵公司委托，我公司对"&amp;项目基本情况!S1&amp;"进行了预评估。"</f>
        <v>受贵公司委托，我公司对河南省开封市龙亭区晋安路以北，三大街以西房地产抵押价值进行了预评估。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开封市龙亭区晋安路以北，三大街以西房地产，为河南新晋美置业有限公司所有。根据《不动产权证书》[豫（2018）开封市不动产权第0027923号]，估价对象（分摊）出让国有建设用地使用权面积为1764.17平方米。根据，估价对象建筑面积为5274.86平方米。</v>
      </c>
    </row>
    <row r="8" spans="1:1" ht="57.75">
      <c r="A8" s="1954" t="s">
        <v>1614</v>
      </c>
    </row>
    <row r="9" spans="1:1" ht="18.75">
      <c r="A9" s="1953" t="s">
        <v>1615</v>
      </c>
    </row>
    <row r="10" spans="1:1" ht="90">
      <c r="A10" s="1951"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开封市龙亭区晋安路以北，三大街以西房地产,属河南新晋美置业有限公司开发建设的居住项目，该项目尚在开发建设中。根据《不动产权证书》[豫（2018）开封市不动产权第0027923号]，估价对象（分摊）出让国有建设用地使用权面积为1764.17平方米。根据，估价对象规划建筑面积为5274.86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为估价委托人在向国投泰安信托有限公司办理贷款手续过程中，确定房地产抵押贷款额度提供参考依据而评估房地产抵押价值。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住宅、商业，土地取得方式为出让，出让国有建设用地使用权剩余土地使用年限为住宅62.4年、商业32.4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七通”（即通路、通电、通讯、通上水、通下水、通热、燃气）、红线内场地平整条件下，剩余土地使用年限为住宅62.4年、商业32.4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"本次评估采用的主估价方法为"&amp;'结果表（住宅）'!K4&amp;"和"&amp;'结果表（住宅）'!L4&amp;"。"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3445</v>
      </c>
      <c r="D1" s="1823" t="s">
        <v>3386</v>
      </c>
      <c r="E1" s="1824" t="s">
        <v>1387</v>
      </c>
      <c r="F1" s="1286">
        <f ca="1">J53</f>
        <v>32.450000000000003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122</v>
      </c>
      <c r="C2" s="1848" t="s">
        <v>1516</v>
      </c>
      <c r="D2" s="1848"/>
      <c r="E2" s="1849"/>
      <c r="F2" s="1850"/>
      <c r="G2" s="1851"/>
      <c r="H2" s="1843"/>
      <c r="I2" s="1843"/>
      <c r="J2" s="1843"/>
      <c r="K2" s="1844"/>
      <c r="L2" s="1843"/>
      <c r="M2" s="1843"/>
    </row>
    <row r="3" spans="1:37" ht="18" customHeight="1" thickBot="1">
      <c r="A3" s="1852" t="s">
        <v>1517</v>
      </c>
      <c r="B3" s="1853">
        <f ca="1">IF(ISERROR(B2*10000/F43),0,ROUND(B2*10000/F43,0))</f>
        <v>13562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v>
      </c>
      <c r="D5" s="1825" t="s">
        <v>1402</v>
      </c>
      <c r="E5" s="1296"/>
      <c r="F5" s="1297"/>
      <c r="G5" s="1854"/>
      <c r="H5" s="344">
        <v>1</v>
      </c>
      <c r="I5" s="345" t="s">
        <v>1401</v>
      </c>
      <c r="J5" s="1295">
        <f ca="1">J6+J10+J12</f>
        <v>0</v>
      </c>
      <c r="K5" s="1825" t="s">
        <v>1402</v>
      </c>
      <c r="L5" s="1296"/>
      <c r="M5" s="1297"/>
    </row>
    <row r="6" spans="1:37" ht="18" customHeight="1">
      <c r="A6" s="1294" t="s">
        <v>1035</v>
      </c>
      <c r="B6" s="3255" t="s">
        <v>1403</v>
      </c>
      <c r="C6" s="1299">
        <f ca="1">ROUND(F6*F8*F7*(1-F9)/10000,0)</f>
        <v>8</v>
      </c>
      <c r="D6" s="164" t="s">
        <v>3023</v>
      </c>
      <c r="E6" s="347" t="s">
        <v>1405</v>
      </c>
      <c r="F6" s="348">
        <f ca="1">INDIRECT("'数据-取费表'!u"&amp;$G$1)</f>
        <v>2.8</v>
      </c>
      <c r="G6" s="1854"/>
      <c r="H6" s="1294" t="s">
        <v>1035</v>
      </c>
      <c r="I6" s="3255" t="s">
        <v>1403</v>
      </c>
      <c r="J6" s="346">
        <f ca="1">ROUND(M6*M8*M7*(1-M9)/10000,0)</f>
        <v>0</v>
      </c>
      <c r="K6" s="164" t="s">
        <v>3022</v>
      </c>
      <c r="L6" s="347" t="s">
        <v>1405</v>
      </c>
      <c r="M6" s="348">
        <f ca="1">INDIRECT("'数据-取费表'!z"&amp;$G$1)</f>
        <v>0</v>
      </c>
    </row>
    <row r="7" spans="1:37" ht="18" customHeight="1">
      <c r="A7" s="1298"/>
      <c r="B7" s="3256"/>
      <c r="C7" s="1300"/>
      <c r="D7" s="352"/>
      <c r="E7" s="2968" t="s">
        <v>1406</v>
      </c>
      <c r="F7" s="348">
        <f ca="1">IF(INDIRECT("'数据-取费表'!ah"&amp;$G$1)="",INDIRECT("'数据-取费表'!k"&amp;$G$1),INDIRECT("'数据-取费表'!ah"&amp;$G$1))</f>
        <v>89.959999999999923</v>
      </c>
      <c r="G7" s="1854"/>
      <c r="H7" s="349"/>
      <c r="I7" s="3256"/>
      <c r="J7" s="351"/>
      <c r="K7" s="352"/>
      <c r="L7" s="347" t="s">
        <v>1406</v>
      </c>
      <c r="M7" s="348">
        <f ca="1">F7</f>
        <v>89.959999999999923</v>
      </c>
    </row>
    <row r="8" spans="1:37" ht="18" customHeight="1">
      <c r="A8" s="349"/>
      <c r="B8" s="3256"/>
      <c r="C8" s="351"/>
      <c r="D8" s="352"/>
      <c r="E8" s="347" t="s">
        <v>1407</v>
      </c>
      <c r="F8" s="348">
        <f ca="1">INDIRECT("'数据-取费表'!ai"&amp;$G$1)</f>
        <v>365</v>
      </c>
      <c r="G8" s="1854"/>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0.1</v>
      </c>
      <c r="G9" s="1854"/>
      <c r="H9" s="349"/>
      <c r="I9" s="325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3031</v>
      </c>
      <c r="E10" s="358" t="s">
        <v>1410</v>
      </c>
      <c r="F10" s="1369" t="s">
        <v>3387</v>
      </c>
      <c r="G10" s="1854"/>
      <c r="H10" s="1294" t="s">
        <v>1039</v>
      </c>
      <c r="I10" s="1826" t="s">
        <v>1409</v>
      </c>
      <c r="J10" s="346">
        <f ca="1">ROUND(IF(M10="押一",J6/12*M11,IF(M10="押二",J6/12*2*M11,IF(M10="押三",J6/12*3*M11,J11*M11))),0)</f>
        <v>0</v>
      </c>
      <c r="K10" s="1827" t="s">
        <v>3031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26</v>
      </c>
      <c r="D13" s="1334" t="s">
        <v>1415</v>
      </c>
      <c r="E13" s="1334" t="s">
        <v>1416</v>
      </c>
      <c r="F13" s="1335">
        <f ca="1">INDIRECT("'数据-取费表'!y"&amp;$G$1)</f>
        <v>0.95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v>
      </c>
      <c r="D14" s="2971" t="s">
        <v>1418</v>
      </c>
      <c r="E14" s="2970"/>
      <c r="F14" s="364"/>
      <c r="G14" s="1854"/>
      <c r="H14" s="1204" t="s">
        <v>1035</v>
      </c>
      <c r="I14" s="347" t="s">
        <v>1419</v>
      </c>
      <c r="J14" s="24">
        <f ca="1">C29</f>
        <v>27</v>
      </c>
      <c r="K14" s="2967"/>
      <c r="L14" s="982"/>
      <c r="M14" s="983"/>
    </row>
    <row r="15" spans="1:37" s="1861" customFormat="1" ht="18" customHeight="1" thickBot="1">
      <c r="A15" s="1204" t="s">
        <v>1036</v>
      </c>
      <c r="B15" s="347" t="s">
        <v>1420</v>
      </c>
      <c r="C15" s="24">
        <f ca="1">ROUND(C14*F15,0)</f>
        <v>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v>
      </c>
      <c r="K16" s="1340" t="s">
        <v>1425</v>
      </c>
      <c r="L16" s="2973"/>
      <c r="M16" s="1297"/>
    </row>
    <row r="17" spans="1:37" s="1861" customFormat="1" ht="18" customHeight="1">
      <c r="A17" s="1204" t="s">
        <v>1390</v>
      </c>
      <c r="B17" s="347" t="s">
        <v>1426</v>
      </c>
      <c r="C17" s="24">
        <f ca="1">ROUND(F17*(F43+INDIRECT("'数据-取费表'!S"&amp;$G$1))/10000,0)</f>
        <v>2</v>
      </c>
      <c r="D17" s="347" t="s">
        <v>1427</v>
      </c>
      <c r="E17" s="347" t="s">
        <v>1428</v>
      </c>
      <c r="F17" s="26">
        <f>'数据-取费表'!B35</f>
        <v>200</v>
      </c>
      <c r="G17" s="1857"/>
      <c r="H17" s="1204" t="s">
        <v>1035</v>
      </c>
      <c r="I17" s="347" t="s">
        <v>1429</v>
      </c>
      <c r="J17" s="24">
        <f ca="1">ROUND(IF(项目基本情况!B11="自然人",J5*M17,J18+J19+J20),1)</f>
        <v>0.3</v>
      </c>
      <c r="K17" s="2971" t="s">
        <v>1430</v>
      </c>
      <c r="L17" s="297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2972"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21</v>
      </c>
      <c r="D19" s="140" t="s">
        <v>1436</v>
      </c>
      <c r="E19" s="2966"/>
      <c r="F19" s="26"/>
      <c r="G19" s="1854"/>
      <c r="H19" s="1204" t="s">
        <v>1036</v>
      </c>
      <c r="I19" s="347" t="s">
        <v>1437</v>
      </c>
      <c r="J19" s="24">
        <f ca="1">IF(K19="按租金收入计税",ROUND(J5*M19,2),ROUND(C29*M19*0.7,2))</f>
        <v>0.23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0.05</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30.09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6"/>
      <c r="F22" s="26"/>
      <c r="G22" s="1854"/>
      <c r="H22" s="1204" t="s">
        <v>1039</v>
      </c>
      <c r="I22" s="347" t="s">
        <v>1449</v>
      </c>
      <c r="J22" s="24">
        <f ca="1">ROUND(J14*M22,1)</f>
        <v>0.5</v>
      </c>
      <c r="K22" s="2972"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1452</v>
      </c>
      <c r="F23" s="371">
        <f>'数据-取费表'!B20</f>
        <v>3.5</v>
      </c>
      <c r="G23" s="1857"/>
      <c r="H23" s="1204" t="s">
        <v>1075</v>
      </c>
      <c r="I23" s="347" t="s">
        <v>1453</v>
      </c>
      <c r="J23" s="24">
        <f ca="1">ROUND(J13*M23,1)</f>
        <v>0</v>
      </c>
      <c r="K23" s="2972"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1.6999999999999999E-3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6"/>
      <c r="F25" s="26"/>
      <c r="G25" s="1854"/>
      <c r="H25" s="1332" t="s">
        <v>1031</v>
      </c>
      <c r="I25" s="1347" t="s">
        <v>1463</v>
      </c>
      <c r="J25" s="355">
        <f ca="1">J5-J16</f>
        <v>-1</v>
      </c>
      <c r="K25" s="1348" t="s">
        <v>1464</v>
      </c>
      <c r="L25" s="1349"/>
      <c r="M25" s="1350"/>
    </row>
    <row r="26" spans="1:37">
      <c r="A26" s="1204" t="s">
        <v>1034</v>
      </c>
      <c r="B26" s="347" t="s">
        <v>1465</v>
      </c>
      <c r="C26" s="24">
        <f ca="1">ROUND((C19+C20)*F26,0)</f>
        <v>2</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27</v>
      </c>
      <c r="D29" s="1345"/>
      <c r="E29" s="1343"/>
      <c r="F29" s="1346"/>
      <c r="G29" s="1857"/>
      <c r="H29" s="380" t="s">
        <v>1033</v>
      </c>
      <c r="I29" s="381" t="s">
        <v>1479</v>
      </c>
      <c r="J29" s="382">
        <f ca="1">ROUND(J26/(1+F40)^F41,0)</f>
        <v>0</v>
      </c>
      <c r="K29" s="383" t="s">
        <v>1480</v>
      </c>
      <c r="L29" s="384"/>
      <c r="M29" s="385">
        <f ca="1">INDIRECT("'数据-取费表'!k"&amp;$G$1)</f>
        <v>89.959999999999923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v>
      </c>
      <c r="D30" s="1340" t="s">
        <v>1425</v>
      </c>
      <c r="E30" s="2973"/>
      <c r="F30" s="1297"/>
      <c r="G30" s="1854"/>
      <c r="H30" s="745"/>
      <c r="I30" s="746"/>
      <c r="J30" s="747"/>
      <c r="K30" s="748"/>
      <c r="L30" s="749"/>
      <c r="M30" s="750"/>
    </row>
    <row r="31" spans="1:37" ht="18" customHeight="1">
      <c r="A31" s="1204" t="s">
        <v>1035</v>
      </c>
      <c r="B31" s="347" t="s">
        <v>1429</v>
      </c>
      <c r="C31" s="24">
        <f ca="1">ROUND(IF(项目基本情况!B11="自然人",C5*F31,C32+C33+C34),1)</f>
        <v>1.4</v>
      </c>
      <c r="D31" s="2971" t="s">
        <v>1430</v>
      </c>
      <c r="E31" s="297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0.42</v>
      </c>
      <c r="D32" s="2972"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0.96</v>
      </c>
      <c r="D33" s="1831" t="s">
        <v>3388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0.05</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30.09</v>
      </c>
      <c r="G35" s="1854"/>
      <c r="H35" s="745"/>
      <c r="I35" s="1863"/>
      <c r="J35" s="1864"/>
      <c r="K35" s="1865"/>
      <c r="L35" s="1862"/>
      <c r="M35" s="1862"/>
    </row>
    <row r="36" spans="1:18" ht="18" customHeight="1">
      <c r="A36" s="1355" t="s">
        <v>1039</v>
      </c>
      <c r="B36" s="347" t="s">
        <v>1449</v>
      </c>
      <c r="C36" s="24">
        <f ca="1">ROUND(C29*F36,1)</f>
        <v>0.5</v>
      </c>
      <c r="D36" s="2972"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0.1</v>
      </c>
      <c r="D37" s="2972"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0.2</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6</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122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32.450000000000003</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13562</v>
      </c>
      <c r="D43" s="383" t="s">
        <v>1488</v>
      </c>
      <c r="E43" s="384" t="s">
        <v>1489</v>
      </c>
      <c r="F43" s="385">
        <f ca="1">INDIRECT("'数据-取费表'!k"&amp;$G$1)</f>
        <v>89.959999999999923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-167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3086</v>
      </c>
      <c r="K47" s="1885" t="s">
        <v>1527</v>
      </c>
      <c r="L47" s="1886">
        <f ca="1">INDIRECT("'数据-取费表'!d"&amp;$G$1)</f>
        <v>40</v>
      </c>
      <c r="M47" s="1841" t="str">
        <f>IF(ISNUMBER(FIND("住宅",C1)),"住宅","非住宅")</f>
        <v>非住宅</v>
      </c>
      <c r="O47" s="1887" t="s">
        <v>1040</v>
      </c>
      <c r="P47" s="1888" t="s">
        <v>1528</v>
      </c>
      <c r="Q47" s="1889">
        <f ca="1">C40+J29</f>
        <v>122</v>
      </c>
      <c r="R47" s="1889" t="s">
        <v>1529</v>
      </c>
    </row>
    <row r="48" spans="1:18" s="1845" customFormat="1" ht="28.5" thickBot="1">
      <c r="A48" s="1363" t="s">
        <v>1135</v>
      </c>
      <c r="B48" s="345" t="s">
        <v>1401</v>
      </c>
      <c r="C48" s="2965">
        <f ca="1">C49+C53+C55</f>
        <v>0</v>
      </c>
      <c r="D48" s="1365"/>
      <c r="E48" s="1366"/>
      <c r="F48" s="1184"/>
      <c r="G48" s="792"/>
      <c r="H48" s="793"/>
      <c r="I48" s="1890" t="s">
        <v>1530</v>
      </c>
      <c r="J48" s="1891" t="s">
        <v>3389</v>
      </c>
      <c r="K48" s="1892" t="s">
        <v>1531</v>
      </c>
      <c r="L48" s="1893">
        <f ca="1">INDIRECT("'数据-取费表'!f"&amp;$G$1)</f>
        <v>32.450000000000003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2018</v>
      </c>
      <c r="K49" s="1892" t="s">
        <v>1535</v>
      </c>
      <c r="L49" s="1896"/>
      <c r="O49" s="1897" t="s">
        <v>1042</v>
      </c>
      <c r="P49" s="1888" t="s">
        <v>1536</v>
      </c>
      <c r="Q49" s="1889">
        <f ca="1">C29</f>
        <v>27</v>
      </c>
      <c r="R49" s="1889" t="s">
        <v>1529</v>
      </c>
    </row>
    <row r="50" spans="1:18" s="1845" customFormat="1" ht="13.5" thickBot="1">
      <c r="A50" s="1198"/>
      <c r="B50" s="1201"/>
      <c r="C50" s="1371"/>
      <c r="D50" s="1175"/>
      <c r="E50" s="1280" t="s">
        <v>1406</v>
      </c>
      <c r="F50" s="1281">
        <f ca="1">F7</f>
        <v>89.959999999999923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60</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32.450000000000003</v>
      </c>
      <c r="R52" s="1889" t="s">
        <v>1546</v>
      </c>
    </row>
    <row r="53" spans="1:18" s="1845" customFormat="1" ht="24.75" thickBot="1">
      <c r="A53" s="1408" t="s">
        <v>1137</v>
      </c>
      <c r="B53" s="1834" t="s">
        <v>1409</v>
      </c>
      <c r="C53" s="361">
        <f ca="1">ROUND(IF(F53="押一",C49/12*F11,IF(F53="押二",C49/12*2*F11,IF(F53="押三",C49/12*3*F11,C54*F11))),0)</f>
        <v>0</v>
      </c>
      <c r="D53" s="1827" t="s">
        <v>3031</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32.450000000000003</v>
      </c>
      <c r="K53" s="3258" t="s">
        <v>1548</v>
      </c>
      <c r="L53" s="3259"/>
      <c r="O53" s="1887" t="s">
        <v>1046</v>
      </c>
      <c r="P53" s="1888" t="s">
        <v>1549</v>
      </c>
      <c r="Q53" s="1889">
        <f ca="1">Q47+Q48</f>
        <v>122</v>
      </c>
      <c r="R53" s="1889" t="s">
        <v>1047</v>
      </c>
    </row>
    <row r="54" spans="1:18" s="1845" customFormat="1" ht="13.5" thickBot="1">
      <c r="A54" s="1409"/>
      <c r="B54" s="1828" t="s">
        <v>1388</v>
      </c>
      <c r="C54" s="1181"/>
      <c r="D54" s="1827"/>
      <c r="E54" s="296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26</v>
      </c>
      <c r="D56" s="1917"/>
      <c r="E56" s="1918"/>
      <c r="F56" s="1910"/>
      <c r="I56" s="1919" t="s">
        <v>1554</v>
      </c>
      <c r="J56" s="1920" t="s">
        <v>3384</v>
      </c>
      <c r="K56" s="1890" t="s">
        <v>1555</v>
      </c>
      <c r="L56" s="1893" t="str">
        <f ca="1">IF(L48&lt;J51,"——",L48-J53)</f>
        <v>——</v>
      </c>
      <c r="O56" s="1887" t="s">
        <v>1040</v>
      </c>
      <c r="P56" s="1888" t="s">
        <v>1528</v>
      </c>
      <c r="Q56" s="1889">
        <f ca="1">C40+J29</f>
        <v>122</v>
      </c>
      <c r="R56" s="1889" t="s">
        <v>1529</v>
      </c>
    </row>
    <row r="57" spans="1:18" s="1845" customFormat="1" ht="24.75" thickBot="1">
      <c r="A57" s="1921"/>
      <c r="B57" s="1172" t="s">
        <v>1478</v>
      </c>
      <c r="C57" s="282">
        <f ca="1">C29</f>
        <v>27</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2.2999999999999998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2.27</v>
      </c>
      <c r="D61" s="1831" t="s">
        <v>1438</v>
      </c>
      <c r="E61" s="1172" t="s">
        <v>1422</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0.05</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122</v>
      </c>
      <c r="R62" s="1889" t="s">
        <v>1047</v>
      </c>
    </row>
    <row r="63" spans="1:18" s="1845" customFormat="1" ht="13.5" thickBot="1">
      <c r="A63" s="372"/>
      <c r="B63" s="1178"/>
      <c r="C63" s="29"/>
      <c r="D63" s="1188"/>
      <c r="E63" s="1172" t="s">
        <v>1447</v>
      </c>
      <c r="F63" s="348">
        <f t="shared" ca="1" si="0"/>
        <v>30.09</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0.5</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0.1</v>
      </c>
      <c r="D65" s="1186" t="s">
        <v>1454</v>
      </c>
      <c r="E65" s="1172" t="s">
        <v>1422</v>
      </c>
      <c r="F65" s="376">
        <f t="shared" ca="1" si="0"/>
        <v>2E-3</v>
      </c>
      <c r="I65" s="1932" t="s">
        <v>1579</v>
      </c>
      <c r="J65" s="1933">
        <v>40</v>
      </c>
      <c r="K65" s="1933">
        <v>30</v>
      </c>
      <c r="L65" s="1933">
        <v>50</v>
      </c>
      <c r="M65" s="1935">
        <v>0.02</v>
      </c>
      <c r="O65" s="1887" t="s">
        <v>1040</v>
      </c>
      <c r="P65" s="1888" t="s">
        <v>1528</v>
      </c>
      <c r="Q65" s="1889">
        <f ca="1">C40+J29</f>
        <v>122</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-3</v>
      </c>
      <c r="D67" s="1185" t="s">
        <v>1464</v>
      </c>
      <c r="E67" s="1190"/>
      <c r="F67" s="1191"/>
      <c r="O67" s="1897" t="s">
        <v>1042</v>
      </c>
      <c r="P67" s="1888" t="s">
        <v>1562</v>
      </c>
      <c r="Q67" s="1936">
        <f ca="1">L51</f>
        <v>60</v>
      </c>
      <c r="R67" s="1889" t="s">
        <v>1582</v>
      </c>
    </row>
    <row r="68" spans="1:18" s="1845" customFormat="1" ht="16.5" thickBot="1">
      <c r="A68" s="1169" t="s">
        <v>1032</v>
      </c>
      <c r="B68" s="1170" t="s">
        <v>1485</v>
      </c>
      <c r="C68" s="346">
        <f ca="1">ROUND(C67*(1-((1+F70)/(1+F68))^F69)/(F68-F70),0)</f>
        <v>-45</v>
      </c>
      <c r="D68" s="1187" t="s">
        <v>1469</v>
      </c>
      <c r="E68" s="1172" t="s">
        <v>1470</v>
      </c>
      <c r="F68" s="357">
        <f ca="1">F40</f>
        <v>5.5E-2</v>
      </c>
      <c r="O68" s="1897" t="s">
        <v>1043</v>
      </c>
      <c r="P68" s="1937" t="s">
        <v>1583</v>
      </c>
      <c r="Q68" s="1889">
        <f ca="1">ROUND(Q69-Q70*Q71,0)</f>
        <v>4</v>
      </c>
      <c r="R68" s="1889" t="s">
        <v>1051</v>
      </c>
    </row>
    <row r="69" spans="1:18" s="1845" customFormat="1" ht="13.5" thickBot="1">
      <c r="A69" s="1173"/>
      <c r="B69" s="1174"/>
      <c r="C69" s="351"/>
      <c r="D69" s="1192" t="s">
        <v>1473</v>
      </c>
      <c r="E69" s="1172" t="s">
        <v>1474</v>
      </c>
      <c r="F69" s="379">
        <f ca="1">F41</f>
        <v>32.450000000000003</v>
      </c>
      <c r="O69" s="1897" t="s">
        <v>1048</v>
      </c>
      <c r="P69" s="1937" t="s">
        <v>1584</v>
      </c>
      <c r="Q69" s="1889">
        <f ca="1">C39</f>
        <v>6</v>
      </c>
      <c r="R69" s="1889" t="s">
        <v>1529</v>
      </c>
    </row>
    <row r="70" spans="1:18" s="1845" customFormat="1" ht="13.5" thickBot="1">
      <c r="A70" s="1176"/>
      <c r="B70" s="1177"/>
      <c r="C70" s="355"/>
      <c r="D70" s="1188"/>
      <c r="E70" s="1172" t="s">
        <v>1477</v>
      </c>
      <c r="F70" s="1278"/>
      <c r="O70" s="1897" t="s">
        <v>1049</v>
      </c>
      <c r="P70" s="1937" t="s">
        <v>1585</v>
      </c>
      <c r="Q70" s="1889">
        <f ca="1">C13</f>
        <v>26</v>
      </c>
      <c r="R70" s="1889" t="s">
        <v>1529</v>
      </c>
    </row>
    <row r="71" spans="1:18" s="1845" customFormat="1" ht="13.5" thickBot="1">
      <c r="A71" s="1193" t="s">
        <v>1033</v>
      </c>
      <c r="B71" s="1194" t="s">
        <v>1487</v>
      </c>
      <c r="C71" s="382">
        <f ca="1">ROUND(C68*10000/F71,0)</f>
        <v>-5002</v>
      </c>
      <c r="D71" s="1195" t="s">
        <v>1488</v>
      </c>
      <c r="E71" s="1196" t="s">
        <v>1489</v>
      </c>
      <c r="F71" s="385">
        <f ca="1">F43</f>
        <v>89.959999999999923</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v>
      </c>
      <c r="D75" s="1845"/>
      <c r="E75" s="1845"/>
      <c r="F75" s="1845"/>
      <c r="K75" s="1871"/>
      <c r="L75" s="1845"/>
      <c r="O75" s="1887" t="s">
        <v>1046</v>
      </c>
      <c r="P75" s="1888" t="s">
        <v>1549</v>
      </c>
      <c r="Q75" s="1889">
        <f ca="1">Q65+Q66</f>
        <v>122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0.66700000000000004</v>
      </c>
    </row>
    <row r="80" spans="1:18">
      <c r="B80" s="386" t="s">
        <v>1511</v>
      </c>
      <c r="C80" s="318">
        <f ca="1">ROUND(C75/C39,3)</f>
        <v>0.33300000000000002</v>
      </c>
    </row>
    <row r="81" spans="2:3">
      <c r="B81" s="314" t="s">
        <v>1512</v>
      </c>
      <c r="C81" s="282"/>
    </row>
    <row r="82" spans="2:3">
      <c r="B82" s="317" t="s">
        <v>1513</v>
      </c>
      <c r="C82" s="319">
        <f ca="1">1-C83</f>
        <v>0.78700000000000003</v>
      </c>
    </row>
    <row r="83" spans="2:3">
      <c r="B83" s="317" t="s">
        <v>1514</v>
      </c>
      <c r="C83" s="318">
        <f ca="1">ROUND(C13/C40,3)</f>
        <v>0.21299999999999999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65" t="s">
        <v>2677</v>
      </c>
      <c r="C1" s="1623" t="s">
        <v>2521</v>
      </c>
      <c r="D1" s="1624"/>
      <c r="E1" s="1633"/>
      <c r="F1" s="2582"/>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4"/>
      <c r="D2" s="1368" t="e">
        <f ca="1">SUMIF(INDIRECT("'"&amp;F2&amp;"'"&amp;"!A:A"),"承租人权益价值",INDIRECT("'"&amp;F2&amp;"'"&amp;"!c:c"))</f>
        <v>#REF!</v>
      </c>
      <c r="E2" s="2585" t="s">
        <v>2322</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5274.8599999999988</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215" t="s">
        <v>2637</v>
      </c>
      <c r="D4" s="3228"/>
      <c r="E4" s="3229" t="s">
        <v>2638</v>
      </c>
      <c r="F4" s="3230"/>
      <c r="G4" s="3215" t="s">
        <v>2639</v>
      </c>
      <c r="H4" s="3228"/>
      <c r="I4" s="3215" t="s">
        <v>2640</v>
      </c>
      <c r="J4" s="3228"/>
      <c r="K4" s="610" t="s">
        <v>2641</v>
      </c>
      <c r="L4" s="1133"/>
      <c r="M4" s="1134"/>
      <c r="N4" s="1134"/>
      <c r="O4" s="1134"/>
      <c r="P4" s="3298" t="s">
        <v>2642</v>
      </c>
      <c r="Q4" s="3299"/>
      <c r="R4" s="3302" t="s">
        <v>2638</v>
      </c>
      <c r="S4" s="3303"/>
      <c r="T4" s="3302" t="s">
        <v>2639</v>
      </c>
      <c r="U4" s="3303"/>
      <c r="V4" s="3304" t="s">
        <v>2640</v>
      </c>
      <c r="W4" s="3304"/>
      <c r="X4" s="2666"/>
      <c r="Y4" s="3302" t="s">
        <v>2642</v>
      </c>
      <c r="Z4" s="3303"/>
      <c r="AA4" s="3307" t="s">
        <v>2638</v>
      </c>
      <c r="AB4" s="3307" t="s">
        <v>2639</v>
      </c>
      <c r="AC4" s="3295" t="s">
        <v>2640</v>
      </c>
    </row>
    <row r="5" spans="1:29" ht="15">
      <c r="A5" s="404"/>
      <c r="B5" s="405"/>
      <c r="C5" s="3245" t="s">
        <v>2533</v>
      </c>
      <c r="D5" s="3246"/>
      <c r="E5" s="3253" t="s">
        <v>2534</v>
      </c>
      <c r="F5" s="3254"/>
      <c r="G5" s="3245" t="s">
        <v>2535</v>
      </c>
      <c r="H5" s="3246"/>
      <c r="I5" s="3245" t="s">
        <v>2536</v>
      </c>
      <c r="J5" s="3246"/>
      <c r="K5" s="610"/>
      <c r="L5" s="1133"/>
      <c r="M5" s="1134"/>
      <c r="N5" s="1134"/>
      <c r="O5" s="1134"/>
      <c r="P5" s="3300"/>
      <c r="Q5" s="3234"/>
      <c r="R5" s="3239"/>
      <c r="S5" s="3240"/>
      <c r="T5" s="3239"/>
      <c r="U5" s="3240"/>
      <c r="V5" s="3224"/>
      <c r="W5" s="3224"/>
      <c r="X5" s="1816"/>
      <c r="Y5" s="3239"/>
      <c r="Z5" s="3240"/>
      <c r="AA5" s="3226"/>
      <c r="AB5" s="3226"/>
      <c r="AC5" s="3296"/>
    </row>
    <row r="6" spans="1:29" ht="15.75" thickBot="1">
      <c r="A6" s="406"/>
      <c r="B6" s="407"/>
      <c r="C6" s="3291" t="s">
        <v>2537</v>
      </c>
      <c r="D6" s="3244"/>
      <c r="E6" s="3306" t="s">
        <v>2537</v>
      </c>
      <c r="F6" s="3252"/>
      <c r="G6" s="3291" t="s">
        <v>2537</v>
      </c>
      <c r="H6" s="3244"/>
      <c r="I6" s="3291" t="s">
        <v>2537</v>
      </c>
      <c r="J6" s="3244"/>
      <c r="K6" s="610" t="s">
        <v>2538</v>
      </c>
      <c r="L6" s="1133"/>
      <c r="M6" s="1134"/>
      <c r="N6" s="1134"/>
      <c r="O6" s="1134"/>
      <c r="P6" s="3301"/>
      <c r="Q6" s="3236"/>
      <c r="R6" s="3239"/>
      <c r="S6" s="3240"/>
      <c r="T6" s="3241"/>
      <c r="U6" s="3242"/>
      <c r="V6" s="3224"/>
      <c r="W6" s="3224"/>
      <c r="X6" s="1816"/>
      <c r="Y6" s="3241"/>
      <c r="Z6" s="3242"/>
      <c r="AA6" s="3227"/>
      <c r="AB6" s="3227"/>
      <c r="AC6" s="3297"/>
    </row>
    <row r="7" spans="1:29" s="117" customFormat="1" ht="15.75" thickBot="1">
      <c r="A7" s="408" t="s">
        <v>2539</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5" t="s">
        <v>2540</v>
      </c>
      <c r="Q7" s="3249"/>
      <c r="R7" s="770" t="s">
        <v>17</v>
      </c>
      <c r="S7" s="771">
        <f t="shared" ref="S7:S15" si="0">F7</f>
        <v>0</v>
      </c>
      <c r="T7" s="770" t="s">
        <v>17</v>
      </c>
      <c r="U7" s="771">
        <f t="shared" ref="U7:U15" si="1">H7</f>
        <v>0</v>
      </c>
      <c r="V7" s="770" t="s">
        <v>17</v>
      </c>
      <c r="W7" s="771">
        <f t="shared" ref="W7:W15" si="2">J7</f>
        <v>0</v>
      </c>
      <c r="X7" s="772"/>
      <c r="Y7" s="3247" t="s">
        <v>2540</v>
      </c>
      <c r="Z7" s="3248"/>
      <c r="AA7" s="773" t="e">
        <f>D7/F7</f>
        <v>#DIV/0!</v>
      </c>
      <c r="AB7" s="773" t="e">
        <f>D7/H7</f>
        <v>#DIV/0!</v>
      </c>
      <c r="AC7" s="2667"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5" t="s">
        <v>2543</v>
      </c>
      <c r="Q8" s="3248"/>
      <c r="R8" s="770" t="s">
        <v>17</v>
      </c>
      <c r="S8" s="771">
        <f t="shared" si="0"/>
        <v>0</v>
      </c>
      <c r="T8" s="770" t="s">
        <v>17</v>
      </c>
      <c r="U8" s="771">
        <f t="shared" si="1"/>
        <v>0</v>
      </c>
      <c r="V8" s="770" t="s">
        <v>17</v>
      </c>
      <c r="W8" s="771">
        <f t="shared" si="2"/>
        <v>0</v>
      </c>
      <c r="X8" s="772"/>
      <c r="Y8" s="3247" t="s">
        <v>2543</v>
      </c>
      <c r="Z8" s="3248"/>
      <c r="AA8" s="773" t="e">
        <f t="shared" ref="AA8:AA47" si="3">D8/F8</f>
        <v>#DIV/0!</v>
      </c>
      <c r="AB8" s="773" t="e">
        <f t="shared" ref="AB8:AB47" si="4">D8/H8</f>
        <v>#DIV/0!</v>
      </c>
      <c r="AC8" s="2667"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7" t="s">
        <v>2546</v>
      </c>
      <c r="Q9" s="1798" t="str">
        <f t="shared" ref="Q9:Q15" si="6">B9</f>
        <v>用途</v>
      </c>
      <c r="R9" s="770" t="s">
        <v>17</v>
      </c>
      <c r="S9" s="771">
        <f t="shared" si="0"/>
        <v>100</v>
      </c>
      <c r="T9" s="770" t="s">
        <v>17</v>
      </c>
      <c r="U9" s="771">
        <f t="shared" si="1"/>
        <v>100</v>
      </c>
      <c r="V9" s="770" t="s">
        <v>17</v>
      </c>
      <c r="W9" s="771">
        <f t="shared" si="2"/>
        <v>100</v>
      </c>
      <c r="X9" s="772"/>
      <c r="Y9" s="3066" t="s">
        <v>2547</v>
      </c>
      <c r="Z9" s="55" t="str">
        <f t="shared" ref="Z9:Z15" si="7">Q9</f>
        <v>用途</v>
      </c>
      <c r="AA9" s="773">
        <f t="shared" si="3"/>
        <v>1</v>
      </c>
      <c r="AB9" s="773">
        <f t="shared" si="4"/>
        <v>1</v>
      </c>
      <c r="AC9" s="2667">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2667">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7"/>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2667" t="e">
        <f t="shared" si="5"/>
        <v>#N/A</v>
      </c>
    </row>
    <row r="12" spans="1:29" s="117" customFormat="1" ht="15">
      <c r="A12" s="431"/>
      <c r="B12" s="2597">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217"/>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2667">
        <f>D12/J12</f>
        <v>1</v>
      </c>
    </row>
    <row r="13" spans="1:29" ht="15">
      <c r="A13" s="428"/>
      <c r="B13" s="2597">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217"/>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2667">
        <f t="shared" si="5"/>
        <v>1</v>
      </c>
    </row>
    <row r="14" spans="1:29" ht="15.75" thickBot="1">
      <c r="A14" s="436"/>
      <c r="B14" s="2599">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217"/>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2667">
        <f t="shared" si="5"/>
        <v>1</v>
      </c>
    </row>
    <row r="15" spans="1:29" ht="15">
      <c r="A15" s="440" t="s">
        <v>2550</v>
      </c>
      <c r="B15" s="629" t="s">
        <v>2678</v>
      </c>
      <c r="C15" s="266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8" t="s">
        <v>2551</v>
      </c>
      <c r="Q15" s="1813" t="str">
        <f t="shared" si="6"/>
        <v>办公集聚程度</v>
      </c>
      <c r="R15" s="774" t="s">
        <v>17</v>
      </c>
      <c r="S15" s="775">
        <f t="shared" si="0"/>
        <v>100</v>
      </c>
      <c r="T15" s="774" t="s">
        <v>17</v>
      </c>
      <c r="U15" s="775">
        <f t="shared" si="1"/>
        <v>100</v>
      </c>
      <c r="V15" s="774" t="s">
        <v>17</v>
      </c>
      <c r="W15" s="775">
        <f t="shared" si="2"/>
        <v>100</v>
      </c>
      <c r="X15" s="1816"/>
      <c r="Y15" s="3220" t="s">
        <v>2551</v>
      </c>
      <c r="Z15" s="1817" t="str">
        <f t="shared" si="7"/>
        <v>办公集聚程度</v>
      </c>
      <c r="AA15" s="1814">
        <f t="shared" si="3"/>
        <v>1</v>
      </c>
      <c r="AB15" s="1814">
        <f t="shared" si="4"/>
        <v>1</v>
      </c>
      <c r="AC15" s="2670">
        <f t="shared" si="5"/>
        <v>1</v>
      </c>
    </row>
    <row r="16" spans="1:29" ht="15">
      <c r="A16" s="428"/>
      <c r="B16" s="630"/>
      <c r="C16" s="2608"/>
      <c r="D16" s="448"/>
      <c r="E16" s="447"/>
      <c r="F16" s="448"/>
      <c r="G16" s="2608"/>
      <c r="H16" s="450"/>
      <c r="I16" s="447"/>
      <c r="J16" s="448"/>
      <c r="K16" s="615"/>
      <c r="L16" s="1143"/>
      <c r="M16" s="1134"/>
      <c r="N16" s="1134"/>
      <c r="O16" s="1134"/>
      <c r="P16" s="3289"/>
      <c r="Q16" s="1813"/>
      <c r="R16" s="774"/>
      <c r="S16" s="775"/>
      <c r="T16" s="774"/>
      <c r="U16" s="775"/>
      <c r="V16" s="774"/>
      <c r="W16" s="775"/>
      <c r="X16" s="1816"/>
      <c r="Y16" s="3221"/>
      <c r="Z16" s="1817"/>
      <c r="AA16" s="1814">
        <v>1</v>
      </c>
      <c r="AB16" s="1814">
        <v>1</v>
      </c>
      <c r="AC16" s="2670">
        <v>1</v>
      </c>
    </row>
    <row r="17" spans="1:29" ht="99.75">
      <c r="A17" s="428"/>
      <c r="B17" s="631" t="s">
        <v>2090</v>
      </c>
      <c r="C17" s="2671" t="str">
        <f>估价对象房地状况!C6</f>
        <v>估价对象周边路网较密集，公共交通通达情况较好、停车便捷程度较好，有27路、44路等公交车，综合评价交通便捷度较好。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9"/>
      <c r="Q17" s="1813" t="str">
        <f>B17</f>
        <v>交通便捷度</v>
      </c>
      <c r="R17" s="774" t="s">
        <v>17</v>
      </c>
      <c r="S17" s="775">
        <f>F17</f>
        <v>100</v>
      </c>
      <c r="T17" s="774" t="s">
        <v>17</v>
      </c>
      <c r="U17" s="775">
        <f>H17</f>
        <v>100</v>
      </c>
      <c r="V17" s="774" t="s">
        <v>17</v>
      </c>
      <c r="W17" s="775">
        <f>J17</f>
        <v>100</v>
      </c>
      <c r="X17" s="1816"/>
      <c r="Y17" s="3221"/>
      <c r="Z17" s="1817" t="str">
        <f>Q17</f>
        <v>交通便捷度</v>
      </c>
      <c r="AA17" s="1814">
        <f t="shared" si="3"/>
        <v>1</v>
      </c>
      <c r="AB17" s="1814">
        <f t="shared" si="4"/>
        <v>1</v>
      </c>
      <c r="AC17" s="2670">
        <f t="shared" si="5"/>
        <v>1</v>
      </c>
    </row>
    <row r="18" spans="1:29" ht="15">
      <c r="A18" s="428"/>
      <c r="B18" s="632"/>
      <c r="C18" s="2672"/>
      <c r="D18" s="450"/>
      <c r="E18" s="2606"/>
      <c r="F18" s="450"/>
      <c r="G18" s="2607"/>
      <c r="H18" s="448"/>
      <c r="I18" s="2607"/>
      <c r="J18" s="448"/>
      <c r="K18" s="615"/>
      <c r="L18" s="1143"/>
      <c r="M18" s="1134"/>
      <c r="N18" s="1134"/>
      <c r="O18" s="1134"/>
      <c r="P18" s="3289"/>
      <c r="Q18" s="1813"/>
      <c r="R18" s="774"/>
      <c r="S18" s="775"/>
      <c r="T18" s="774"/>
      <c r="U18" s="775"/>
      <c r="V18" s="774"/>
      <c r="W18" s="775"/>
      <c r="X18" s="1816"/>
      <c r="Y18" s="3221"/>
      <c r="Z18" s="1817"/>
      <c r="AA18" s="1814">
        <v>1</v>
      </c>
      <c r="AB18" s="1814">
        <v>1</v>
      </c>
      <c r="AC18" s="2670">
        <v>1</v>
      </c>
    </row>
    <row r="19" spans="1:29" ht="156.75">
      <c r="A19" s="428"/>
      <c r="B19" s="631" t="s">
        <v>2679</v>
      </c>
      <c r="C19" s="2671" t="str">
        <f>估价对象房地状况!C7</f>
        <v>估价对象所在区域2公里范围内有：银行（中国银行、河南汴京农村商业银行），购物（大宏万达广场、和润超市），学校（二师附小、金明实验中学）等，无医院，公共配套设施齐备情况一般。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9"/>
      <c r="Q19" s="1813" t="str">
        <f>B19</f>
        <v>公共配套设施</v>
      </c>
      <c r="R19" s="774" t="s">
        <v>17</v>
      </c>
      <c r="S19" s="775">
        <f>F19</f>
        <v>100</v>
      </c>
      <c r="T19" s="774" t="s">
        <v>17</v>
      </c>
      <c r="U19" s="775">
        <f>H19</f>
        <v>100</v>
      </c>
      <c r="V19" s="774" t="s">
        <v>17</v>
      </c>
      <c r="W19" s="775">
        <f>J19</f>
        <v>100</v>
      </c>
      <c r="X19" s="1816"/>
      <c r="Y19" s="3221"/>
      <c r="Z19" s="1817" t="str">
        <f>Q19</f>
        <v>公共配套设施</v>
      </c>
      <c r="AA19" s="1814">
        <f t="shared" si="3"/>
        <v>1</v>
      </c>
      <c r="AB19" s="1814">
        <f t="shared" si="4"/>
        <v>1</v>
      </c>
      <c r="AC19" s="2670">
        <f t="shared" si="5"/>
        <v>1</v>
      </c>
    </row>
    <row r="20" spans="1:29" ht="15">
      <c r="A20" s="428"/>
      <c r="B20" s="632"/>
      <c r="C20" s="2608"/>
      <c r="D20" s="448"/>
      <c r="E20" s="2601"/>
      <c r="F20" s="448"/>
      <c r="G20" s="2602"/>
      <c r="H20" s="448"/>
      <c r="I20" s="2602"/>
      <c r="J20" s="448"/>
      <c r="K20" s="615"/>
      <c r="L20" s="1143"/>
      <c r="M20" s="1134"/>
      <c r="N20" s="1134"/>
      <c r="O20" s="1134"/>
      <c r="P20" s="3289"/>
      <c r="Q20" s="1813"/>
      <c r="R20" s="774"/>
      <c r="S20" s="775"/>
      <c r="T20" s="774"/>
      <c r="U20" s="775"/>
      <c r="V20" s="774"/>
      <c r="W20" s="775"/>
      <c r="X20" s="1816"/>
      <c r="Y20" s="3221"/>
      <c r="Z20" s="1817"/>
      <c r="AA20" s="1814">
        <v>1</v>
      </c>
      <c r="AB20" s="1814">
        <v>1</v>
      </c>
      <c r="AC20" s="2670">
        <v>1</v>
      </c>
    </row>
    <row r="21" spans="1:29" ht="42.75">
      <c r="A21" s="428"/>
      <c r="B21" s="633" t="s">
        <v>2680</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9"/>
      <c r="Q21" s="1813" t="str">
        <f>B21</f>
        <v>基础设施水平</v>
      </c>
      <c r="R21" s="774" t="s">
        <v>17</v>
      </c>
      <c r="S21" s="775">
        <f>F21</f>
        <v>100</v>
      </c>
      <c r="T21" s="774" t="s">
        <v>17</v>
      </c>
      <c r="U21" s="775">
        <f>H21</f>
        <v>100</v>
      </c>
      <c r="V21" s="774" t="s">
        <v>17</v>
      </c>
      <c r="W21" s="775">
        <f>J21</f>
        <v>100</v>
      </c>
      <c r="X21" s="1816"/>
      <c r="Y21" s="3221"/>
      <c r="Z21" s="1817" t="str">
        <f>Q21</f>
        <v>基础设施水平</v>
      </c>
      <c r="AA21" s="1814">
        <f t="shared" ref="AA21" si="8">D21/F21</f>
        <v>1</v>
      </c>
      <c r="AB21" s="1814">
        <f t="shared" ref="AB21" si="9">D21/H21</f>
        <v>1</v>
      </c>
      <c r="AC21" s="2670">
        <f t="shared" ref="AC21" si="10">D21/J21</f>
        <v>1</v>
      </c>
    </row>
    <row r="22" spans="1:29" ht="15">
      <c r="A22" s="428"/>
      <c r="B22" s="633"/>
      <c r="C22" s="2672"/>
      <c r="D22" s="448"/>
      <c r="E22" s="447"/>
      <c r="F22" s="448"/>
      <c r="G22" s="2608"/>
      <c r="H22" s="448"/>
      <c r="I22" s="2608"/>
      <c r="J22" s="448"/>
      <c r="K22" s="1386"/>
      <c r="L22" s="1143"/>
      <c r="M22" s="1134"/>
      <c r="N22" s="1134"/>
      <c r="O22" s="1134"/>
      <c r="P22" s="3289"/>
      <c r="Q22" s="1813"/>
      <c r="R22" s="774"/>
      <c r="S22" s="775"/>
      <c r="T22" s="774"/>
      <c r="U22" s="775"/>
      <c r="V22" s="774"/>
      <c r="W22" s="775"/>
      <c r="X22" s="1816"/>
      <c r="Y22" s="3221"/>
      <c r="Z22" s="1817"/>
      <c r="AA22" s="1814">
        <v>1</v>
      </c>
      <c r="AB22" s="1814">
        <v>1</v>
      </c>
      <c r="AC22" s="2670">
        <v>1</v>
      </c>
    </row>
    <row r="23" spans="1:29" ht="114">
      <c r="A23" s="428"/>
      <c r="B23" s="631" t="s">
        <v>2681</v>
      </c>
      <c r="C23" s="2671" t="str">
        <f>估价对象房地状况!C9</f>
        <v>区域自然环境：有大型绿化景观，有中意湖等自然景观；人文环境：开封市博物馆、开封市规划展示馆；综合评价环境状况较好。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9"/>
      <c r="Q23" s="1813" t="str">
        <f>B23</f>
        <v>环境质量</v>
      </c>
      <c r="R23" s="774" t="s">
        <v>17</v>
      </c>
      <c r="S23" s="775">
        <f>F23</f>
        <v>100</v>
      </c>
      <c r="T23" s="774" t="s">
        <v>17</v>
      </c>
      <c r="U23" s="775">
        <f>H23</f>
        <v>100</v>
      </c>
      <c r="V23" s="774" t="s">
        <v>17</v>
      </c>
      <c r="W23" s="775">
        <f>J23</f>
        <v>100</v>
      </c>
      <c r="X23" s="1816"/>
      <c r="Y23" s="3221"/>
      <c r="Z23" s="1817" t="str">
        <f>Q23</f>
        <v>环境质量</v>
      </c>
      <c r="AA23" s="1814">
        <f t="shared" si="3"/>
        <v>1</v>
      </c>
      <c r="AB23" s="1814">
        <f t="shared" si="4"/>
        <v>1</v>
      </c>
      <c r="AC23" s="2670">
        <f t="shared" si="5"/>
        <v>1</v>
      </c>
    </row>
    <row r="24" spans="1:29" ht="15">
      <c r="A24" s="428"/>
      <c r="B24" s="633"/>
      <c r="C24" s="2608"/>
      <c r="D24" s="448"/>
      <c r="E24" s="2601"/>
      <c r="F24" s="448"/>
      <c r="G24" s="2602"/>
      <c r="H24" s="448"/>
      <c r="I24" s="2602"/>
      <c r="J24" s="448"/>
      <c r="K24" s="615"/>
      <c r="L24" s="1143"/>
      <c r="M24" s="1134"/>
      <c r="N24" s="1134"/>
      <c r="O24" s="1134"/>
      <c r="P24" s="3289"/>
      <c r="Q24" s="1813"/>
      <c r="R24" s="774"/>
      <c r="S24" s="775"/>
      <c r="T24" s="774"/>
      <c r="U24" s="775"/>
      <c r="V24" s="774"/>
      <c r="W24" s="775"/>
      <c r="X24" s="1816"/>
      <c r="Y24" s="3221"/>
      <c r="Z24" s="1817"/>
      <c r="AA24" s="1814">
        <v>1</v>
      </c>
      <c r="AB24" s="1814">
        <v>1</v>
      </c>
      <c r="AC24" s="2670">
        <v>1</v>
      </c>
    </row>
    <row r="25" spans="1:29" ht="27">
      <c r="A25" s="404"/>
      <c r="B25" s="631" t="s">
        <v>2682</v>
      </c>
      <c r="C25" s="2612"/>
      <c r="D25" s="435">
        <v>100</v>
      </c>
      <c r="E25" s="434"/>
      <c r="F25" s="435">
        <f>SUMIF(87:87,E26,88:88)-SUMIF(87:87,C26,88:88)+100</f>
        <v>100</v>
      </c>
      <c r="G25" s="2612"/>
      <c r="H25" s="435">
        <f>SUMIF(87:87,G26,88:88)-SUMIF(87:87,C26,88:88)+100</f>
        <v>100</v>
      </c>
      <c r="I25" s="434"/>
      <c r="J25" s="435">
        <f>SUMIF(87:87,I26,88:88)-SUMIF(87:87,C26,88:88)+100</f>
        <v>100</v>
      </c>
      <c r="K25" s="614"/>
      <c r="L25" s="1143"/>
      <c r="M25" s="1134"/>
      <c r="N25" s="1134"/>
      <c r="O25" s="1134"/>
      <c r="P25" s="3289"/>
      <c r="Q25" s="1813" t="str">
        <f>B25</f>
        <v>毗邻道路的类型与等级</v>
      </c>
      <c r="R25" s="774" t="s">
        <v>17</v>
      </c>
      <c r="S25" s="775">
        <f>F25</f>
        <v>100</v>
      </c>
      <c r="T25" s="774" t="s">
        <v>17</v>
      </c>
      <c r="U25" s="775">
        <f>H25</f>
        <v>100</v>
      </c>
      <c r="V25" s="774" t="s">
        <v>17</v>
      </c>
      <c r="W25" s="775">
        <f>J25</f>
        <v>100</v>
      </c>
      <c r="X25" s="1816"/>
      <c r="Y25" s="3221"/>
      <c r="Z25" s="1817" t="str">
        <f>Q25</f>
        <v>毗邻道路的类型与等级</v>
      </c>
      <c r="AA25" s="1814">
        <f t="shared" si="3"/>
        <v>1</v>
      </c>
      <c r="AB25" s="1814">
        <f t="shared" si="4"/>
        <v>1</v>
      </c>
      <c r="AC25" s="2670">
        <f t="shared" si="5"/>
        <v>1</v>
      </c>
    </row>
    <row r="26" spans="1:29" ht="15">
      <c r="A26" s="404"/>
      <c r="B26" s="632"/>
      <c r="C26" s="634"/>
      <c r="D26" s="435"/>
      <c r="E26" s="616"/>
      <c r="F26" s="435"/>
      <c r="G26" s="634"/>
      <c r="H26" s="435"/>
      <c r="I26" s="616"/>
      <c r="J26" s="435"/>
      <c r="K26" s="615"/>
      <c r="L26" s="1143"/>
      <c r="M26" s="1134"/>
      <c r="N26" s="1134"/>
      <c r="O26" s="1134"/>
      <c r="P26" s="3289"/>
      <c r="Q26" s="1813"/>
      <c r="R26" s="774"/>
      <c r="S26" s="775"/>
      <c r="T26" s="774"/>
      <c r="U26" s="775"/>
      <c r="V26" s="774"/>
      <c r="W26" s="775"/>
      <c r="X26" s="1816"/>
      <c r="Y26" s="3221"/>
      <c r="Z26" s="1817"/>
      <c r="AA26" s="1814">
        <v>1</v>
      </c>
      <c r="AB26" s="1814">
        <v>1</v>
      </c>
      <c r="AC26" s="2670">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9"/>
      <c r="Q27" s="1813" t="str">
        <f t="shared" ref="Q27:Q47" si="11">B27</f>
        <v>楼层</v>
      </c>
      <c r="R27" s="774" t="s">
        <v>17</v>
      </c>
      <c r="S27" s="775">
        <f>F27</f>
        <v>100</v>
      </c>
      <c r="T27" s="774" t="s">
        <v>17</v>
      </c>
      <c r="U27" s="775">
        <f>H27</f>
        <v>100</v>
      </c>
      <c r="V27" s="774" t="s">
        <v>17</v>
      </c>
      <c r="W27" s="775">
        <f>J27</f>
        <v>100</v>
      </c>
      <c r="X27" s="1816"/>
      <c r="Y27" s="3221"/>
      <c r="Z27" s="1817" t="str">
        <f>Q27</f>
        <v>楼层</v>
      </c>
      <c r="AA27" s="1814">
        <f t="shared" si="3"/>
        <v>1</v>
      </c>
      <c r="AB27" s="1814">
        <f t="shared" si="4"/>
        <v>1</v>
      </c>
      <c r="AC27" s="2670">
        <f t="shared" si="5"/>
        <v>1</v>
      </c>
    </row>
    <row r="28" spans="1:29" s="117" customFormat="1" ht="15">
      <c r="A28" s="431"/>
      <c r="B28" s="631" t="s">
        <v>2683</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89"/>
      <c r="Q28" s="1798" t="str">
        <f t="shared" si="11"/>
        <v>朝向</v>
      </c>
      <c r="R28" s="770" t="s">
        <v>17</v>
      </c>
      <c r="S28" s="771">
        <f>F28</f>
        <v>100</v>
      </c>
      <c r="T28" s="770" t="s">
        <v>17</v>
      </c>
      <c r="U28" s="771">
        <f>H28</f>
        <v>100</v>
      </c>
      <c r="V28" s="770" t="s">
        <v>17</v>
      </c>
      <c r="W28" s="771">
        <f>J28</f>
        <v>100</v>
      </c>
      <c r="X28" s="772"/>
      <c r="Y28" s="3221"/>
      <c r="Z28" s="55" t="str">
        <f>Q28</f>
        <v>朝向</v>
      </c>
      <c r="AA28" s="1814">
        <f>D28/F28</f>
        <v>1</v>
      </c>
      <c r="AB28" s="1814">
        <f>D28/H28</f>
        <v>1</v>
      </c>
      <c r="AC28" s="2670">
        <f>D28/J28</f>
        <v>1</v>
      </c>
    </row>
    <row r="29" spans="1:29" ht="15">
      <c r="A29" s="428"/>
      <c r="B29" s="2674">
        <v>111</v>
      </c>
      <c r="C29" s="2612"/>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89"/>
      <c r="Q29" s="1813">
        <f t="shared" si="11"/>
        <v>111</v>
      </c>
      <c r="R29" s="774" t="s">
        <v>17</v>
      </c>
      <c r="S29" s="775">
        <f t="shared" ref="S29:S47" si="12">F29</f>
        <v>100</v>
      </c>
      <c r="T29" s="774" t="s">
        <v>17</v>
      </c>
      <c r="U29" s="775">
        <f t="shared" ref="U29:U47" si="13">H29</f>
        <v>100</v>
      </c>
      <c r="V29" s="774" t="s">
        <v>17</v>
      </c>
      <c r="W29" s="775">
        <f t="shared" ref="W29:W47" si="14">J29</f>
        <v>100</v>
      </c>
      <c r="X29" s="1816"/>
      <c r="Y29" s="3221"/>
      <c r="Z29" s="1817">
        <f t="shared" ref="Z29:Z47" si="15">Q29</f>
        <v>111</v>
      </c>
      <c r="AA29" s="1814">
        <f t="shared" si="3"/>
        <v>1</v>
      </c>
      <c r="AB29" s="1814">
        <f t="shared" si="4"/>
        <v>1</v>
      </c>
      <c r="AC29" s="2670">
        <f t="shared" si="5"/>
        <v>1</v>
      </c>
    </row>
    <row r="30" spans="1:29" ht="15">
      <c r="A30" s="428"/>
      <c r="B30" s="2674">
        <v>111</v>
      </c>
      <c r="C30" s="2612"/>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89"/>
      <c r="Q30" s="1813">
        <f t="shared" si="11"/>
        <v>111</v>
      </c>
      <c r="R30" s="774" t="s">
        <v>17</v>
      </c>
      <c r="S30" s="775">
        <f t="shared" si="12"/>
        <v>100</v>
      </c>
      <c r="T30" s="774" t="s">
        <v>17</v>
      </c>
      <c r="U30" s="775">
        <f t="shared" si="13"/>
        <v>100</v>
      </c>
      <c r="V30" s="774" t="s">
        <v>17</v>
      </c>
      <c r="W30" s="775">
        <f t="shared" si="14"/>
        <v>100</v>
      </c>
      <c r="X30" s="1816"/>
      <c r="Y30" s="3221"/>
      <c r="Z30" s="1817">
        <f t="shared" si="15"/>
        <v>111</v>
      </c>
      <c r="AA30" s="1814">
        <f t="shared" si="3"/>
        <v>1</v>
      </c>
      <c r="AB30" s="1814">
        <f t="shared" si="4"/>
        <v>1</v>
      </c>
      <c r="AC30" s="2670">
        <f t="shared" si="5"/>
        <v>1</v>
      </c>
    </row>
    <row r="31" spans="1:29" ht="15">
      <c r="A31" s="428"/>
      <c r="B31" s="2674">
        <v>111</v>
      </c>
      <c r="C31" s="2612"/>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89"/>
      <c r="Q31" s="1813">
        <f t="shared" si="11"/>
        <v>111</v>
      </c>
      <c r="R31" s="774" t="s">
        <v>17</v>
      </c>
      <c r="S31" s="775">
        <f t="shared" si="12"/>
        <v>100</v>
      </c>
      <c r="T31" s="774" t="s">
        <v>17</v>
      </c>
      <c r="U31" s="775">
        <f t="shared" si="13"/>
        <v>100</v>
      </c>
      <c r="V31" s="774" t="s">
        <v>17</v>
      </c>
      <c r="W31" s="775">
        <f t="shared" si="14"/>
        <v>100</v>
      </c>
      <c r="X31" s="1816"/>
      <c r="Y31" s="3221"/>
      <c r="Z31" s="1817">
        <f t="shared" si="15"/>
        <v>111</v>
      </c>
      <c r="AA31" s="1814">
        <f t="shared" si="3"/>
        <v>1</v>
      </c>
      <c r="AB31" s="1814">
        <f t="shared" si="4"/>
        <v>1</v>
      </c>
      <c r="AC31" s="2670">
        <f t="shared" si="5"/>
        <v>1</v>
      </c>
    </row>
    <row r="32" spans="1:29" ht="15.75" thickBot="1">
      <c r="A32" s="436"/>
      <c r="B32" s="635">
        <v>111</v>
      </c>
      <c r="C32" s="2613"/>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89"/>
      <c r="Q32" s="1813">
        <f t="shared" si="11"/>
        <v>111</v>
      </c>
      <c r="R32" s="774" t="s">
        <v>17</v>
      </c>
      <c r="S32" s="775">
        <f t="shared" si="12"/>
        <v>100</v>
      </c>
      <c r="T32" s="774" t="s">
        <v>17</v>
      </c>
      <c r="U32" s="775">
        <f t="shared" si="13"/>
        <v>100</v>
      </c>
      <c r="V32" s="774" t="s">
        <v>17</v>
      </c>
      <c r="W32" s="775">
        <f t="shared" si="14"/>
        <v>100</v>
      </c>
      <c r="X32" s="1816"/>
      <c r="Y32" s="3221"/>
      <c r="Z32" s="1817">
        <f t="shared" si="15"/>
        <v>111</v>
      </c>
      <c r="AA32" s="1814">
        <f t="shared" si="3"/>
        <v>1</v>
      </c>
      <c r="AB32" s="1814">
        <f t="shared" si="4"/>
        <v>1</v>
      </c>
      <c r="AC32" s="2670">
        <f t="shared" si="5"/>
        <v>1</v>
      </c>
    </row>
    <row r="33" spans="1:29" ht="15">
      <c r="A33" s="440" t="s">
        <v>2554</v>
      </c>
      <c r="B33" s="71" t="s">
        <v>2684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84" t="s">
        <v>2556</v>
      </c>
      <c r="Q33" s="1813" t="str">
        <f t="shared" si="11"/>
        <v>建筑类型</v>
      </c>
      <c r="R33" s="774" t="s">
        <v>17</v>
      </c>
      <c r="S33" s="775">
        <f t="shared" si="12"/>
        <v>100</v>
      </c>
      <c r="T33" s="774" t="s">
        <v>17</v>
      </c>
      <c r="U33" s="775">
        <f t="shared" si="13"/>
        <v>100</v>
      </c>
      <c r="V33" s="774" t="s">
        <v>17</v>
      </c>
      <c r="W33" s="775">
        <f t="shared" si="14"/>
        <v>100</v>
      </c>
      <c r="X33" s="1816"/>
      <c r="Y33" s="3223" t="s">
        <v>2556</v>
      </c>
      <c r="Z33" s="1817" t="str">
        <f t="shared" si="15"/>
        <v>建筑类型</v>
      </c>
      <c r="AA33" s="1814">
        <f t="shared" si="3"/>
        <v>1</v>
      </c>
      <c r="AB33" s="1814">
        <f t="shared" si="4"/>
        <v>1</v>
      </c>
      <c r="AC33" s="2670">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5"/>
      <c r="Q34" s="776" t="str">
        <f t="shared" si="11"/>
        <v>项目建筑规模</v>
      </c>
      <c r="R34" s="777" t="s">
        <v>17</v>
      </c>
      <c r="S34" s="778" t="e">
        <f t="shared" si="12"/>
        <v>#N/A</v>
      </c>
      <c r="T34" s="777" t="s">
        <v>17</v>
      </c>
      <c r="U34" s="778" t="e">
        <f t="shared" si="13"/>
        <v>#N/A</v>
      </c>
      <c r="V34" s="777" t="s">
        <v>17</v>
      </c>
      <c r="W34" s="778" t="e">
        <f t="shared" si="14"/>
        <v>#N/A</v>
      </c>
      <c r="X34" s="779"/>
      <c r="Y34" s="3223"/>
      <c r="Z34" s="780" t="str">
        <f t="shared" si="15"/>
        <v>项目建筑规模</v>
      </c>
      <c r="AA34" s="1814" t="e">
        <f t="shared" si="3"/>
        <v>#N/A</v>
      </c>
      <c r="AB34" s="1814" t="e">
        <f t="shared" si="4"/>
        <v>#N/A</v>
      </c>
      <c r="AC34" s="2670"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5"/>
      <c r="Q35" s="1813" t="str">
        <f t="shared" si="11"/>
        <v>建筑结构</v>
      </c>
      <c r="R35" s="774" t="s">
        <v>17</v>
      </c>
      <c r="S35" s="775">
        <f t="shared" si="12"/>
        <v>100</v>
      </c>
      <c r="T35" s="774" t="s">
        <v>17</v>
      </c>
      <c r="U35" s="775">
        <f t="shared" si="13"/>
        <v>100</v>
      </c>
      <c r="V35" s="774" t="s">
        <v>17</v>
      </c>
      <c r="W35" s="775">
        <f t="shared" si="14"/>
        <v>100</v>
      </c>
      <c r="X35" s="1816"/>
      <c r="Y35" s="3223"/>
      <c r="Z35" s="1817" t="str">
        <f t="shared" si="15"/>
        <v>建筑结构</v>
      </c>
      <c r="AA35" s="1814">
        <f t="shared" si="3"/>
        <v>1</v>
      </c>
      <c r="AB35" s="1814">
        <f t="shared" si="4"/>
        <v>1</v>
      </c>
      <c r="AC35" s="2670">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5"/>
      <c r="Q36" s="1813" t="str">
        <f t="shared" si="11"/>
        <v>公共部分装修</v>
      </c>
      <c r="R36" s="774" t="s">
        <v>17</v>
      </c>
      <c r="S36" s="775">
        <f t="shared" si="12"/>
        <v>100</v>
      </c>
      <c r="T36" s="774" t="s">
        <v>17</v>
      </c>
      <c r="U36" s="775">
        <f t="shared" si="13"/>
        <v>100</v>
      </c>
      <c r="V36" s="774" t="s">
        <v>17</v>
      </c>
      <c r="W36" s="775">
        <f t="shared" si="14"/>
        <v>100</v>
      </c>
      <c r="X36" s="1816"/>
      <c r="Y36" s="3223"/>
      <c r="Z36" s="1817" t="str">
        <f t="shared" si="15"/>
        <v>公共部分装修</v>
      </c>
      <c r="AA36" s="1814">
        <f t="shared" si="3"/>
        <v>1</v>
      </c>
      <c r="AB36" s="1814">
        <f t="shared" si="4"/>
        <v>1</v>
      </c>
      <c r="AC36" s="2670">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5"/>
      <c r="Q37" s="1813" t="str">
        <f t="shared" si="11"/>
        <v>成新度</v>
      </c>
      <c r="R37" s="774" t="s">
        <v>17</v>
      </c>
      <c r="S37" s="775" t="e">
        <f t="shared" si="12"/>
        <v>#N/A</v>
      </c>
      <c r="T37" s="774" t="s">
        <v>17</v>
      </c>
      <c r="U37" s="775" t="e">
        <f t="shared" si="13"/>
        <v>#N/A</v>
      </c>
      <c r="V37" s="774" t="s">
        <v>17</v>
      </c>
      <c r="W37" s="775" t="e">
        <f t="shared" si="14"/>
        <v>#N/A</v>
      </c>
      <c r="X37" s="1816"/>
      <c r="Y37" s="3223"/>
      <c r="Z37" s="1817" t="str">
        <f t="shared" si="15"/>
        <v>成新度</v>
      </c>
      <c r="AA37" s="1814" t="e">
        <f t="shared" si="3"/>
        <v>#N/A</v>
      </c>
      <c r="AB37" s="1814" t="e">
        <f t="shared" si="4"/>
        <v>#N/A</v>
      </c>
      <c r="AC37" s="2670"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5"/>
      <c r="Q38" s="1798"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67">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5" t="s">
        <v>2556</v>
      </c>
      <c r="Q39" s="1813" t="str">
        <f t="shared" si="11"/>
        <v>物业管理</v>
      </c>
      <c r="R39" s="774" t="s">
        <v>17</v>
      </c>
      <c r="S39" s="775">
        <f t="shared" si="12"/>
        <v>100</v>
      </c>
      <c r="T39" s="774" t="s">
        <v>17</v>
      </c>
      <c r="U39" s="775">
        <f t="shared" si="13"/>
        <v>100</v>
      </c>
      <c r="V39" s="774" t="s">
        <v>17</v>
      </c>
      <c r="W39" s="775">
        <f t="shared" si="14"/>
        <v>100</v>
      </c>
      <c r="X39" s="1816"/>
      <c r="Y39" s="3223" t="s">
        <v>2556</v>
      </c>
      <c r="Z39" s="1817" t="str">
        <f t="shared" si="15"/>
        <v>物业管理</v>
      </c>
      <c r="AA39" s="1814">
        <f t="shared" si="3"/>
        <v>1</v>
      </c>
      <c r="AB39" s="1814">
        <f t="shared" si="4"/>
        <v>1</v>
      </c>
      <c r="AC39" s="2670">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5"/>
      <c r="Q40" s="1813" t="str">
        <f t="shared" si="11"/>
        <v>市政基础设施</v>
      </c>
      <c r="R40" s="774" t="s">
        <v>17</v>
      </c>
      <c r="S40" s="775">
        <f t="shared" si="12"/>
        <v>100</v>
      </c>
      <c r="T40" s="774" t="s">
        <v>17</v>
      </c>
      <c r="U40" s="775">
        <f t="shared" si="13"/>
        <v>100</v>
      </c>
      <c r="V40" s="774" t="s">
        <v>17</v>
      </c>
      <c r="W40" s="775">
        <f t="shared" si="14"/>
        <v>100</v>
      </c>
      <c r="X40" s="1816"/>
      <c r="Y40" s="3223"/>
      <c r="Z40" s="1817" t="str">
        <f t="shared" si="15"/>
        <v>市政基础设施</v>
      </c>
      <c r="AA40" s="1814">
        <f t="shared" si="3"/>
        <v>1</v>
      </c>
      <c r="AB40" s="1814">
        <f t="shared" si="4"/>
        <v>1</v>
      </c>
      <c r="AC40" s="2670">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5"/>
      <c r="Q41" s="1813" t="str">
        <f t="shared" si="11"/>
        <v>层高</v>
      </c>
      <c r="R41" s="774" t="s">
        <v>17</v>
      </c>
      <c r="S41" s="775">
        <f t="shared" si="12"/>
        <v>100</v>
      </c>
      <c r="T41" s="774" t="s">
        <v>17</v>
      </c>
      <c r="U41" s="775">
        <f t="shared" si="13"/>
        <v>100</v>
      </c>
      <c r="V41" s="774" t="s">
        <v>17</v>
      </c>
      <c r="W41" s="775">
        <f t="shared" si="14"/>
        <v>100</v>
      </c>
      <c r="X41" s="1816"/>
      <c r="Y41" s="3223"/>
      <c r="Z41" s="1817" t="str">
        <f t="shared" si="15"/>
        <v>层高</v>
      </c>
      <c r="AA41" s="1814">
        <f t="shared" si="3"/>
        <v>1</v>
      </c>
      <c r="AB41" s="1814">
        <f t="shared" si="4"/>
        <v>1</v>
      </c>
      <c r="AC41" s="2670">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5"/>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14">
        <f t="shared" si="3"/>
        <v>1</v>
      </c>
      <c r="AB42" s="1814">
        <f t="shared" si="4"/>
        <v>1</v>
      </c>
      <c r="AC42" s="2670">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5"/>
      <c r="Q43" s="1813" t="str">
        <f t="shared" si="11"/>
        <v>内部装修</v>
      </c>
      <c r="R43" s="774" t="s">
        <v>17</v>
      </c>
      <c r="S43" s="775">
        <f t="shared" si="12"/>
        <v>100</v>
      </c>
      <c r="T43" s="774" t="s">
        <v>17</v>
      </c>
      <c r="U43" s="775">
        <f t="shared" si="13"/>
        <v>100</v>
      </c>
      <c r="V43" s="774" t="s">
        <v>17</v>
      </c>
      <c r="W43" s="775">
        <f t="shared" si="14"/>
        <v>100</v>
      </c>
      <c r="X43" s="1816"/>
      <c r="Y43" s="3223"/>
      <c r="Z43" s="1817" t="str">
        <f t="shared" si="15"/>
        <v>内部装修</v>
      </c>
      <c r="AA43" s="1814">
        <f t="shared" si="3"/>
        <v>1</v>
      </c>
      <c r="AB43" s="1814">
        <f t="shared" si="4"/>
        <v>1</v>
      </c>
      <c r="AC43" s="2670">
        <f t="shared" si="5"/>
        <v>1</v>
      </c>
    </row>
    <row r="44" spans="1:29" ht="15">
      <c r="A44" s="472"/>
      <c r="B44" s="422" t="s">
        <v>2567</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3"/>
      <c r="M44" s="1134"/>
      <c r="N44" s="1134"/>
      <c r="O44" s="1134"/>
      <c r="P44" s="3285"/>
      <c r="Q44" s="1813" t="str">
        <f t="shared" si="11"/>
        <v>内部装修维护情况</v>
      </c>
      <c r="R44" s="774" t="s">
        <v>17</v>
      </c>
      <c r="S44" s="775">
        <f t="shared" si="12"/>
        <v>100</v>
      </c>
      <c r="T44" s="774" t="s">
        <v>17</v>
      </c>
      <c r="U44" s="775">
        <f t="shared" si="13"/>
        <v>100</v>
      </c>
      <c r="V44" s="774" t="s">
        <v>17</v>
      </c>
      <c r="W44" s="775">
        <f t="shared" si="14"/>
        <v>100</v>
      </c>
      <c r="X44" s="1816"/>
      <c r="Y44" s="3223"/>
      <c r="Z44" s="1817" t="str">
        <f t="shared" si="15"/>
        <v>内部装修维护情况</v>
      </c>
      <c r="AA44" s="1814">
        <f t="shared" si="3"/>
        <v>1</v>
      </c>
      <c r="AB44" s="1814">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5"/>
      <c r="Q45" s="1798">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5"/>
      <c r="Q46" s="1813">
        <f t="shared" si="11"/>
        <v>111</v>
      </c>
      <c r="R46" s="774" t="s">
        <v>17</v>
      </c>
      <c r="S46" s="775">
        <f t="shared" si="12"/>
        <v>100</v>
      </c>
      <c r="T46" s="774" t="s">
        <v>17</v>
      </c>
      <c r="U46" s="775">
        <f t="shared" si="13"/>
        <v>100</v>
      </c>
      <c r="V46" s="774" t="s">
        <v>17</v>
      </c>
      <c r="W46" s="775">
        <f t="shared" si="14"/>
        <v>100</v>
      </c>
      <c r="X46" s="1816"/>
      <c r="Y46" s="3223"/>
      <c r="Z46" s="1817">
        <f t="shared" si="15"/>
        <v>111</v>
      </c>
      <c r="AA46" s="1814">
        <f t="shared" si="3"/>
        <v>1</v>
      </c>
      <c r="AB46" s="1814">
        <f t="shared" si="4"/>
        <v>1</v>
      </c>
      <c r="AC46" s="2670">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6"/>
      <c r="Q47" s="1813">
        <f t="shared" si="11"/>
        <v>111</v>
      </c>
      <c r="R47" s="774" t="s">
        <v>17</v>
      </c>
      <c r="S47" s="775">
        <f t="shared" si="12"/>
        <v>100</v>
      </c>
      <c r="T47" s="774" t="s">
        <v>17</v>
      </c>
      <c r="U47" s="775">
        <f t="shared" si="13"/>
        <v>100</v>
      </c>
      <c r="V47" s="774" t="s">
        <v>17</v>
      </c>
      <c r="W47" s="775">
        <f t="shared" si="14"/>
        <v>100</v>
      </c>
      <c r="X47" s="1816"/>
      <c r="Y47" s="3287"/>
      <c r="Z47" s="1817">
        <f t="shared" si="15"/>
        <v>111</v>
      </c>
      <c r="AA47" s="1814">
        <f t="shared" si="3"/>
        <v>1</v>
      </c>
      <c r="AB47" s="1814">
        <f t="shared" si="4"/>
        <v>1</v>
      </c>
      <c r="AC47" s="2670">
        <f t="shared" si="5"/>
        <v>1</v>
      </c>
    </row>
    <row r="48" spans="1:29" ht="15">
      <c r="A48" s="479" t="s">
        <v>2568</v>
      </c>
      <c r="B48" s="480"/>
      <c r="C48" s="1410" t="s">
        <v>1</v>
      </c>
      <c r="D48" s="1411"/>
      <c r="E48" s="1412"/>
      <c r="F48" s="1413"/>
      <c r="G48" s="1414"/>
      <c r="H48" s="1415"/>
      <c r="I48" s="1412"/>
      <c r="J48" s="485"/>
      <c r="K48" s="783"/>
      <c r="L48" s="1146"/>
      <c r="M48" s="1134"/>
      <c r="N48" s="1134"/>
      <c r="O48" s="1134"/>
      <c r="P48" s="3217" t="str">
        <f>A48</f>
        <v>成交单价（元/平方米）</v>
      </c>
      <c r="Q48" s="3218"/>
      <c r="R48" s="3283">
        <f>E48</f>
        <v>0</v>
      </c>
      <c r="S48" s="3283"/>
      <c r="T48" s="3283">
        <f>G48</f>
        <v>0</v>
      </c>
      <c r="U48" s="3283"/>
      <c r="V48" s="3283">
        <f>I48</f>
        <v>0</v>
      </c>
      <c r="W48" s="3283"/>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17" t="str">
        <f>A49</f>
        <v>比较价值（元/平方米）</v>
      </c>
      <c r="Q49" s="3218"/>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92" t="str">
        <f>A50</f>
        <v>估价对象XX用房的比较价值（楼面单价，元/平方米）</v>
      </c>
      <c r="Q50" s="3293"/>
      <c r="R50" s="3294" t="e">
        <f>IF(F1="售价",ROUND(AVERAGE(R49:V49),0),ROUND(AVERAGE(R49:V49),1))</f>
        <v>#DIV/0!</v>
      </c>
      <c r="S50" s="3294"/>
      <c r="T50" s="3294"/>
      <c r="U50" s="3294"/>
      <c r="V50" s="3294"/>
      <c r="W50" s="3294"/>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77"/>
      <c r="Q58" s="504"/>
    </row>
    <row r="59" spans="1:29" s="508" customFormat="1" ht="15">
      <c r="A59" s="505" t="s">
        <v>2539</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78"/>
    </row>
    <row r="61" spans="1:29" s="117" customFormat="1" ht="15.75" thickBot="1">
      <c r="A61" s="515" t="s">
        <v>2576</v>
      </c>
      <c r="B61" s="516"/>
      <c r="C61" s="517"/>
      <c r="D61" s="518"/>
      <c r="E61" s="518"/>
      <c r="F61" s="518"/>
      <c r="G61" s="518"/>
      <c r="H61" s="518"/>
      <c r="I61" s="518"/>
      <c r="J61" s="518"/>
      <c r="K61" s="518"/>
      <c r="L61" s="518"/>
      <c r="M61" s="519"/>
      <c r="N61" s="518"/>
      <c r="O61" s="519"/>
      <c r="P61" s="2678"/>
      <c r="Q61" s="504"/>
    </row>
    <row r="62" spans="1:29" s="117" customFormat="1" ht="15">
      <c r="A62" s="521" t="s">
        <v>2541</v>
      </c>
      <c r="B62" s="510"/>
      <c r="C62" s="522" t="s">
        <v>2643</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2579</v>
      </c>
      <c r="B64" s="528" t="s">
        <v>2545</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2690</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2554</v>
      </c>
      <c r="B101" s="528" t="s">
        <v>2603</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2605</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2607</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2608</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2609</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2692</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2611</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65" t="s">
        <v>2693</v>
      </c>
      <c r="C1" s="1623" t="s">
        <v>2521</v>
      </c>
      <c r="D1" s="1624"/>
      <c r="E1" s="1633"/>
      <c r="F1" s="2582"/>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4"/>
      <c r="D2" s="1127" t="e">
        <f ca="1">SUMIF(INDIRECT("'"&amp;F2&amp;"'"&amp;"!A:A"),"承租人权益价值",INDIRECT("'"&amp;F2&amp;"'"&amp;"!c:c"))</f>
        <v>#REF!</v>
      </c>
      <c r="E2" s="2585" t="s">
        <v>2322</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5274.8599999999988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15" t="s">
        <v>2637</v>
      </c>
      <c r="D4" s="3228"/>
      <c r="E4" s="3229" t="s">
        <v>2638</v>
      </c>
      <c r="F4" s="3230"/>
      <c r="G4" s="3215" t="s">
        <v>2639</v>
      </c>
      <c r="H4" s="3228"/>
      <c r="I4" s="3215" t="s">
        <v>2640</v>
      </c>
      <c r="J4" s="3228"/>
      <c r="K4" s="610" t="s">
        <v>2641</v>
      </c>
      <c r="L4" s="1133"/>
      <c r="M4" s="1134"/>
      <c r="N4" s="1134"/>
      <c r="O4" s="1134"/>
      <c r="P4" s="3231" t="s">
        <v>2642</v>
      </c>
      <c r="Q4" s="3232"/>
      <c r="R4" s="3237" t="s">
        <v>2638</v>
      </c>
      <c r="S4" s="3238"/>
      <c r="T4" s="3237" t="s">
        <v>2639</v>
      </c>
      <c r="U4" s="3238"/>
      <c r="V4" s="3224" t="s">
        <v>2640</v>
      </c>
      <c r="W4" s="3224"/>
      <c r="X4" s="1816"/>
      <c r="Y4" s="3237" t="s">
        <v>2642</v>
      </c>
      <c r="Z4" s="3238"/>
      <c r="AA4" s="3225" t="s">
        <v>2638</v>
      </c>
      <c r="AB4" s="3226" t="s">
        <v>2639</v>
      </c>
      <c r="AC4" s="3225" t="s">
        <v>2640</v>
      </c>
    </row>
    <row r="5" spans="1:29" ht="15">
      <c r="A5" s="404"/>
      <c r="B5" s="405"/>
      <c r="C5" s="3245" t="s">
        <v>2533</v>
      </c>
      <c r="D5" s="3246"/>
      <c r="E5" s="3253" t="s">
        <v>2534</v>
      </c>
      <c r="F5" s="3254"/>
      <c r="G5" s="3245" t="s">
        <v>2535</v>
      </c>
      <c r="H5" s="3246"/>
      <c r="I5" s="3245" t="s">
        <v>2536</v>
      </c>
      <c r="J5" s="3246"/>
      <c r="K5" s="610"/>
      <c r="L5" s="1133"/>
      <c r="M5" s="1134"/>
      <c r="N5" s="1134"/>
      <c r="O5" s="1134"/>
      <c r="P5" s="3233"/>
      <c r="Q5" s="3234"/>
      <c r="R5" s="3239"/>
      <c r="S5" s="3240"/>
      <c r="T5" s="3239"/>
      <c r="U5" s="3240"/>
      <c r="V5" s="3224"/>
      <c r="W5" s="3224"/>
      <c r="X5" s="1816"/>
      <c r="Y5" s="3239"/>
      <c r="Z5" s="3240"/>
      <c r="AA5" s="3226"/>
      <c r="AB5" s="3226"/>
      <c r="AC5" s="3226"/>
    </row>
    <row r="6" spans="1:29" ht="15.75" thickBot="1">
      <c r="A6" s="406"/>
      <c r="B6" s="407"/>
      <c r="C6" s="3291" t="s">
        <v>2537</v>
      </c>
      <c r="D6" s="3244"/>
      <c r="E6" s="3306" t="s">
        <v>2537</v>
      </c>
      <c r="F6" s="3252"/>
      <c r="G6" s="3291" t="s">
        <v>2537</v>
      </c>
      <c r="H6" s="3244"/>
      <c r="I6" s="3291" t="s">
        <v>2537</v>
      </c>
      <c r="J6" s="3244"/>
      <c r="K6" s="610" t="s">
        <v>2538</v>
      </c>
      <c r="L6" s="1133"/>
      <c r="M6" s="1134"/>
      <c r="N6" s="1134"/>
      <c r="O6" s="1134"/>
      <c r="P6" s="3235"/>
      <c r="Q6" s="3236"/>
      <c r="R6" s="3239"/>
      <c r="S6" s="3240"/>
      <c r="T6" s="3241"/>
      <c r="U6" s="3242"/>
      <c r="V6" s="3224"/>
      <c r="W6" s="3224"/>
      <c r="X6" s="1816"/>
      <c r="Y6" s="3241"/>
      <c r="Z6" s="3242"/>
      <c r="AA6" s="3227"/>
      <c r="AB6" s="3227"/>
      <c r="AC6" s="3227"/>
    </row>
    <row r="7" spans="1:29" s="117" customFormat="1" ht="15.75" thickBot="1">
      <c r="A7" s="408" t="s">
        <v>2539</v>
      </c>
      <c r="B7" s="409"/>
      <c r="C7" s="410">
        <f>'数据-取费表'!B2</f>
        <v>43307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7" t="s">
        <v>2540</v>
      </c>
      <c r="Q7" s="3249"/>
      <c r="R7" s="770" t="s">
        <v>17</v>
      </c>
      <c r="S7" s="771">
        <f t="shared" ref="S7:S15" si="0">F7</f>
        <v>0</v>
      </c>
      <c r="T7" s="770" t="s">
        <v>17</v>
      </c>
      <c r="U7" s="771">
        <f t="shared" ref="U7:U15" si="1">H7</f>
        <v>0</v>
      </c>
      <c r="V7" s="770" t="s">
        <v>17</v>
      </c>
      <c r="W7" s="771">
        <f t="shared" ref="W7:W15" si="2">J7</f>
        <v>0</v>
      </c>
      <c r="X7" s="772"/>
      <c r="Y7" s="3247" t="s">
        <v>2540</v>
      </c>
      <c r="Z7" s="324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7" t="s">
        <v>2543</v>
      </c>
      <c r="Q8" s="3248"/>
      <c r="R8" s="770" t="s">
        <v>17</v>
      </c>
      <c r="S8" s="771">
        <f t="shared" si="0"/>
        <v>0</v>
      </c>
      <c r="T8" s="770" t="s">
        <v>17</v>
      </c>
      <c r="U8" s="771">
        <f t="shared" si="1"/>
        <v>0</v>
      </c>
      <c r="V8" s="770" t="s">
        <v>17</v>
      </c>
      <c r="W8" s="771">
        <f t="shared" si="2"/>
        <v>0</v>
      </c>
      <c r="X8" s="772"/>
      <c r="Y8" s="3247" t="s">
        <v>2543</v>
      </c>
      <c r="Z8" s="324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8" t="s">
        <v>2546</v>
      </c>
      <c r="Q9" s="1798" t="str">
        <f t="shared" ref="Q9:Q15" si="6">B9</f>
        <v>用途</v>
      </c>
      <c r="R9" s="770" t="s">
        <v>17</v>
      </c>
      <c r="S9" s="771">
        <f t="shared" si="0"/>
        <v>100</v>
      </c>
      <c r="T9" s="770" t="s">
        <v>17</v>
      </c>
      <c r="U9" s="771">
        <f t="shared" si="1"/>
        <v>100</v>
      </c>
      <c r="V9" s="770" t="s">
        <v>17</v>
      </c>
      <c r="W9" s="771">
        <f t="shared" si="2"/>
        <v>100</v>
      </c>
      <c r="X9" s="772"/>
      <c r="Y9" s="306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8"/>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8"/>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218"/>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218"/>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218"/>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2550</v>
      </c>
      <c r="B15" s="69" t="s">
        <v>2694</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0" t="s">
        <v>2551</v>
      </c>
      <c r="Q15" s="1813" t="str">
        <f t="shared" si="6"/>
        <v>产业集聚程度</v>
      </c>
      <c r="R15" s="774" t="s">
        <v>17</v>
      </c>
      <c r="S15" s="775">
        <f t="shared" si="0"/>
        <v>100</v>
      </c>
      <c r="T15" s="774" t="s">
        <v>17</v>
      </c>
      <c r="U15" s="775">
        <f t="shared" si="1"/>
        <v>100</v>
      </c>
      <c r="V15" s="774" t="s">
        <v>17</v>
      </c>
      <c r="W15" s="775">
        <f t="shared" si="2"/>
        <v>100</v>
      </c>
      <c r="X15" s="1816"/>
      <c r="Y15" s="3220"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1"/>
      <c r="Q16" s="1813"/>
      <c r="R16" s="774"/>
      <c r="S16" s="775"/>
      <c r="T16" s="774"/>
      <c r="U16" s="775"/>
      <c r="V16" s="774"/>
      <c r="W16" s="775"/>
      <c r="X16" s="1816"/>
      <c r="Y16" s="3221"/>
      <c r="Z16" s="1817"/>
      <c r="AA16" s="1814">
        <v>1</v>
      </c>
      <c r="AB16" s="1814">
        <v>1</v>
      </c>
      <c r="AC16" s="1814">
        <v>1</v>
      </c>
    </row>
    <row r="17" spans="1:29" ht="85.5">
      <c r="A17" s="428"/>
      <c r="B17" s="451" t="s">
        <v>2090</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1"/>
      <c r="Q17" s="1813" t="str">
        <f>B17</f>
        <v>交通便捷度</v>
      </c>
      <c r="R17" s="774" t="s">
        <v>17</v>
      </c>
      <c r="S17" s="775">
        <f>F17</f>
        <v>100</v>
      </c>
      <c r="T17" s="774" t="s">
        <v>17</v>
      </c>
      <c r="U17" s="775">
        <f>H17</f>
        <v>100</v>
      </c>
      <c r="V17" s="774" t="s">
        <v>17</v>
      </c>
      <c r="W17" s="775">
        <f>J17</f>
        <v>100</v>
      </c>
      <c r="X17" s="1816"/>
      <c r="Y17" s="3221"/>
      <c r="Z17" s="1817" t="str">
        <f>Q17</f>
        <v>交通便捷度</v>
      </c>
      <c r="AA17" s="1814">
        <f t="shared" si="3"/>
        <v>1</v>
      </c>
      <c r="AB17" s="1814">
        <f t="shared" si="4"/>
        <v>1</v>
      </c>
      <c r="AC17" s="1814">
        <f t="shared" si="5"/>
        <v>1</v>
      </c>
    </row>
    <row r="18" spans="1:29" ht="15">
      <c r="A18" s="428"/>
      <c r="B18" s="456"/>
      <c r="C18" s="2605"/>
      <c r="D18" s="450"/>
      <c r="E18" s="2607"/>
      <c r="F18" s="453"/>
      <c r="G18" s="2606"/>
      <c r="H18" s="448"/>
      <c r="I18" s="2607"/>
      <c r="J18" s="448"/>
      <c r="K18" s="615"/>
      <c r="L18" s="1143"/>
      <c r="M18" s="1134"/>
      <c r="N18" s="1134"/>
      <c r="O18" s="1142"/>
      <c r="P18" s="3221"/>
      <c r="Q18" s="1813"/>
      <c r="R18" s="774"/>
      <c r="S18" s="775"/>
      <c r="T18" s="774"/>
      <c r="U18" s="775"/>
      <c r="V18" s="774"/>
      <c r="W18" s="775"/>
      <c r="X18" s="1816"/>
      <c r="Y18" s="3221"/>
      <c r="Z18" s="1817"/>
      <c r="AA18" s="1814">
        <v>1</v>
      </c>
      <c r="AB18" s="1814">
        <v>1</v>
      </c>
      <c r="AC18" s="1814">
        <v>1</v>
      </c>
    </row>
    <row r="19" spans="1:29" ht="42.75">
      <c r="A19" s="428"/>
      <c r="B19" s="451" t="s">
        <v>2679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1"/>
      <c r="Q19" s="1813" t="str">
        <f>B19</f>
        <v>公共配套设施</v>
      </c>
      <c r="R19" s="774" t="s">
        <v>17</v>
      </c>
      <c r="S19" s="775">
        <f>F19</f>
        <v>100</v>
      </c>
      <c r="T19" s="774" t="s">
        <v>17</v>
      </c>
      <c r="U19" s="775">
        <f>H19</f>
        <v>100</v>
      </c>
      <c r="V19" s="774" t="s">
        <v>17</v>
      </c>
      <c r="W19" s="775">
        <f>J19</f>
        <v>100</v>
      </c>
      <c r="X19" s="1816"/>
      <c r="Y19" s="3221"/>
      <c r="Z19" s="1817" t="str">
        <f>Q19</f>
        <v>公共配套设施</v>
      </c>
      <c r="AA19" s="1814">
        <f t="shared" si="3"/>
        <v>1</v>
      </c>
      <c r="AB19" s="1814">
        <f t="shared" si="4"/>
        <v>1</v>
      </c>
      <c r="AC19" s="1814">
        <f t="shared" si="5"/>
        <v>1</v>
      </c>
    </row>
    <row r="20" spans="1:29" ht="15">
      <c r="A20" s="428"/>
      <c r="B20" s="456"/>
      <c r="C20" s="447"/>
      <c r="D20" s="448"/>
      <c r="E20" s="2602"/>
      <c r="F20" s="449"/>
      <c r="G20" s="2601"/>
      <c r="H20" s="448"/>
      <c r="I20" s="2602"/>
      <c r="J20" s="448"/>
      <c r="K20" s="615"/>
      <c r="L20" s="1143"/>
      <c r="M20" s="1134"/>
      <c r="N20" s="1134"/>
      <c r="O20" s="1142"/>
      <c r="P20" s="3221"/>
      <c r="Q20" s="1813"/>
      <c r="R20" s="774"/>
      <c r="S20" s="775"/>
      <c r="T20" s="774"/>
      <c r="U20" s="775"/>
      <c r="V20" s="774"/>
      <c r="W20" s="775"/>
      <c r="X20" s="1816"/>
      <c r="Y20" s="3221"/>
      <c r="Z20" s="1817"/>
      <c r="AA20" s="1814">
        <v>1</v>
      </c>
      <c r="AB20" s="1814">
        <v>1</v>
      </c>
      <c r="AC20" s="1814">
        <v>1</v>
      </c>
    </row>
    <row r="21" spans="1:29" ht="28.5">
      <c r="A21" s="428"/>
      <c r="B21" s="1387" t="s">
        <v>2680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1"/>
      <c r="Q21" s="1813" t="str">
        <f>B21</f>
        <v>基础设施水平</v>
      </c>
      <c r="R21" s="774" t="s">
        <v>17</v>
      </c>
      <c r="S21" s="775">
        <f>F21</f>
        <v>100</v>
      </c>
      <c r="T21" s="774" t="s">
        <v>17</v>
      </c>
      <c r="U21" s="775">
        <f>H21</f>
        <v>100</v>
      </c>
      <c r="V21" s="774" t="s">
        <v>17</v>
      </c>
      <c r="W21" s="775">
        <f>J21</f>
        <v>100</v>
      </c>
      <c r="X21" s="1816"/>
      <c r="Y21" s="3221"/>
      <c r="Z21" s="1817" t="str">
        <f>Q21</f>
        <v>基础设施水平</v>
      </c>
      <c r="AA21" s="1814">
        <f t="shared" ref="AA21" si="8">D21/F21</f>
        <v>1</v>
      </c>
      <c r="AB21" s="1814">
        <f t="shared" ref="AB21" si="9">D21/H21</f>
        <v>1</v>
      </c>
      <c r="AC21" s="1814">
        <f t="shared" ref="AC21" si="10">D21/J21</f>
        <v>1</v>
      </c>
    </row>
    <row r="22" spans="1:29" ht="15">
      <c r="A22" s="428"/>
      <c r="B22" s="1387"/>
      <c r="C22" s="2605"/>
      <c r="D22" s="448"/>
      <c r="E22" s="447"/>
      <c r="F22" s="449"/>
      <c r="G22" s="447"/>
      <c r="H22" s="448"/>
      <c r="I22" s="447"/>
      <c r="J22" s="448"/>
      <c r="K22" s="1386"/>
      <c r="L22" s="1143"/>
      <c r="M22" s="1134"/>
      <c r="N22" s="1134"/>
      <c r="O22" s="1142"/>
      <c r="P22" s="3221"/>
      <c r="Q22" s="1813"/>
      <c r="R22" s="774"/>
      <c r="S22" s="775"/>
      <c r="T22" s="774"/>
      <c r="U22" s="775"/>
      <c r="V22" s="774"/>
      <c r="W22" s="775"/>
      <c r="X22" s="1816"/>
      <c r="Y22" s="3221"/>
      <c r="Z22" s="1817"/>
      <c r="AA22" s="1814">
        <v>1</v>
      </c>
      <c r="AB22" s="1814">
        <v>1</v>
      </c>
      <c r="AC22" s="1814">
        <v>1</v>
      </c>
    </row>
    <row r="23" spans="1:29" ht="71.25">
      <c r="A23" s="428"/>
      <c r="B23" s="451" t="s">
        <v>2681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1"/>
      <c r="Q23" s="1813" t="str">
        <f>B23</f>
        <v>环境质量</v>
      </c>
      <c r="R23" s="774" t="s">
        <v>17</v>
      </c>
      <c r="S23" s="775">
        <f>F23</f>
        <v>100</v>
      </c>
      <c r="T23" s="774" t="s">
        <v>17</v>
      </c>
      <c r="U23" s="775">
        <f>H23</f>
        <v>100</v>
      </c>
      <c r="V23" s="774" t="s">
        <v>17</v>
      </c>
      <c r="W23" s="775">
        <f>J23</f>
        <v>100</v>
      </c>
      <c r="X23" s="1816"/>
      <c r="Y23" s="3221"/>
      <c r="Z23" s="1817" t="str">
        <f>Q23</f>
        <v>环境质量</v>
      </c>
      <c r="AA23" s="1814">
        <f t="shared" si="3"/>
        <v>1</v>
      </c>
      <c r="AB23" s="1814">
        <f t="shared" si="4"/>
        <v>1</v>
      </c>
      <c r="AC23" s="1814">
        <f t="shared" si="5"/>
        <v>1</v>
      </c>
    </row>
    <row r="24" spans="1:29" ht="15">
      <c r="A24" s="428"/>
      <c r="B24" s="1387"/>
      <c r="C24" s="447"/>
      <c r="D24" s="448"/>
      <c r="E24" s="2602"/>
      <c r="F24" s="449"/>
      <c r="G24" s="2601"/>
      <c r="H24" s="448"/>
      <c r="I24" s="2602"/>
      <c r="J24" s="448"/>
      <c r="K24" s="615"/>
      <c r="L24" s="1143"/>
      <c r="M24" s="1134"/>
      <c r="N24" s="1134"/>
      <c r="O24" s="1142"/>
      <c r="P24" s="3221"/>
      <c r="Q24" s="1813"/>
      <c r="R24" s="774"/>
      <c r="S24" s="775"/>
      <c r="T24" s="774"/>
      <c r="U24" s="775"/>
      <c r="V24" s="774"/>
      <c r="W24" s="775"/>
      <c r="X24" s="1816"/>
      <c r="Y24" s="322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1"/>
      <c r="Q25" s="1813">
        <f>B25</f>
        <v>111</v>
      </c>
      <c r="R25" s="774" t="s">
        <v>17</v>
      </c>
      <c r="S25" s="775">
        <f>F25</f>
        <v>100</v>
      </c>
      <c r="T25" s="774" t="s">
        <v>17</v>
      </c>
      <c r="U25" s="775">
        <f>H25</f>
        <v>100</v>
      </c>
      <c r="V25" s="774" t="s">
        <v>17</v>
      </c>
      <c r="W25" s="775">
        <f>J25</f>
        <v>100</v>
      </c>
      <c r="X25" s="1816"/>
      <c r="Y25" s="322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1"/>
      <c r="Q26" s="1813">
        <f t="shared" ref="Q26:Q40" si="11">B26</f>
        <v>111</v>
      </c>
      <c r="R26" s="774" t="s">
        <v>17</v>
      </c>
      <c r="S26" s="775">
        <f>F26</f>
        <v>100</v>
      </c>
      <c r="T26" s="774" t="s">
        <v>17</v>
      </c>
      <c r="U26" s="775">
        <f>H26</f>
        <v>100</v>
      </c>
      <c r="V26" s="774" t="s">
        <v>17</v>
      </c>
      <c r="W26" s="775">
        <f>J26</f>
        <v>100</v>
      </c>
      <c r="X26" s="1816"/>
      <c r="Y26" s="322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1"/>
      <c r="Q27" s="1798">
        <f t="shared" si="11"/>
        <v>111</v>
      </c>
      <c r="R27" s="770" t="s">
        <v>17</v>
      </c>
      <c r="S27" s="771">
        <f>F27</f>
        <v>100</v>
      </c>
      <c r="T27" s="770" t="s">
        <v>17</v>
      </c>
      <c r="U27" s="771">
        <f>H27</f>
        <v>100</v>
      </c>
      <c r="V27" s="770" t="s">
        <v>17</v>
      </c>
      <c r="W27" s="771">
        <f>J27</f>
        <v>100</v>
      </c>
      <c r="X27" s="772"/>
      <c r="Y27" s="322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1"/>
      <c r="Q28" s="1813">
        <f t="shared" si="11"/>
        <v>111</v>
      </c>
      <c r="R28" s="774" t="s">
        <v>17</v>
      </c>
      <c r="S28" s="775">
        <f t="shared" ref="S28:S40" si="12">F28</f>
        <v>100</v>
      </c>
      <c r="T28" s="774" t="s">
        <v>17</v>
      </c>
      <c r="U28" s="775">
        <f t="shared" ref="U28:U40" si="13">H28</f>
        <v>100</v>
      </c>
      <c r="V28" s="774" t="s">
        <v>17</v>
      </c>
      <c r="W28" s="775">
        <f t="shared" ref="W28:W40" si="14">J28</f>
        <v>100</v>
      </c>
      <c r="X28" s="1816"/>
      <c r="Y28" s="3221"/>
      <c r="Z28" s="1817">
        <f t="shared" ref="Z28:Z40" si="15">Q28</f>
        <v>111</v>
      </c>
      <c r="AA28" s="1814">
        <f t="shared" si="3"/>
        <v>1</v>
      </c>
      <c r="AB28" s="1814">
        <f t="shared" si="4"/>
        <v>1</v>
      </c>
      <c r="AC28" s="1814">
        <f t="shared" si="5"/>
        <v>1</v>
      </c>
    </row>
    <row r="29" spans="1:29" ht="15">
      <c r="A29" s="466" t="s">
        <v>2554</v>
      </c>
      <c r="B29" s="71" t="s">
        <v>2684</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222" t="s">
        <v>2556</v>
      </c>
      <c r="Q29" s="1813" t="str">
        <f t="shared" si="11"/>
        <v>建筑类型</v>
      </c>
      <c r="R29" s="774" t="s">
        <v>17</v>
      </c>
      <c r="S29" s="775">
        <f t="shared" si="12"/>
        <v>100</v>
      </c>
      <c r="T29" s="774" t="s">
        <v>17</v>
      </c>
      <c r="U29" s="775">
        <f t="shared" si="13"/>
        <v>100</v>
      </c>
      <c r="V29" s="774" t="s">
        <v>17</v>
      </c>
      <c r="W29" s="775">
        <f t="shared" si="14"/>
        <v>100</v>
      </c>
      <c r="X29" s="1816"/>
      <c r="Y29" s="3223"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3"/>
      <c r="Q31" s="1813" t="str">
        <f t="shared" si="11"/>
        <v>建筑结构</v>
      </c>
      <c r="R31" s="774" t="s">
        <v>17</v>
      </c>
      <c r="S31" s="775">
        <f t="shared" si="12"/>
        <v>100</v>
      </c>
      <c r="T31" s="774" t="s">
        <v>17</v>
      </c>
      <c r="U31" s="775">
        <f t="shared" si="13"/>
        <v>100</v>
      </c>
      <c r="V31" s="774" t="s">
        <v>17</v>
      </c>
      <c r="W31" s="775">
        <f t="shared" si="14"/>
        <v>100</v>
      </c>
      <c r="X31" s="1816"/>
      <c r="Y31" s="3223"/>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3"/>
      <c r="Q32" s="1813" t="str">
        <f t="shared" si="11"/>
        <v>公共部分装修</v>
      </c>
      <c r="R32" s="774" t="s">
        <v>17</v>
      </c>
      <c r="S32" s="775">
        <f t="shared" si="12"/>
        <v>100</v>
      </c>
      <c r="T32" s="774" t="s">
        <v>17</v>
      </c>
      <c r="U32" s="775">
        <f t="shared" si="13"/>
        <v>100</v>
      </c>
      <c r="V32" s="774" t="s">
        <v>17</v>
      </c>
      <c r="W32" s="775">
        <f t="shared" si="14"/>
        <v>100</v>
      </c>
      <c r="X32" s="1816"/>
      <c r="Y32" s="3223"/>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3"/>
      <c r="Q33" s="1813" t="str">
        <f t="shared" si="11"/>
        <v>成新度</v>
      </c>
      <c r="R33" s="774" t="s">
        <v>17</v>
      </c>
      <c r="S33" s="775" t="e">
        <f t="shared" si="12"/>
        <v>#N/A</v>
      </c>
      <c r="T33" s="774" t="s">
        <v>17</v>
      </c>
      <c r="U33" s="775" t="e">
        <f t="shared" si="13"/>
        <v>#N/A</v>
      </c>
      <c r="V33" s="774" t="s">
        <v>17</v>
      </c>
      <c r="W33" s="775" t="e">
        <f t="shared" si="14"/>
        <v>#N/A</v>
      </c>
      <c r="X33" s="1816"/>
      <c r="Y33" s="3223"/>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3"/>
      <c r="Q34" s="1798"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3" t="s">
        <v>2556</v>
      </c>
      <c r="Q35" s="1813" t="str">
        <f t="shared" si="11"/>
        <v>市政基础设施</v>
      </c>
      <c r="R35" s="774" t="s">
        <v>17</v>
      </c>
      <c r="S35" s="775">
        <f t="shared" si="12"/>
        <v>100</v>
      </c>
      <c r="T35" s="774" t="s">
        <v>17</v>
      </c>
      <c r="U35" s="775">
        <f t="shared" si="13"/>
        <v>100</v>
      </c>
      <c r="V35" s="774" t="s">
        <v>17</v>
      </c>
      <c r="W35" s="775">
        <f t="shared" si="14"/>
        <v>100</v>
      </c>
      <c r="X35" s="1816"/>
      <c r="Y35" s="3223"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3"/>
      <c r="Q36" s="1813" t="str">
        <f t="shared" si="11"/>
        <v>内部装修</v>
      </c>
      <c r="R36" s="774" t="s">
        <v>17</v>
      </c>
      <c r="S36" s="775">
        <f t="shared" si="12"/>
        <v>100</v>
      </c>
      <c r="T36" s="774" t="s">
        <v>17</v>
      </c>
      <c r="U36" s="775">
        <f t="shared" si="13"/>
        <v>100</v>
      </c>
      <c r="V36" s="774" t="s">
        <v>17</v>
      </c>
      <c r="W36" s="775">
        <f t="shared" si="14"/>
        <v>100</v>
      </c>
      <c r="X36" s="1816"/>
      <c r="Y36" s="3223"/>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3"/>
      <c r="Q37" s="1813" t="str">
        <f t="shared" si="11"/>
        <v>内部装修状况</v>
      </c>
      <c r="R37" s="774" t="s">
        <v>17</v>
      </c>
      <c r="S37" s="775">
        <f t="shared" si="12"/>
        <v>100</v>
      </c>
      <c r="T37" s="774" t="s">
        <v>17</v>
      </c>
      <c r="U37" s="775">
        <f t="shared" si="13"/>
        <v>100</v>
      </c>
      <c r="V37" s="774" t="s">
        <v>17</v>
      </c>
      <c r="W37" s="775">
        <f t="shared" si="14"/>
        <v>100</v>
      </c>
      <c r="X37" s="1816"/>
      <c r="Y37" s="322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3"/>
      <c r="Q39" s="1813">
        <f t="shared" si="11"/>
        <v>111</v>
      </c>
      <c r="R39" s="774" t="s">
        <v>17</v>
      </c>
      <c r="S39" s="775">
        <f t="shared" si="12"/>
        <v>100</v>
      </c>
      <c r="T39" s="774" t="s">
        <v>17</v>
      </c>
      <c r="U39" s="775">
        <f t="shared" si="13"/>
        <v>100</v>
      </c>
      <c r="V39" s="774" t="s">
        <v>17</v>
      </c>
      <c r="W39" s="775">
        <f t="shared" si="14"/>
        <v>100</v>
      </c>
      <c r="X39" s="1816"/>
      <c r="Y39" s="3223"/>
      <c r="Z39" s="1817">
        <f t="shared" si="15"/>
        <v>111</v>
      </c>
      <c r="AA39" s="1814">
        <f t="shared" si="3"/>
        <v>1</v>
      </c>
      <c r="AB39" s="1814">
        <f t="shared" si="4"/>
        <v>1</v>
      </c>
      <c r="AC39" s="1814">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7"/>
      <c r="Q40" s="1813">
        <f t="shared" si="11"/>
        <v>111</v>
      </c>
      <c r="R40" s="774" t="s">
        <v>17</v>
      </c>
      <c r="S40" s="775">
        <f t="shared" si="12"/>
        <v>100</v>
      </c>
      <c r="T40" s="774" t="s">
        <v>17</v>
      </c>
      <c r="U40" s="775">
        <f t="shared" si="13"/>
        <v>100</v>
      </c>
      <c r="V40" s="774" t="s">
        <v>17</v>
      </c>
      <c r="W40" s="775">
        <f t="shared" si="14"/>
        <v>100</v>
      </c>
      <c r="X40" s="1816"/>
      <c r="Y40" s="3287"/>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218" t="str">
        <f>A41</f>
        <v>成交单价（元/平方米）</v>
      </c>
      <c r="Q41" s="3218"/>
      <c r="R41" s="3283">
        <f>E41</f>
        <v>0</v>
      </c>
      <c r="S41" s="3283"/>
      <c r="T41" s="3283">
        <f>G41</f>
        <v>0</v>
      </c>
      <c r="U41" s="3283"/>
      <c r="V41" s="3283">
        <f>I41</f>
        <v>0</v>
      </c>
      <c r="W41" s="3283"/>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218" t="str">
        <f>A42</f>
        <v>比较价值（元/平方米）</v>
      </c>
      <c r="Q42" s="3218"/>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212" t="str">
        <f>A43</f>
        <v>估价对象XX用房的比较价值（楼面单价，元/平方米）</v>
      </c>
      <c r="Q43" s="3213"/>
      <c r="R43" s="3282" t="e">
        <f>IF(F1="售价",ROUND(AVERAGE(R42:V42),0),ROUND(AVERAGE(R42:V42),1))</f>
        <v>#DIV/0!</v>
      </c>
      <c r="S43" s="3282"/>
      <c r="T43" s="3282"/>
      <c r="U43" s="3282"/>
      <c r="V43" s="3282"/>
      <c r="W43" s="328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2"/>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4"/>
      <c r="D2" s="1127" t="e">
        <f ca="1">SUMIF(INDIRECT("'"&amp;F2&amp;"'"&amp;"!A:A"),"承租人权益价值",INDIRECT("'"&amp;F2&amp;"'"&amp;"!c:c"))</f>
        <v>#REF!</v>
      </c>
      <c r="E2" s="2585" t="s">
        <v>2322</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215" t="s">
        <v>2637</v>
      </c>
      <c r="D4" s="3228"/>
      <c r="E4" s="3229" t="s">
        <v>2638</v>
      </c>
      <c r="F4" s="3230"/>
      <c r="G4" s="3215" t="s">
        <v>2639</v>
      </c>
      <c r="H4" s="3228"/>
      <c r="I4" s="3215" t="s">
        <v>2640</v>
      </c>
      <c r="J4" s="3228"/>
      <c r="K4" s="610" t="s">
        <v>2641</v>
      </c>
      <c r="L4" s="1133"/>
      <c r="M4" s="1134"/>
      <c r="N4" s="1134"/>
      <c r="O4" s="1134"/>
      <c r="P4" s="3231" t="s">
        <v>2642</v>
      </c>
      <c r="Q4" s="3232"/>
      <c r="R4" s="3237" t="s">
        <v>2638</v>
      </c>
      <c r="S4" s="3238"/>
      <c r="T4" s="3237" t="s">
        <v>2639</v>
      </c>
      <c r="U4" s="3238"/>
      <c r="V4" s="3224" t="s">
        <v>2640</v>
      </c>
      <c r="W4" s="3224"/>
      <c r="X4" s="1816"/>
      <c r="Y4" s="3237" t="s">
        <v>2642</v>
      </c>
      <c r="Z4" s="3238"/>
      <c r="AA4" s="3225" t="s">
        <v>2638</v>
      </c>
      <c r="AB4" s="3226" t="s">
        <v>2639</v>
      </c>
      <c r="AC4" s="3225" t="s">
        <v>2640</v>
      </c>
    </row>
    <row r="5" spans="1:29" ht="15">
      <c r="A5" s="404"/>
      <c r="B5" s="405"/>
      <c r="C5" s="3245" t="s">
        <v>2533</v>
      </c>
      <c r="D5" s="3246"/>
      <c r="E5" s="3253" t="s">
        <v>2534</v>
      </c>
      <c r="F5" s="3254"/>
      <c r="G5" s="3245" t="s">
        <v>2535</v>
      </c>
      <c r="H5" s="3246"/>
      <c r="I5" s="3245" t="s">
        <v>2536</v>
      </c>
      <c r="J5" s="3246"/>
      <c r="K5" s="610"/>
      <c r="L5" s="1133"/>
      <c r="M5" s="1134"/>
      <c r="N5" s="1134"/>
      <c r="O5" s="1134"/>
      <c r="P5" s="3233"/>
      <c r="Q5" s="3234"/>
      <c r="R5" s="3239"/>
      <c r="S5" s="3240"/>
      <c r="T5" s="3239"/>
      <c r="U5" s="3240"/>
      <c r="V5" s="3224"/>
      <c r="W5" s="3224"/>
      <c r="X5" s="1816"/>
      <c r="Y5" s="3239"/>
      <c r="Z5" s="3240"/>
      <c r="AA5" s="3226"/>
      <c r="AB5" s="3226"/>
      <c r="AC5" s="3226"/>
    </row>
    <row r="6" spans="1:29" ht="15.75" thickBot="1">
      <c r="A6" s="406"/>
      <c r="B6" s="407"/>
      <c r="C6" s="3291" t="s">
        <v>2537</v>
      </c>
      <c r="D6" s="3244"/>
      <c r="E6" s="3306" t="s">
        <v>2537</v>
      </c>
      <c r="F6" s="3252"/>
      <c r="G6" s="3291" t="s">
        <v>2537</v>
      </c>
      <c r="H6" s="3244"/>
      <c r="I6" s="3291" t="s">
        <v>2537</v>
      </c>
      <c r="J6" s="3244"/>
      <c r="K6" s="610" t="s">
        <v>2538</v>
      </c>
      <c r="L6" s="1133"/>
      <c r="M6" s="1134"/>
      <c r="N6" s="1134"/>
      <c r="O6" s="1134"/>
      <c r="P6" s="3235"/>
      <c r="Q6" s="3236"/>
      <c r="R6" s="3239"/>
      <c r="S6" s="3240"/>
      <c r="T6" s="3241"/>
      <c r="U6" s="3242"/>
      <c r="V6" s="3224"/>
      <c r="W6" s="3224"/>
      <c r="X6" s="1816"/>
      <c r="Y6" s="3241"/>
      <c r="Z6" s="3242"/>
      <c r="AA6" s="3227"/>
      <c r="AB6" s="3227"/>
      <c r="AC6" s="3227"/>
    </row>
    <row r="7" spans="1:29" s="117" customFormat="1" ht="15.75" thickBot="1">
      <c r="A7" s="408" t="s">
        <v>2539</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7" t="s">
        <v>2540</v>
      </c>
      <c r="Q7" s="3249"/>
      <c r="R7" s="770" t="s">
        <v>17</v>
      </c>
      <c r="S7" s="771">
        <f t="shared" ref="S7:S14" si="0">F7</f>
        <v>0</v>
      </c>
      <c r="T7" s="770" t="s">
        <v>17</v>
      </c>
      <c r="U7" s="771">
        <f t="shared" ref="U7:U14" si="1">H7</f>
        <v>0</v>
      </c>
      <c r="V7" s="770" t="s">
        <v>17</v>
      </c>
      <c r="W7" s="771">
        <f t="shared" ref="W7:W14" si="2">J7</f>
        <v>0</v>
      </c>
      <c r="X7" s="772"/>
      <c r="Y7" s="3247" t="s">
        <v>2540</v>
      </c>
      <c r="Z7" s="3248"/>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7" t="s">
        <v>2543</v>
      </c>
      <c r="Q8" s="3248"/>
      <c r="R8" s="770" t="s">
        <v>17</v>
      </c>
      <c r="S8" s="771">
        <f t="shared" si="0"/>
        <v>0</v>
      </c>
      <c r="T8" s="770" t="s">
        <v>17</v>
      </c>
      <c r="U8" s="771">
        <f t="shared" si="1"/>
        <v>0</v>
      </c>
      <c r="V8" s="770" t="s">
        <v>17</v>
      </c>
      <c r="W8" s="771">
        <f t="shared" si="2"/>
        <v>0</v>
      </c>
      <c r="X8" s="772"/>
      <c r="Y8" s="3247" t="s">
        <v>2543</v>
      </c>
      <c r="Z8" s="3248"/>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8" t="s">
        <v>2546</v>
      </c>
      <c r="Q9" s="1798" t="str">
        <f t="shared" ref="Q9:Q14" si="6">B9</f>
        <v>用途</v>
      </c>
      <c r="R9" s="770" t="s">
        <v>17</v>
      </c>
      <c r="S9" s="771">
        <f t="shared" si="0"/>
        <v>100</v>
      </c>
      <c r="T9" s="770" t="s">
        <v>17</v>
      </c>
      <c r="U9" s="771">
        <f t="shared" si="1"/>
        <v>100</v>
      </c>
      <c r="V9" s="770" t="s">
        <v>17</v>
      </c>
      <c r="W9" s="771">
        <f t="shared" si="2"/>
        <v>100</v>
      </c>
      <c r="X9" s="772"/>
      <c r="Y9" s="3066"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8"/>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8"/>
      <c r="Q11" s="1798">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8"/>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8"/>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14">
      <c r="A14" s="401" t="s">
        <v>2550</v>
      </c>
      <c r="B14" s="629" t="s">
        <v>2700</v>
      </c>
      <c r="C14" s="2689" t="str">
        <f>IF(B1="工业",估价对象房地状况!G4,估价对象房地状况!C6)</f>
        <v>估价对象周边路网较密集，公共交通通达情况较好、停车便捷程度较好，有27路、44路等公交车，综合评价交通便捷度较好。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0" t="s">
        <v>2551</v>
      </c>
      <c r="Q14" s="1813" t="str">
        <f t="shared" si="6"/>
        <v>交通便捷度</v>
      </c>
      <c r="R14" s="774" t="s">
        <v>17</v>
      </c>
      <c r="S14" s="775">
        <f t="shared" si="0"/>
        <v>100</v>
      </c>
      <c r="T14" s="774" t="s">
        <v>17</v>
      </c>
      <c r="U14" s="775">
        <f t="shared" si="1"/>
        <v>100</v>
      </c>
      <c r="V14" s="774" t="s">
        <v>17</v>
      </c>
      <c r="W14" s="775">
        <f t="shared" si="2"/>
        <v>100</v>
      </c>
      <c r="X14" s="1816"/>
      <c r="Y14" s="3220"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1"/>
      <c r="Q15" s="1813"/>
      <c r="R15" s="774"/>
      <c r="S15" s="775"/>
      <c r="T15" s="774"/>
      <c r="U15" s="775"/>
      <c r="V15" s="774"/>
      <c r="W15" s="775"/>
      <c r="X15" s="1816"/>
      <c r="Y15" s="3221"/>
      <c r="Z15" s="1817"/>
      <c r="AA15" s="1814">
        <v>1</v>
      </c>
      <c r="AB15" s="1814">
        <v>1</v>
      </c>
      <c r="AC15" s="1814">
        <v>1</v>
      </c>
    </row>
    <row r="16" spans="1:29" ht="185.25">
      <c r="A16" s="404"/>
      <c r="B16" s="631" t="s">
        <v>2679</v>
      </c>
      <c r="C16" s="2604" t="str">
        <f>IF(B1="工业",估价对象房地状况!G5,估价对象房地状况!C7)</f>
        <v>估价对象所在区域2公里范围内有：银行（中国银行、河南汴京农村商业银行），购物（大宏万达广场、和润超市），学校（二师附小、金明实验中学）等，无医院，公共配套设施齐备情况一般。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1"/>
      <c r="Q16" s="1813" t="str">
        <f>B16</f>
        <v>公共配套设施</v>
      </c>
      <c r="R16" s="774" t="s">
        <v>17</v>
      </c>
      <c r="S16" s="775">
        <f>F16</f>
        <v>100</v>
      </c>
      <c r="T16" s="774" t="s">
        <v>17</v>
      </c>
      <c r="U16" s="775">
        <f>H16</f>
        <v>100</v>
      </c>
      <c r="V16" s="774" t="s">
        <v>17</v>
      </c>
      <c r="W16" s="775">
        <f>J16</f>
        <v>100</v>
      </c>
      <c r="X16" s="1816"/>
      <c r="Y16" s="3221"/>
      <c r="Z16" s="1817" t="str">
        <f>Q16</f>
        <v>公共配套设施</v>
      </c>
      <c r="AA16" s="1814">
        <f t="shared" si="3"/>
        <v>1</v>
      </c>
      <c r="AB16" s="1814">
        <f t="shared" si="4"/>
        <v>1</v>
      </c>
      <c r="AC16" s="1814">
        <f t="shared" si="5"/>
        <v>1</v>
      </c>
    </row>
    <row r="17" spans="1:29" ht="15">
      <c r="A17" s="404"/>
      <c r="B17" s="632"/>
      <c r="C17" s="2605"/>
      <c r="D17" s="448"/>
      <c r="E17" s="447"/>
      <c r="F17" s="449"/>
      <c r="G17" s="447"/>
      <c r="H17" s="448"/>
      <c r="I17" s="447"/>
      <c r="J17" s="448"/>
      <c r="K17" s="615"/>
      <c r="L17" s="1143"/>
      <c r="M17" s="1134"/>
      <c r="N17" s="1134"/>
      <c r="O17" s="1134"/>
      <c r="P17" s="3221"/>
      <c r="Q17" s="1813"/>
      <c r="R17" s="774"/>
      <c r="S17" s="775"/>
      <c r="T17" s="774"/>
      <c r="U17" s="775"/>
      <c r="V17" s="774"/>
      <c r="W17" s="775"/>
      <c r="X17" s="1816"/>
      <c r="Y17" s="3221"/>
      <c r="Z17" s="1817"/>
      <c r="AA17" s="1814">
        <v>1</v>
      </c>
      <c r="AB17" s="1814">
        <v>1</v>
      </c>
      <c r="AC17" s="1814">
        <v>1</v>
      </c>
    </row>
    <row r="18" spans="1:29" ht="42.75">
      <c r="A18" s="404"/>
      <c r="B18" s="633" t="s">
        <v>2680</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1"/>
      <c r="Q18" s="1813" t="str">
        <f>B18</f>
        <v>基础设施水平</v>
      </c>
      <c r="R18" s="774" t="s">
        <v>17</v>
      </c>
      <c r="S18" s="775">
        <f>F18</f>
        <v>100</v>
      </c>
      <c r="T18" s="774" t="s">
        <v>17</v>
      </c>
      <c r="U18" s="775">
        <f>H18</f>
        <v>100</v>
      </c>
      <c r="V18" s="774" t="s">
        <v>17</v>
      </c>
      <c r="W18" s="775">
        <f>J18</f>
        <v>100</v>
      </c>
      <c r="X18" s="1816"/>
      <c r="Y18" s="3221"/>
      <c r="Z18" s="1817" t="str">
        <f>Q18</f>
        <v>基础设施水平</v>
      </c>
      <c r="AA18" s="1814">
        <f t="shared" ref="AA18" si="8">D18/F18</f>
        <v>1</v>
      </c>
      <c r="AB18" s="1814">
        <f t="shared" ref="AB18" si="9">D18/H18</f>
        <v>1</v>
      </c>
      <c r="AC18" s="1814">
        <f t="shared" ref="AC18" si="10">D18/J18</f>
        <v>1</v>
      </c>
    </row>
    <row r="19" spans="1:29" ht="15">
      <c r="A19" s="404"/>
      <c r="B19" s="633"/>
      <c r="C19" s="2605"/>
      <c r="D19" s="450"/>
      <c r="E19" s="2605"/>
      <c r="F19" s="453"/>
      <c r="G19" s="2605"/>
      <c r="H19" s="448"/>
      <c r="I19" s="447"/>
      <c r="J19" s="448"/>
      <c r="K19" s="1386"/>
      <c r="L19" s="1143"/>
      <c r="M19" s="1134"/>
      <c r="N19" s="1134"/>
      <c r="O19" s="1134"/>
      <c r="P19" s="3221"/>
      <c r="Q19" s="1813"/>
      <c r="R19" s="774"/>
      <c r="S19" s="775"/>
      <c r="T19" s="774"/>
      <c r="U19" s="775"/>
      <c r="V19" s="774"/>
      <c r="W19" s="775"/>
      <c r="X19" s="1816"/>
      <c r="Y19" s="3221"/>
      <c r="Z19" s="1817"/>
      <c r="AA19" s="1814">
        <v>1</v>
      </c>
      <c r="AB19" s="1814">
        <v>1</v>
      </c>
      <c r="AC19" s="1814">
        <v>1</v>
      </c>
    </row>
    <row r="20" spans="1:29" ht="128.25">
      <c r="A20" s="404"/>
      <c r="B20" s="631" t="s">
        <v>2701</v>
      </c>
      <c r="C20" s="2604" t="str">
        <f>IF(B1="工业",估价对象房地状况!G7,估价对象房地状况!C9)</f>
        <v>区域自然环境：有大型绿化景观，有中意湖等自然景观；人文环境：开封市博物馆、开封市规划展示馆；综合评价环境状况较好。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1"/>
      <c r="Q20" s="1813" t="str">
        <f>B20</f>
        <v>自然及人文环境</v>
      </c>
      <c r="R20" s="774" t="s">
        <v>17</v>
      </c>
      <c r="S20" s="775">
        <f>F20</f>
        <v>100</v>
      </c>
      <c r="T20" s="774" t="s">
        <v>17</v>
      </c>
      <c r="U20" s="775">
        <f>H20</f>
        <v>100</v>
      </c>
      <c r="V20" s="774" t="s">
        <v>17</v>
      </c>
      <c r="W20" s="775">
        <f>J20</f>
        <v>100</v>
      </c>
      <c r="X20" s="1816"/>
      <c r="Y20" s="322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1"/>
      <c r="Q21" s="1813"/>
      <c r="R21" s="774"/>
      <c r="S21" s="775"/>
      <c r="T21" s="774"/>
      <c r="U21" s="775"/>
      <c r="V21" s="774"/>
      <c r="W21" s="775"/>
      <c r="X21" s="1816"/>
      <c r="Y21" s="3221"/>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1"/>
      <c r="Q22" s="1813" t="str">
        <f>B22</f>
        <v>楼层</v>
      </c>
      <c r="R22" s="774" t="s">
        <v>17</v>
      </c>
      <c r="S22" s="775">
        <f>F22</f>
        <v>100</v>
      </c>
      <c r="T22" s="774" t="s">
        <v>17</v>
      </c>
      <c r="U22" s="775">
        <f>H22</f>
        <v>100</v>
      </c>
      <c r="V22" s="774" t="s">
        <v>17</v>
      </c>
      <c r="W22" s="775">
        <f>J22</f>
        <v>100</v>
      </c>
      <c r="X22" s="1816"/>
      <c r="Y22" s="322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1"/>
      <c r="Q23" s="1813">
        <f>B23</f>
        <v>111</v>
      </c>
      <c r="R23" s="774" t="s">
        <v>17</v>
      </c>
      <c r="S23" s="775">
        <f>F23</f>
        <v>100</v>
      </c>
      <c r="T23" s="774" t="s">
        <v>17</v>
      </c>
      <c r="U23" s="775">
        <f>H23</f>
        <v>100</v>
      </c>
      <c r="V23" s="774" t="s">
        <v>17</v>
      </c>
      <c r="W23" s="775">
        <f>J23</f>
        <v>100</v>
      </c>
      <c r="X23" s="1816"/>
      <c r="Y23" s="322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1"/>
      <c r="Q24" s="1813">
        <f t="shared" ref="Q24:Q36" si="11">B24</f>
        <v>111</v>
      </c>
      <c r="R24" s="774" t="s">
        <v>17</v>
      </c>
      <c r="S24" s="775">
        <f>F24</f>
        <v>100</v>
      </c>
      <c r="T24" s="774" t="s">
        <v>17</v>
      </c>
      <c r="U24" s="775">
        <f>H24</f>
        <v>100</v>
      </c>
      <c r="V24" s="774" t="s">
        <v>17</v>
      </c>
      <c r="W24" s="775">
        <f>J24</f>
        <v>100</v>
      </c>
      <c r="X24" s="1816"/>
      <c r="Y24" s="322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1"/>
      <c r="Q25" s="1798">
        <f t="shared" si="11"/>
        <v>111</v>
      </c>
      <c r="R25" s="770" t="s">
        <v>17</v>
      </c>
      <c r="S25" s="771">
        <f>F25</f>
        <v>100</v>
      </c>
      <c r="T25" s="770" t="s">
        <v>17</v>
      </c>
      <c r="U25" s="771">
        <f>H25</f>
        <v>100</v>
      </c>
      <c r="V25" s="770" t="s">
        <v>17</v>
      </c>
      <c r="W25" s="771">
        <f>J25</f>
        <v>100</v>
      </c>
      <c r="X25" s="772"/>
      <c r="Y25" s="3221"/>
      <c r="Z25" s="55">
        <f>Q25</f>
        <v>111</v>
      </c>
      <c r="AA25" s="1814">
        <f>D25/F25</f>
        <v>1</v>
      </c>
      <c r="AB25" s="1814">
        <f>D25/H25</f>
        <v>1</v>
      </c>
      <c r="AC25" s="1814">
        <f>D25/J25</f>
        <v>1</v>
      </c>
    </row>
    <row r="26" spans="1:29" ht="15">
      <c r="A26" s="652" t="s">
        <v>2554</v>
      </c>
      <c r="B26" s="70" t="s">
        <v>2703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2"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3"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3"/>
      <c r="Q28" s="1813" t="str">
        <f t="shared" si="11"/>
        <v>公共部分装修</v>
      </c>
      <c r="R28" s="774" t="s">
        <v>17</v>
      </c>
      <c r="S28" s="775">
        <f t="shared" si="12"/>
        <v>100</v>
      </c>
      <c r="T28" s="774" t="s">
        <v>17</v>
      </c>
      <c r="U28" s="775">
        <f t="shared" si="13"/>
        <v>100</v>
      </c>
      <c r="V28" s="774" t="s">
        <v>17</v>
      </c>
      <c r="W28" s="775">
        <f t="shared" si="14"/>
        <v>100</v>
      </c>
      <c r="X28" s="1816"/>
      <c r="Y28" s="3223"/>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3"/>
      <c r="Q29" s="1813" t="str">
        <f t="shared" si="11"/>
        <v>成新率</v>
      </c>
      <c r="R29" s="774" t="s">
        <v>17</v>
      </c>
      <c r="S29" s="775" t="e">
        <f t="shared" si="12"/>
        <v>#N/A</v>
      </c>
      <c r="T29" s="774" t="s">
        <v>17</v>
      </c>
      <c r="U29" s="775" t="e">
        <f t="shared" si="13"/>
        <v>#N/A</v>
      </c>
      <c r="V29" s="774" t="s">
        <v>17</v>
      </c>
      <c r="W29" s="775" t="e">
        <f t="shared" si="14"/>
        <v>#N/A</v>
      </c>
      <c r="X29" s="1816"/>
      <c r="Y29" s="3223"/>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3"/>
      <c r="Q30" s="1813" t="str">
        <f t="shared" si="11"/>
        <v>物业等级</v>
      </c>
      <c r="R30" s="774" t="s">
        <v>17</v>
      </c>
      <c r="S30" s="775">
        <f t="shared" si="12"/>
        <v>100</v>
      </c>
      <c r="T30" s="774" t="s">
        <v>17</v>
      </c>
      <c r="U30" s="775">
        <f t="shared" si="13"/>
        <v>100</v>
      </c>
      <c r="V30" s="774" t="s">
        <v>17</v>
      </c>
      <c r="W30" s="775">
        <f t="shared" si="14"/>
        <v>100</v>
      </c>
      <c r="X30" s="1816"/>
      <c r="Y30" s="3223"/>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3"/>
      <c r="Q31" s="1798"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3" t="s">
        <v>2556</v>
      </c>
      <c r="Q32" s="1813" t="str">
        <f t="shared" si="11"/>
        <v>车位类型</v>
      </c>
      <c r="R32" s="774" t="s">
        <v>17</v>
      </c>
      <c r="S32" s="775">
        <f t="shared" si="12"/>
        <v>100</v>
      </c>
      <c r="T32" s="774" t="s">
        <v>17</v>
      </c>
      <c r="U32" s="775">
        <f t="shared" si="13"/>
        <v>100</v>
      </c>
      <c r="V32" s="774" t="s">
        <v>17</v>
      </c>
      <c r="W32" s="775">
        <f t="shared" si="14"/>
        <v>100</v>
      </c>
      <c r="X32" s="1816"/>
      <c r="Y32" s="3223"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3"/>
      <c r="Q33" s="1813" t="str">
        <f t="shared" si="11"/>
        <v>是否直接入户</v>
      </c>
      <c r="R33" s="774" t="s">
        <v>17</v>
      </c>
      <c r="S33" s="775">
        <f t="shared" si="12"/>
        <v>100</v>
      </c>
      <c r="T33" s="774" t="s">
        <v>17</v>
      </c>
      <c r="U33" s="775">
        <f t="shared" si="13"/>
        <v>100</v>
      </c>
      <c r="V33" s="774" t="s">
        <v>17</v>
      </c>
      <c r="W33" s="775">
        <f t="shared" si="14"/>
        <v>100</v>
      </c>
      <c r="X33" s="1816"/>
      <c r="Y33" s="322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3"/>
      <c r="Q34" s="1813">
        <f t="shared" si="11"/>
        <v>111</v>
      </c>
      <c r="R34" s="774" t="s">
        <v>17</v>
      </c>
      <c r="S34" s="775">
        <f t="shared" si="12"/>
        <v>100</v>
      </c>
      <c r="T34" s="774" t="s">
        <v>17</v>
      </c>
      <c r="U34" s="775">
        <f t="shared" si="13"/>
        <v>100</v>
      </c>
      <c r="V34" s="774" t="s">
        <v>17</v>
      </c>
      <c r="W34" s="775">
        <f t="shared" si="14"/>
        <v>100</v>
      </c>
      <c r="X34" s="1816"/>
      <c r="Y34" s="322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3"/>
      <c r="Q36" s="1813">
        <f t="shared" si="11"/>
        <v>111</v>
      </c>
      <c r="R36" s="774" t="s">
        <v>17</v>
      </c>
      <c r="S36" s="775">
        <f t="shared" si="12"/>
        <v>100</v>
      </c>
      <c r="T36" s="774" t="s">
        <v>17</v>
      </c>
      <c r="U36" s="775">
        <f t="shared" si="13"/>
        <v>100</v>
      </c>
      <c r="V36" s="774" t="s">
        <v>17</v>
      </c>
      <c r="W36" s="775">
        <f t="shared" si="14"/>
        <v>100</v>
      </c>
      <c r="X36" s="1816"/>
      <c r="Y36" s="3223"/>
      <c r="Z36" s="1817">
        <f t="shared" si="15"/>
        <v>111</v>
      </c>
      <c r="AA36" s="1814">
        <f t="shared" si="3"/>
        <v>1</v>
      </c>
      <c r="AB36" s="1814">
        <f t="shared" si="4"/>
        <v>1</v>
      </c>
      <c r="AC36" s="1814">
        <f t="shared" si="5"/>
        <v>1</v>
      </c>
    </row>
    <row r="37" spans="1:29" ht="15">
      <c r="A37" s="479" t="s">
        <v>2711</v>
      </c>
      <c r="B37" s="2691" t="s">
        <v>2712</v>
      </c>
      <c r="C37" s="1410" t="s">
        <v>1</v>
      </c>
      <c r="D37" s="1411"/>
      <c r="E37" s="1412"/>
      <c r="F37" s="1413"/>
      <c r="G37" s="1414"/>
      <c r="H37" s="1415"/>
      <c r="I37" s="1412"/>
      <c r="J37" s="1415"/>
      <c r="K37" s="619"/>
      <c r="L37" s="1146"/>
      <c r="M37" s="1147"/>
      <c r="N37" s="1134"/>
      <c r="O37" s="1147"/>
      <c r="P37" s="3218" t="str">
        <f>A37</f>
        <v>成交单价</v>
      </c>
      <c r="Q37" s="3218"/>
      <c r="R37" s="3283">
        <f>E37</f>
        <v>0</v>
      </c>
      <c r="S37" s="3283"/>
      <c r="T37" s="3283">
        <f>G37</f>
        <v>0</v>
      </c>
      <c r="U37" s="3283"/>
      <c r="V37" s="3283">
        <f>I37</f>
        <v>0</v>
      </c>
      <c r="W37" s="3283"/>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8" t="str">
        <f>A38</f>
        <v>比较价值（元/平方米）</v>
      </c>
      <c r="Q38" s="3218"/>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12" t="str">
        <f>A39</f>
        <v>估价对象XX用房的比较价值（楼面单价，元/平方米）</v>
      </c>
      <c r="Q39" s="3213"/>
      <c r="R39" s="3282" t="e">
        <f>IF(F1="售价",ROUND(AVERAGE(R38:V38),0),ROUND(AVERAGE(R38:V38),1))</f>
        <v>#DIV/0!</v>
      </c>
      <c r="S39" s="3282"/>
      <c r="T39" s="3282"/>
      <c r="U39" s="3282"/>
      <c r="V39" s="3282"/>
      <c r="W39" s="328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2"/>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4"/>
      <c r="D2" s="1127" t="e">
        <f ca="1">SUMIF(INDIRECT("'"&amp;F2&amp;"'"&amp;"!A:A"),"承租人权益价值",INDIRECT("'"&amp;F2&amp;"'"&amp;"!c:c"))</f>
        <v>#REF!</v>
      </c>
      <c r="E2" s="2585" t="s">
        <v>2322</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15" t="s">
        <v>2637</v>
      </c>
      <c r="D4" s="3228"/>
      <c r="E4" s="3229" t="s">
        <v>2638</v>
      </c>
      <c r="F4" s="3230"/>
      <c r="G4" s="3215" t="s">
        <v>2639</v>
      </c>
      <c r="H4" s="3228"/>
      <c r="I4" s="3215" t="s">
        <v>2640</v>
      </c>
      <c r="J4" s="3228"/>
      <c r="K4" s="610" t="s">
        <v>2641</v>
      </c>
      <c r="L4" s="1133"/>
      <c r="M4" s="1134"/>
      <c r="N4" s="1134"/>
      <c r="O4" s="1134"/>
      <c r="P4" s="3231" t="s">
        <v>2642</v>
      </c>
      <c r="Q4" s="3232"/>
      <c r="R4" s="3237" t="s">
        <v>2638</v>
      </c>
      <c r="S4" s="3238"/>
      <c r="T4" s="3237" t="s">
        <v>2639</v>
      </c>
      <c r="U4" s="3238"/>
      <c r="V4" s="3224" t="s">
        <v>2640</v>
      </c>
      <c r="W4" s="3224"/>
      <c r="X4" s="1816"/>
      <c r="Y4" s="3237" t="s">
        <v>2642</v>
      </c>
      <c r="Z4" s="3238"/>
      <c r="AA4" s="3225" t="s">
        <v>2638</v>
      </c>
      <c r="AB4" s="3226" t="s">
        <v>2639</v>
      </c>
      <c r="AC4" s="3225" t="s">
        <v>2640</v>
      </c>
    </row>
    <row r="5" spans="1:29" ht="15">
      <c r="A5" s="404"/>
      <c r="B5" s="405"/>
      <c r="C5" s="3245" t="s">
        <v>2533</v>
      </c>
      <c r="D5" s="3246"/>
      <c r="E5" s="3253" t="s">
        <v>2534</v>
      </c>
      <c r="F5" s="3254"/>
      <c r="G5" s="3245" t="s">
        <v>2535</v>
      </c>
      <c r="H5" s="3246"/>
      <c r="I5" s="3245" t="s">
        <v>2536</v>
      </c>
      <c r="J5" s="3246"/>
      <c r="K5" s="610"/>
      <c r="L5" s="1133"/>
      <c r="M5" s="1134"/>
      <c r="N5" s="1134"/>
      <c r="O5" s="1134"/>
      <c r="P5" s="3233"/>
      <c r="Q5" s="3234"/>
      <c r="R5" s="3239"/>
      <c r="S5" s="3240"/>
      <c r="T5" s="3239"/>
      <c r="U5" s="3240"/>
      <c r="V5" s="3224"/>
      <c r="W5" s="3224"/>
      <c r="X5" s="1816"/>
      <c r="Y5" s="3239"/>
      <c r="Z5" s="3240"/>
      <c r="AA5" s="3226"/>
      <c r="AB5" s="3226"/>
      <c r="AC5" s="3226"/>
    </row>
    <row r="6" spans="1:29" ht="15.75" thickBot="1">
      <c r="A6" s="406"/>
      <c r="B6" s="407"/>
      <c r="C6" s="3291" t="s">
        <v>2537</v>
      </c>
      <c r="D6" s="3244"/>
      <c r="E6" s="3306" t="s">
        <v>2537</v>
      </c>
      <c r="F6" s="3252"/>
      <c r="G6" s="3291" t="s">
        <v>2537</v>
      </c>
      <c r="H6" s="3244"/>
      <c r="I6" s="3291" t="s">
        <v>2537</v>
      </c>
      <c r="J6" s="3244"/>
      <c r="K6" s="610" t="s">
        <v>2538</v>
      </c>
      <c r="L6" s="1133"/>
      <c r="M6" s="1134"/>
      <c r="N6" s="1134"/>
      <c r="O6" s="1134"/>
      <c r="P6" s="3235"/>
      <c r="Q6" s="3236"/>
      <c r="R6" s="3239"/>
      <c r="S6" s="3240"/>
      <c r="T6" s="3241"/>
      <c r="U6" s="3242"/>
      <c r="V6" s="3224"/>
      <c r="W6" s="3224"/>
      <c r="X6" s="1816"/>
      <c r="Y6" s="3241"/>
      <c r="Z6" s="3242"/>
      <c r="AA6" s="3227"/>
      <c r="AB6" s="3227"/>
      <c r="AC6" s="3227"/>
    </row>
    <row r="7" spans="1:29" s="117" customFormat="1" ht="15.75" thickBot="1">
      <c r="A7" s="408" t="s">
        <v>2539</v>
      </c>
      <c r="B7" s="409"/>
      <c r="C7" s="410">
        <f>'数据-取费表'!B2</f>
        <v>43307</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247" t="s">
        <v>2540</v>
      </c>
      <c r="Q7" s="3249"/>
      <c r="R7" s="770" t="s">
        <v>17</v>
      </c>
      <c r="S7" s="771">
        <f t="shared" ref="S7:S14" si="0">F7</f>
        <v>0</v>
      </c>
      <c r="T7" s="770" t="s">
        <v>17</v>
      </c>
      <c r="U7" s="771">
        <f t="shared" ref="U7:U14" si="1">H7</f>
        <v>0</v>
      </c>
      <c r="V7" s="770" t="s">
        <v>17</v>
      </c>
      <c r="W7" s="771">
        <f t="shared" ref="W7:W14" si="2">J7</f>
        <v>0</v>
      </c>
      <c r="X7" s="772"/>
      <c r="Y7" s="3247" t="s">
        <v>2540</v>
      </c>
      <c r="Z7" s="324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7" t="s">
        <v>2543</v>
      </c>
      <c r="Q8" s="3248"/>
      <c r="R8" s="770" t="s">
        <v>17</v>
      </c>
      <c r="S8" s="771">
        <f t="shared" si="0"/>
        <v>0</v>
      </c>
      <c r="T8" s="770" t="s">
        <v>17</v>
      </c>
      <c r="U8" s="771">
        <f t="shared" si="1"/>
        <v>0</v>
      </c>
      <c r="V8" s="770" t="s">
        <v>17</v>
      </c>
      <c r="W8" s="771">
        <f t="shared" si="2"/>
        <v>0</v>
      </c>
      <c r="X8" s="772"/>
      <c r="Y8" s="3247" t="s">
        <v>2543</v>
      </c>
      <c r="Z8" s="324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8" t="s">
        <v>2546</v>
      </c>
      <c r="Q9" s="1798" t="str">
        <f t="shared" ref="Q9:Q14" si="6">B9</f>
        <v>用途</v>
      </c>
      <c r="R9" s="770" t="s">
        <v>17</v>
      </c>
      <c r="S9" s="771">
        <f t="shared" si="0"/>
        <v>100</v>
      </c>
      <c r="T9" s="770" t="s">
        <v>17</v>
      </c>
      <c r="U9" s="771">
        <f t="shared" si="1"/>
        <v>100</v>
      </c>
      <c r="V9" s="770" t="s">
        <v>17</v>
      </c>
      <c r="W9" s="771">
        <f t="shared" si="2"/>
        <v>100</v>
      </c>
      <c r="X9" s="772"/>
      <c r="Y9" s="3066"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8"/>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8"/>
      <c r="Q11" s="1798">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8"/>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218"/>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14">
      <c r="A14" s="440" t="s">
        <v>2550</v>
      </c>
      <c r="B14" s="69" t="s">
        <v>2700</v>
      </c>
      <c r="C14" s="2689" t="str">
        <f>IF(B1="工业",估价对象房地状况!G4,估价对象房地状况!C6)</f>
        <v>估价对象周边路网较密集，公共交通通达情况较好、停车便捷程度较好，有27路、44路等公交车，综合评价交通便捷度较好。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0" t="s">
        <v>2551</v>
      </c>
      <c r="Q14" s="1813" t="str">
        <f t="shared" si="6"/>
        <v>交通便捷度</v>
      </c>
      <c r="R14" s="774" t="s">
        <v>17</v>
      </c>
      <c r="S14" s="775">
        <f t="shared" si="0"/>
        <v>100</v>
      </c>
      <c r="T14" s="774" t="s">
        <v>17</v>
      </c>
      <c r="U14" s="775">
        <f t="shared" si="1"/>
        <v>100</v>
      </c>
      <c r="V14" s="774" t="s">
        <v>17</v>
      </c>
      <c r="W14" s="775">
        <f t="shared" si="2"/>
        <v>100</v>
      </c>
      <c r="X14" s="1816"/>
      <c r="Y14" s="3220"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1"/>
      <c r="Q15" s="1813"/>
      <c r="R15" s="774"/>
      <c r="S15" s="775"/>
      <c r="T15" s="774"/>
      <c r="U15" s="775"/>
      <c r="V15" s="774"/>
      <c r="W15" s="775"/>
      <c r="X15" s="1816"/>
      <c r="Y15" s="3221"/>
      <c r="Z15" s="1817"/>
      <c r="AA15" s="1814">
        <v>1</v>
      </c>
      <c r="AB15" s="1814">
        <v>1</v>
      </c>
      <c r="AC15" s="1814">
        <v>1</v>
      </c>
    </row>
    <row r="16" spans="1:29" ht="185.25">
      <c r="A16" s="428"/>
      <c r="B16" s="451" t="s">
        <v>2679</v>
      </c>
      <c r="C16" s="2604" t="str">
        <f>IF(B1="工业",估价对象房地状况!G5,估价对象房地状况!C7)</f>
        <v>估价对象所在区域2公里范围内有：银行（中国银行、河南汴京农村商业银行），购物（大宏万达广场、和润超市），学校（二师附小、金明实验中学）等，无医院，公共配套设施齐备情况一般。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1"/>
      <c r="Q16" s="1813" t="str">
        <f>B16</f>
        <v>公共配套设施</v>
      </c>
      <c r="R16" s="774" t="s">
        <v>17</v>
      </c>
      <c r="S16" s="775">
        <f>F16</f>
        <v>100</v>
      </c>
      <c r="T16" s="774" t="s">
        <v>17</v>
      </c>
      <c r="U16" s="775">
        <f>H16</f>
        <v>100</v>
      </c>
      <c r="V16" s="774" t="s">
        <v>17</v>
      </c>
      <c r="W16" s="775">
        <f>J16</f>
        <v>100</v>
      </c>
      <c r="X16" s="1816"/>
      <c r="Y16" s="3221"/>
      <c r="Z16" s="1817" t="str">
        <f>Q16</f>
        <v>公共配套设施</v>
      </c>
      <c r="AA16" s="1814">
        <f t="shared" si="3"/>
        <v>1</v>
      </c>
      <c r="AB16" s="1814">
        <f t="shared" si="4"/>
        <v>1</v>
      </c>
      <c r="AC16" s="1814">
        <f t="shared" si="5"/>
        <v>1</v>
      </c>
    </row>
    <row r="17" spans="1:29" ht="15">
      <c r="A17" s="428"/>
      <c r="B17" s="456"/>
      <c r="C17" s="2605"/>
      <c r="D17" s="448"/>
      <c r="E17" s="447"/>
      <c r="F17" s="449"/>
      <c r="G17" s="447"/>
      <c r="H17" s="448"/>
      <c r="I17" s="447"/>
      <c r="J17" s="448"/>
      <c r="K17" s="615"/>
      <c r="L17" s="1143"/>
      <c r="M17" s="1134"/>
      <c r="N17" s="1134"/>
      <c r="O17" s="1142"/>
      <c r="P17" s="3221"/>
      <c r="Q17" s="1813"/>
      <c r="R17" s="774"/>
      <c r="S17" s="775"/>
      <c r="T17" s="774"/>
      <c r="U17" s="775"/>
      <c r="V17" s="774"/>
      <c r="W17" s="775"/>
      <c r="X17" s="1816"/>
      <c r="Y17" s="3221"/>
      <c r="Z17" s="1817"/>
      <c r="AA17" s="1814">
        <v>1</v>
      </c>
      <c r="AB17" s="1814">
        <v>1</v>
      </c>
      <c r="AC17" s="1814">
        <v>1</v>
      </c>
    </row>
    <row r="18" spans="1:29" ht="42.75">
      <c r="A18" s="428"/>
      <c r="B18" s="1387" t="s">
        <v>2680</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1"/>
      <c r="Q18" s="1813" t="str">
        <f>B18</f>
        <v>基础设施水平</v>
      </c>
      <c r="R18" s="774" t="s">
        <v>17</v>
      </c>
      <c r="S18" s="775">
        <f>F18</f>
        <v>100</v>
      </c>
      <c r="T18" s="774" t="s">
        <v>17</v>
      </c>
      <c r="U18" s="775">
        <f>H18</f>
        <v>100</v>
      </c>
      <c r="V18" s="774" t="s">
        <v>17</v>
      </c>
      <c r="W18" s="775">
        <f>J18</f>
        <v>100</v>
      </c>
      <c r="X18" s="1816"/>
      <c r="Y18" s="3221"/>
      <c r="Z18" s="1817" t="str">
        <f>Q18</f>
        <v>基础设施水平</v>
      </c>
      <c r="AA18" s="1814">
        <f t="shared" ref="AA18" si="8">D18/F18</f>
        <v>1</v>
      </c>
      <c r="AB18" s="1814">
        <f t="shared" ref="AB18" si="9">D18/H18</f>
        <v>1</v>
      </c>
      <c r="AC18" s="1814">
        <f t="shared" ref="AC18" si="10">D18/J18</f>
        <v>1</v>
      </c>
    </row>
    <row r="19" spans="1:29" ht="15">
      <c r="A19" s="428"/>
      <c r="B19" s="1387"/>
      <c r="C19" s="2605"/>
      <c r="D19" s="450"/>
      <c r="E19" s="2605"/>
      <c r="F19" s="453"/>
      <c r="G19" s="2605"/>
      <c r="H19" s="448"/>
      <c r="I19" s="447"/>
      <c r="J19" s="448"/>
      <c r="K19" s="1386"/>
      <c r="L19" s="1143"/>
      <c r="M19" s="1134"/>
      <c r="N19" s="1134"/>
      <c r="O19" s="1142"/>
      <c r="P19" s="3221"/>
      <c r="Q19" s="1813"/>
      <c r="R19" s="774"/>
      <c r="S19" s="775"/>
      <c r="T19" s="774"/>
      <c r="U19" s="775"/>
      <c r="V19" s="774"/>
      <c r="W19" s="775"/>
      <c r="X19" s="1816"/>
      <c r="Y19" s="3221"/>
      <c r="Z19" s="1817"/>
      <c r="AA19" s="1814">
        <v>1</v>
      </c>
      <c r="AB19" s="1814">
        <v>1</v>
      </c>
      <c r="AC19" s="1814">
        <v>1</v>
      </c>
    </row>
    <row r="20" spans="1:29" ht="128.25">
      <c r="A20" s="428"/>
      <c r="B20" s="451" t="s">
        <v>2701</v>
      </c>
      <c r="C20" s="2604" t="str">
        <f>IF(B1="工业",估价对象房地状况!G7,估价对象房地状况!C9)</f>
        <v>区域自然环境：有大型绿化景观，有中意湖等自然景观；人文环境：开封市博物馆、开封市规划展示馆；综合评价环境状况较好。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1"/>
      <c r="Q20" s="1813" t="str">
        <f>B20</f>
        <v>自然及人文环境</v>
      </c>
      <c r="R20" s="774" t="s">
        <v>17</v>
      </c>
      <c r="S20" s="775">
        <f>F20</f>
        <v>100</v>
      </c>
      <c r="T20" s="774" t="s">
        <v>17</v>
      </c>
      <c r="U20" s="775">
        <f>H20</f>
        <v>100</v>
      </c>
      <c r="V20" s="774" t="s">
        <v>17</v>
      </c>
      <c r="W20" s="775">
        <f>J20</f>
        <v>100</v>
      </c>
      <c r="X20" s="1816"/>
      <c r="Y20" s="322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1"/>
      <c r="Q21" s="1813"/>
      <c r="R21" s="774"/>
      <c r="S21" s="775"/>
      <c r="T21" s="774"/>
      <c r="U21" s="775"/>
      <c r="V21" s="774"/>
      <c r="W21" s="775"/>
      <c r="X21" s="1816"/>
      <c r="Y21" s="3221"/>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1"/>
      <c r="Q22" s="1813" t="str">
        <f>B22</f>
        <v>楼层</v>
      </c>
      <c r="R22" s="774" t="s">
        <v>17</v>
      </c>
      <c r="S22" s="775">
        <f>F22</f>
        <v>100</v>
      </c>
      <c r="T22" s="774" t="s">
        <v>17</v>
      </c>
      <c r="U22" s="775">
        <f>H22</f>
        <v>100</v>
      </c>
      <c r="V22" s="774" t="s">
        <v>17</v>
      </c>
      <c r="W22" s="775">
        <f>J22</f>
        <v>100</v>
      </c>
      <c r="X22" s="1816"/>
      <c r="Y22" s="3221"/>
      <c r="Z22" s="1817" t="str">
        <f>Q22</f>
        <v>楼层</v>
      </c>
      <c r="AA22" s="1814">
        <f t="shared" si="3"/>
        <v>1</v>
      </c>
      <c r="AB22" s="1814">
        <f t="shared" si="4"/>
        <v>1</v>
      </c>
      <c r="AC22" s="1814">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1"/>
      <c r="Q23" s="1813">
        <f>B23</f>
        <v>111</v>
      </c>
      <c r="R23" s="774" t="s">
        <v>17</v>
      </c>
      <c r="S23" s="775">
        <f>F23</f>
        <v>100</v>
      </c>
      <c r="T23" s="774" t="s">
        <v>17</v>
      </c>
      <c r="U23" s="775">
        <f>H23</f>
        <v>100</v>
      </c>
      <c r="V23" s="774" t="s">
        <v>17</v>
      </c>
      <c r="W23" s="775">
        <f>J23</f>
        <v>100</v>
      </c>
      <c r="X23" s="1816"/>
      <c r="Y23" s="3221"/>
      <c r="Z23" s="1817">
        <f>Q23</f>
        <v>111</v>
      </c>
      <c r="AA23" s="1814">
        <f t="shared" si="3"/>
        <v>1</v>
      </c>
      <c r="AB23" s="1814">
        <f t="shared" si="4"/>
        <v>1</v>
      </c>
      <c r="AC23" s="1814">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1"/>
      <c r="Q24" s="1813">
        <f t="shared" ref="Q24:Q34" si="11">B24</f>
        <v>111</v>
      </c>
      <c r="R24" s="774" t="s">
        <v>17</v>
      </c>
      <c r="S24" s="775">
        <f>F24</f>
        <v>100</v>
      </c>
      <c r="T24" s="774" t="s">
        <v>17</v>
      </c>
      <c r="U24" s="775">
        <f>H24</f>
        <v>100</v>
      </c>
      <c r="V24" s="774" t="s">
        <v>17</v>
      </c>
      <c r="W24" s="775">
        <f>J24</f>
        <v>100</v>
      </c>
      <c r="X24" s="1816"/>
      <c r="Y24" s="3221"/>
      <c r="Z24" s="1817">
        <f>Q24</f>
        <v>111</v>
      </c>
      <c r="AA24" s="1814">
        <f t="shared" si="3"/>
        <v>1</v>
      </c>
      <c r="AB24" s="1814">
        <f t="shared" si="4"/>
        <v>1</v>
      </c>
      <c r="AC24" s="1814">
        <f t="shared" si="5"/>
        <v>1</v>
      </c>
    </row>
    <row r="25" spans="1:29" s="117" customFormat="1" ht="15.75" thickBot="1">
      <c r="A25" s="431"/>
      <c r="B25" s="2597">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221"/>
      <c r="Q25" s="1798">
        <f t="shared" si="11"/>
        <v>111</v>
      </c>
      <c r="R25" s="770" t="s">
        <v>17</v>
      </c>
      <c r="S25" s="771">
        <f>F25</f>
        <v>100</v>
      </c>
      <c r="T25" s="770" t="s">
        <v>17</v>
      </c>
      <c r="U25" s="771">
        <f>H25</f>
        <v>100</v>
      </c>
      <c r="V25" s="770" t="s">
        <v>17</v>
      </c>
      <c r="W25" s="771">
        <f>J25</f>
        <v>100</v>
      </c>
      <c r="X25" s="772"/>
      <c r="Y25" s="3221"/>
      <c r="Z25" s="55">
        <f>Q25</f>
        <v>111</v>
      </c>
      <c r="AA25" s="1814">
        <f>D25/F25</f>
        <v>1</v>
      </c>
      <c r="AB25" s="1814">
        <f>D25/H25</f>
        <v>1</v>
      </c>
      <c r="AC25" s="1814">
        <f>D25/J25</f>
        <v>1</v>
      </c>
    </row>
    <row r="26" spans="1:29" ht="15">
      <c r="A26" s="466" t="s">
        <v>2554</v>
      </c>
      <c r="B26" s="71" t="s">
        <v>2705</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222"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3"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3"/>
      <c r="Q28" s="1813" t="str">
        <f t="shared" si="11"/>
        <v>物业等级</v>
      </c>
      <c r="R28" s="774" t="s">
        <v>17</v>
      </c>
      <c r="S28" s="775">
        <f t="shared" si="12"/>
        <v>100</v>
      </c>
      <c r="T28" s="774" t="s">
        <v>17</v>
      </c>
      <c r="U28" s="775">
        <f t="shared" si="13"/>
        <v>100</v>
      </c>
      <c r="V28" s="774" t="s">
        <v>17</v>
      </c>
      <c r="W28" s="775">
        <f t="shared" si="14"/>
        <v>100</v>
      </c>
      <c r="X28" s="1816"/>
      <c r="Y28" s="3223"/>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3"/>
      <c r="Q29" s="1813" t="str">
        <f t="shared" si="11"/>
        <v>有无电梯</v>
      </c>
      <c r="R29" s="774" t="s">
        <v>17</v>
      </c>
      <c r="S29" s="775">
        <f t="shared" si="12"/>
        <v>100</v>
      </c>
      <c r="T29" s="774" t="s">
        <v>17</v>
      </c>
      <c r="U29" s="775">
        <f t="shared" si="13"/>
        <v>100</v>
      </c>
      <c r="V29" s="774" t="s">
        <v>17</v>
      </c>
      <c r="W29" s="775">
        <f t="shared" si="14"/>
        <v>100</v>
      </c>
      <c r="X29" s="1816"/>
      <c r="Y29" s="3223"/>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3"/>
      <c r="Q30" s="1813" t="str">
        <f t="shared" si="11"/>
        <v>建筑面积</v>
      </c>
      <c r="R30" s="774" t="s">
        <v>17</v>
      </c>
      <c r="S30" s="775" t="e">
        <f t="shared" si="12"/>
        <v>#N/A</v>
      </c>
      <c r="T30" s="774" t="s">
        <v>17</v>
      </c>
      <c r="U30" s="775" t="e">
        <f t="shared" si="13"/>
        <v>#N/A</v>
      </c>
      <c r="V30" s="774" t="s">
        <v>17</v>
      </c>
      <c r="W30" s="775" t="e">
        <f t="shared" si="14"/>
        <v>#N/A</v>
      </c>
      <c r="X30" s="1816"/>
      <c r="Y30" s="3223"/>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3"/>
      <c r="Q31" s="1798"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3" t="s">
        <v>2556</v>
      </c>
      <c r="Q32" s="1813">
        <f t="shared" si="11"/>
        <v>111</v>
      </c>
      <c r="R32" s="774" t="s">
        <v>17</v>
      </c>
      <c r="S32" s="775">
        <f t="shared" si="12"/>
        <v>100</v>
      </c>
      <c r="T32" s="774" t="s">
        <v>17</v>
      </c>
      <c r="U32" s="775">
        <f t="shared" si="13"/>
        <v>100</v>
      </c>
      <c r="V32" s="774" t="s">
        <v>17</v>
      </c>
      <c r="W32" s="775">
        <f t="shared" si="14"/>
        <v>100</v>
      </c>
      <c r="X32" s="1816"/>
      <c r="Y32" s="3223" t="s">
        <v>2556</v>
      </c>
      <c r="Z32" s="1817">
        <f t="shared" si="15"/>
        <v>111</v>
      </c>
      <c r="AA32" s="1814">
        <f t="shared" si="3"/>
        <v>1</v>
      </c>
      <c r="AB32" s="1814">
        <f t="shared" si="4"/>
        <v>1</v>
      </c>
      <c r="AC32" s="1814">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3"/>
      <c r="Q33" s="1813">
        <f t="shared" si="11"/>
        <v>111</v>
      </c>
      <c r="R33" s="774" t="s">
        <v>17</v>
      </c>
      <c r="S33" s="775">
        <f t="shared" si="12"/>
        <v>100</v>
      </c>
      <c r="T33" s="774" t="s">
        <v>17</v>
      </c>
      <c r="U33" s="775">
        <f t="shared" si="13"/>
        <v>100</v>
      </c>
      <c r="V33" s="774" t="s">
        <v>17</v>
      </c>
      <c r="W33" s="775">
        <f t="shared" si="14"/>
        <v>100</v>
      </c>
      <c r="X33" s="1816"/>
      <c r="Y33" s="3223"/>
      <c r="Z33" s="1817">
        <f t="shared" si="15"/>
        <v>111</v>
      </c>
      <c r="AA33" s="1814">
        <f t="shared" si="3"/>
        <v>1</v>
      </c>
      <c r="AB33" s="1814">
        <f t="shared" si="4"/>
        <v>1</v>
      </c>
      <c r="AC33" s="1814">
        <f t="shared" si="5"/>
        <v>1</v>
      </c>
    </row>
    <row r="34" spans="1:29" ht="15.75" thickBot="1">
      <c r="A34" s="478"/>
      <c r="B34" s="2599">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223"/>
      <c r="Q34" s="1813">
        <f t="shared" si="11"/>
        <v>111</v>
      </c>
      <c r="R34" s="774" t="s">
        <v>17</v>
      </c>
      <c r="S34" s="775">
        <f t="shared" si="12"/>
        <v>100</v>
      </c>
      <c r="T34" s="774" t="s">
        <v>17</v>
      </c>
      <c r="U34" s="775">
        <f t="shared" si="13"/>
        <v>100</v>
      </c>
      <c r="V34" s="774" t="s">
        <v>17</v>
      </c>
      <c r="W34" s="775">
        <f t="shared" si="14"/>
        <v>100</v>
      </c>
      <c r="X34" s="1816"/>
      <c r="Y34" s="3223"/>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218" t="str">
        <f>A35</f>
        <v>成交单价（元/平方米）</v>
      </c>
      <c r="Q35" s="3218"/>
      <c r="R35" s="3283">
        <f>E35</f>
        <v>0</v>
      </c>
      <c r="S35" s="3283"/>
      <c r="T35" s="3283">
        <f>G35</f>
        <v>0</v>
      </c>
      <c r="U35" s="3283"/>
      <c r="V35" s="3283">
        <f>I35</f>
        <v>0</v>
      </c>
      <c r="W35" s="3283"/>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218" t="str">
        <f>A36</f>
        <v>比较价值（元/平方米）</v>
      </c>
      <c r="Q36" s="3218"/>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12" t="str">
        <f>A37</f>
        <v>估价对象XX用房的比较价值（楼面单价，元/平方米）</v>
      </c>
      <c r="Q37" s="3213"/>
      <c r="R37" s="3282" t="e">
        <f>IF(F1="售价",ROUND(AVERAGE(R36:V36),0),ROUND(AVERAGE(R36:V36),1))</f>
        <v>#DIV/0!</v>
      </c>
      <c r="S37" s="3282"/>
      <c r="T37" s="3282"/>
      <c r="U37" s="3282"/>
      <c r="V37" s="3282"/>
      <c r="W37" s="328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15" t="s">
        <v>2637</v>
      </c>
      <c r="D4" s="3228"/>
      <c r="E4" s="3229" t="s">
        <v>2638</v>
      </c>
      <c r="F4" s="3230"/>
      <c r="G4" s="3215" t="s">
        <v>2639</v>
      </c>
      <c r="H4" s="3228"/>
      <c r="I4" s="3215" t="s">
        <v>2640</v>
      </c>
      <c r="J4" s="3228"/>
      <c r="K4" s="610" t="s">
        <v>2641</v>
      </c>
      <c r="L4" s="1133"/>
      <c r="M4" s="1134"/>
      <c r="N4" s="1134"/>
      <c r="O4" s="1134"/>
      <c r="P4" s="3231" t="s">
        <v>2642</v>
      </c>
      <c r="Q4" s="3232"/>
      <c r="R4" s="3237" t="s">
        <v>2638</v>
      </c>
      <c r="S4" s="3238"/>
      <c r="T4" s="3237" t="s">
        <v>2639</v>
      </c>
      <c r="U4" s="3238"/>
      <c r="V4" s="3224" t="s">
        <v>2640</v>
      </c>
      <c r="W4" s="3224"/>
      <c r="X4" s="1816"/>
      <c r="Y4" s="3237" t="s">
        <v>2642</v>
      </c>
      <c r="Z4" s="3238"/>
      <c r="AA4" s="3225" t="s">
        <v>2638</v>
      </c>
      <c r="AB4" s="3226" t="s">
        <v>2639</v>
      </c>
      <c r="AC4" s="3225" t="s">
        <v>2640</v>
      </c>
    </row>
    <row r="5" spans="1:29" ht="15">
      <c r="A5" s="404"/>
      <c r="B5" s="405"/>
      <c r="C5" s="3245" t="s">
        <v>2533</v>
      </c>
      <c r="D5" s="3246"/>
      <c r="E5" s="3253" t="s">
        <v>2534</v>
      </c>
      <c r="F5" s="3254"/>
      <c r="G5" s="3245" t="s">
        <v>2535</v>
      </c>
      <c r="H5" s="3246"/>
      <c r="I5" s="3245" t="s">
        <v>2536</v>
      </c>
      <c r="J5" s="3246"/>
      <c r="K5" s="610"/>
      <c r="L5" s="1133"/>
      <c r="M5" s="1134"/>
      <c r="N5" s="1134"/>
      <c r="O5" s="1134"/>
      <c r="P5" s="3233"/>
      <c r="Q5" s="3234"/>
      <c r="R5" s="3239"/>
      <c r="S5" s="3240"/>
      <c r="T5" s="3239"/>
      <c r="U5" s="3240"/>
      <c r="V5" s="3224"/>
      <c r="W5" s="3224"/>
      <c r="X5" s="1816"/>
      <c r="Y5" s="3239"/>
      <c r="Z5" s="3240"/>
      <c r="AA5" s="3226"/>
      <c r="AB5" s="3226"/>
      <c r="AC5" s="3226"/>
    </row>
    <row r="6" spans="1:29" ht="15.75" thickBot="1">
      <c r="A6" s="406"/>
      <c r="B6" s="407"/>
      <c r="C6" s="3308" t="s">
        <v>2788</v>
      </c>
      <c r="D6" s="3309"/>
      <c r="E6" s="3310" t="s">
        <v>2788</v>
      </c>
      <c r="F6" s="3311"/>
      <c r="G6" s="3308" t="s">
        <v>2788</v>
      </c>
      <c r="H6" s="3309"/>
      <c r="I6" s="3308" t="s">
        <v>2788</v>
      </c>
      <c r="J6" s="3309"/>
      <c r="K6" s="610" t="s">
        <v>2538</v>
      </c>
      <c r="L6" s="1133"/>
      <c r="M6" s="1134"/>
      <c r="N6" s="1134"/>
      <c r="O6" s="1134"/>
      <c r="P6" s="3235"/>
      <c r="Q6" s="3236"/>
      <c r="R6" s="3239"/>
      <c r="S6" s="3240"/>
      <c r="T6" s="3241"/>
      <c r="U6" s="3242"/>
      <c r="V6" s="3224"/>
      <c r="W6" s="3224"/>
      <c r="X6" s="1816"/>
      <c r="Y6" s="3241"/>
      <c r="Z6" s="3242"/>
      <c r="AA6" s="3227"/>
      <c r="AB6" s="3227"/>
      <c r="AC6" s="3227"/>
    </row>
    <row r="7" spans="1:29" s="117" customFormat="1" ht="15.75" thickBot="1">
      <c r="A7" s="408" t="s">
        <v>2539</v>
      </c>
      <c r="B7" s="409"/>
      <c r="C7" s="410">
        <f>'数据-取费表'!B2</f>
        <v>43307</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247" t="s">
        <v>2540</v>
      </c>
      <c r="Q7" s="3249"/>
      <c r="R7" s="770" t="s">
        <v>17</v>
      </c>
      <c r="S7" s="771">
        <f t="shared" ref="S7:S15" si="0">F7</f>
        <v>0</v>
      </c>
      <c r="T7" s="770" t="s">
        <v>17</v>
      </c>
      <c r="U7" s="771">
        <f t="shared" ref="U7:U15" si="1">H7</f>
        <v>0</v>
      </c>
      <c r="V7" s="770" t="s">
        <v>17</v>
      </c>
      <c r="W7" s="771">
        <f t="shared" ref="W7:W15" si="2">J7</f>
        <v>0</v>
      </c>
      <c r="X7" s="772"/>
      <c r="Y7" s="3247" t="s">
        <v>2540</v>
      </c>
      <c r="Z7" s="3248"/>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7" t="s">
        <v>2543</v>
      </c>
      <c r="Q8" s="3248"/>
      <c r="R8" s="770" t="s">
        <v>17</v>
      </c>
      <c r="S8" s="771">
        <f t="shared" si="0"/>
        <v>0</v>
      </c>
      <c r="T8" s="770" t="s">
        <v>17</v>
      </c>
      <c r="U8" s="771">
        <f t="shared" si="1"/>
        <v>0</v>
      </c>
      <c r="V8" s="770" t="s">
        <v>17</v>
      </c>
      <c r="W8" s="771">
        <f t="shared" si="2"/>
        <v>0</v>
      </c>
      <c r="X8" s="772"/>
      <c r="Y8" s="3247" t="s">
        <v>2543</v>
      </c>
      <c r="Z8" s="3248"/>
      <c r="AA8" s="773" t="e">
        <f t="shared" ref="AA8:AA40" si="3">D8/F8</f>
        <v>#DIV/0!</v>
      </c>
      <c r="AB8" s="773" t="e">
        <f t="shared" ref="AB8:AB40" si="4">D8/H8</f>
        <v>#DIV/0!</v>
      </c>
      <c r="AC8" s="773" t="e">
        <f t="shared" ref="AC8:AC40" si="5">D8/J8</f>
        <v>#DIV/0!</v>
      </c>
    </row>
    <row r="9" spans="1:29" s="117" customFormat="1">
      <c r="A9" s="415" t="s">
        <v>2544</v>
      </c>
      <c r="B9" s="71" t="s">
        <v>2545</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218" t="s">
        <v>2546</v>
      </c>
      <c r="Q9" s="1798" t="str">
        <f t="shared" ref="Q9:Q15" si="6">B9</f>
        <v>用途</v>
      </c>
      <c r="R9" s="770" t="s">
        <v>17</v>
      </c>
      <c r="S9" s="771">
        <f t="shared" si="0"/>
        <v>100</v>
      </c>
      <c r="T9" s="770" t="s">
        <v>17</v>
      </c>
      <c r="U9" s="771">
        <f t="shared" si="1"/>
        <v>100</v>
      </c>
      <c r="V9" s="770" t="s">
        <v>17</v>
      </c>
      <c r="W9" s="771">
        <f t="shared" si="2"/>
        <v>100</v>
      </c>
      <c r="X9" s="772"/>
      <c r="Y9" s="3066"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218"/>
      <c r="Q10" s="1798" t="str">
        <f t="shared" si="6"/>
        <v>土地使用年限（年）</v>
      </c>
      <c r="R10" s="770" t="s">
        <v>17</v>
      </c>
      <c r="S10" s="771">
        <f t="shared" si="0"/>
        <v>102</v>
      </c>
      <c r="T10" s="770" t="s">
        <v>17</v>
      </c>
      <c r="U10" s="771">
        <f t="shared" si="1"/>
        <v>102</v>
      </c>
      <c r="V10" s="770" t="s">
        <v>17</v>
      </c>
      <c r="W10" s="771">
        <f t="shared" si="2"/>
        <v>102</v>
      </c>
      <c r="X10" s="772"/>
      <c r="Y10" s="3066"/>
      <c r="Z10" s="55" t="str">
        <f t="shared" si="7"/>
        <v>土地使用年限（年）</v>
      </c>
      <c r="AA10" s="773">
        <f t="shared" si="3"/>
        <v>0.98039215686274506</v>
      </c>
      <c r="AB10" s="773">
        <f t="shared" si="4"/>
        <v>0.98039215686274506</v>
      </c>
      <c r="AC10" s="773">
        <f t="shared" si="5"/>
        <v>0.98039215686274506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8"/>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8"/>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8"/>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8"/>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2550</v>
      </c>
      <c r="B15" s="629" t="s">
        <v>2789</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0" t="s">
        <v>2551</v>
      </c>
      <c r="Q15" s="1813" t="str">
        <f t="shared" si="6"/>
        <v>产业集聚程度</v>
      </c>
      <c r="R15" s="774" t="s">
        <v>17</v>
      </c>
      <c r="S15" s="775">
        <f t="shared" si="0"/>
        <v>100</v>
      </c>
      <c r="T15" s="774" t="s">
        <v>17</v>
      </c>
      <c r="U15" s="775">
        <f t="shared" si="1"/>
        <v>100</v>
      </c>
      <c r="V15" s="774" t="s">
        <v>17</v>
      </c>
      <c r="W15" s="775">
        <f t="shared" si="2"/>
        <v>100</v>
      </c>
      <c r="X15" s="1816"/>
      <c r="Y15" s="3220" t="s">
        <v>2551</v>
      </c>
      <c r="Z15" s="1817" t="str">
        <f t="shared" si="7"/>
        <v>产业集聚程度</v>
      </c>
      <c r="AA15" s="1814">
        <f t="shared" si="3"/>
        <v>1</v>
      </c>
      <c r="AB15" s="1814">
        <f t="shared" si="4"/>
        <v>1</v>
      </c>
      <c r="AC15" s="1814">
        <f t="shared" si="5"/>
        <v>1</v>
      </c>
    </row>
    <row r="16" spans="1:29" ht="15">
      <c r="A16" s="428"/>
      <c r="B16" s="630"/>
      <c r="C16" s="447"/>
      <c r="D16" s="448"/>
      <c r="E16" s="2608"/>
      <c r="F16" s="448"/>
      <c r="G16" s="2608"/>
      <c r="H16" s="450"/>
      <c r="I16" s="2608"/>
      <c r="J16" s="448"/>
      <c r="K16" s="672"/>
      <c r="L16" s="1143"/>
      <c r="M16" s="1134"/>
      <c r="N16" s="1134"/>
      <c r="O16" s="1142"/>
      <c r="P16" s="3221"/>
      <c r="Q16" s="1813"/>
      <c r="R16" s="774"/>
      <c r="S16" s="775"/>
      <c r="T16" s="774"/>
      <c r="U16" s="775"/>
      <c r="V16" s="774"/>
      <c r="W16" s="775"/>
      <c r="X16" s="1816"/>
      <c r="Y16" s="3221"/>
      <c r="Z16" s="1817"/>
      <c r="AA16" s="1814">
        <v>1</v>
      </c>
      <c r="AB16" s="1814">
        <v>1</v>
      </c>
      <c r="AC16" s="1814">
        <v>1</v>
      </c>
    </row>
    <row r="17" spans="1:29" ht="85.5">
      <c r="A17" s="428"/>
      <c r="B17" s="631" t="s">
        <v>2700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1"/>
      <c r="Q17" s="1813" t="str">
        <f>B17</f>
        <v>交通便捷度</v>
      </c>
      <c r="R17" s="774" t="s">
        <v>17</v>
      </c>
      <c r="S17" s="775">
        <f>F17</f>
        <v>100</v>
      </c>
      <c r="T17" s="774" t="s">
        <v>17</v>
      </c>
      <c r="U17" s="775">
        <f>H17</f>
        <v>100</v>
      </c>
      <c r="V17" s="774" t="s">
        <v>17</v>
      </c>
      <c r="W17" s="775">
        <f>J17</f>
        <v>100</v>
      </c>
      <c r="X17" s="1816"/>
      <c r="Y17" s="3221"/>
      <c r="Z17" s="1817" t="str">
        <f>Q17</f>
        <v>交通便捷度</v>
      </c>
      <c r="AA17" s="1814">
        <f t="shared" si="3"/>
        <v>1</v>
      </c>
      <c r="AB17" s="1814">
        <f t="shared" si="4"/>
        <v>1</v>
      </c>
      <c r="AC17" s="1814">
        <f t="shared" si="5"/>
        <v>1</v>
      </c>
    </row>
    <row r="18" spans="1:29" ht="15">
      <c r="A18" s="428"/>
      <c r="B18" s="632"/>
      <c r="C18" s="447"/>
      <c r="D18" s="448"/>
      <c r="E18" s="2602"/>
      <c r="F18" s="448"/>
      <c r="G18" s="2602"/>
      <c r="H18" s="448"/>
      <c r="I18" s="2601"/>
      <c r="J18" s="448"/>
      <c r="K18" s="672"/>
      <c r="L18" s="1143"/>
      <c r="M18" s="1134"/>
      <c r="N18" s="1134"/>
      <c r="O18" s="1142"/>
      <c r="P18" s="3221"/>
      <c r="Q18" s="1813"/>
      <c r="R18" s="774"/>
      <c r="S18" s="775"/>
      <c r="T18" s="774"/>
      <c r="U18" s="775"/>
      <c r="V18" s="774"/>
      <c r="W18" s="775"/>
      <c r="X18" s="1816"/>
      <c r="Y18" s="3221"/>
      <c r="Z18" s="1817"/>
      <c r="AA18" s="1814">
        <v>1</v>
      </c>
      <c r="AB18" s="1814">
        <v>1</v>
      </c>
      <c r="AC18" s="1814">
        <v>1</v>
      </c>
    </row>
    <row r="19" spans="1:29" ht="15">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1"/>
      <c r="Q19" s="1813" t="str">
        <f t="shared" ref="Q19:Q33" si="8">B19</f>
        <v>区域土地利用方向</v>
      </c>
      <c r="R19" s="774" t="s">
        <v>17</v>
      </c>
      <c r="S19" s="775">
        <f>F19</f>
        <v>100</v>
      </c>
      <c r="T19" s="774" t="s">
        <v>17</v>
      </c>
      <c r="U19" s="775">
        <f>H19</f>
        <v>100</v>
      </c>
      <c r="V19" s="774" t="s">
        <v>17</v>
      </c>
      <c r="W19" s="775">
        <f>J19</f>
        <v>100</v>
      </c>
      <c r="X19" s="1816"/>
      <c r="Y19" s="3221"/>
      <c r="Z19" s="1817" t="str">
        <f>Q19</f>
        <v>区域土地利用方向</v>
      </c>
      <c r="AA19" s="1814">
        <f t="shared" si="3"/>
        <v>1</v>
      </c>
      <c r="AB19" s="1814">
        <f t="shared" si="4"/>
        <v>1</v>
      </c>
      <c r="AC19" s="1814">
        <f t="shared" si="5"/>
        <v>1</v>
      </c>
    </row>
    <row r="20" spans="1:29" ht="15">
      <c r="A20" s="404"/>
      <c r="B20" s="632"/>
      <c r="C20" s="447"/>
      <c r="D20" s="448"/>
      <c r="E20" s="2602"/>
      <c r="F20" s="448"/>
      <c r="G20" s="2602"/>
      <c r="H20" s="448"/>
      <c r="I20" s="2602"/>
      <c r="J20" s="448"/>
      <c r="K20" s="812"/>
      <c r="L20" s="1143"/>
      <c r="M20" s="1134"/>
      <c r="N20" s="1134"/>
      <c r="O20" s="1142"/>
      <c r="P20" s="3221"/>
      <c r="Q20" s="1813"/>
      <c r="R20" s="774"/>
      <c r="S20" s="775"/>
      <c r="T20" s="774"/>
      <c r="U20" s="775"/>
      <c r="V20" s="774"/>
      <c r="W20" s="775"/>
      <c r="X20" s="1816"/>
      <c r="Y20" s="3221"/>
      <c r="Z20" s="1817"/>
      <c r="AA20" s="1814"/>
      <c r="AB20" s="1814"/>
      <c r="AC20" s="1814"/>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1"/>
      <c r="Q21" s="1813" t="str">
        <f t="shared" si="8"/>
        <v>环境状况</v>
      </c>
      <c r="R21" s="774" t="s">
        <v>17</v>
      </c>
      <c r="S21" s="775">
        <f>F21</f>
        <v>100</v>
      </c>
      <c r="T21" s="774" t="s">
        <v>17</v>
      </c>
      <c r="U21" s="775">
        <f>H21</f>
        <v>100</v>
      </c>
      <c r="V21" s="774" t="s">
        <v>17</v>
      </c>
      <c r="W21" s="775">
        <f>J21</f>
        <v>100</v>
      </c>
      <c r="X21" s="1816"/>
      <c r="Y21" s="3221"/>
      <c r="Z21" s="1817" t="str">
        <f>Q21</f>
        <v>环境状况</v>
      </c>
      <c r="AA21" s="1814">
        <f t="shared" si="3"/>
        <v>1</v>
      </c>
      <c r="AB21" s="1814">
        <f t="shared" si="4"/>
        <v>1</v>
      </c>
      <c r="AC21" s="1814">
        <f t="shared" si="5"/>
        <v>1</v>
      </c>
    </row>
    <row r="22" spans="1:29" ht="15">
      <c r="A22" s="404"/>
      <c r="B22" s="632"/>
      <c r="C22" s="447"/>
      <c r="D22" s="448"/>
      <c r="E22" s="2608"/>
      <c r="F22" s="448"/>
      <c r="G22" s="2608"/>
      <c r="H22" s="448"/>
      <c r="I22" s="447"/>
      <c r="J22" s="448"/>
      <c r="K22" s="672"/>
      <c r="L22" s="1143"/>
      <c r="M22" s="1134"/>
      <c r="N22" s="1134"/>
      <c r="O22" s="1142"/>
      <c r="P22" s="3221"/>
      <c r="Q22" s="1813"/>
      <c r="R22" s="774"/>
      <c r="S22" s="775"/>
      <c r="T22" s="774"/>
      <c r="U22" s="775"/>
      <c r="V22" s="774"/>
      <c r="W22" s="775"/>
      <c r="X22" s="1816"/>
      <c r="Y22" s="3221"/>
      <c r="Z22" s="1817"/>
      <c r="AA22" s="1814">
        <v>1</v>
      </c>
      <c r="AB22" s="1814">
        <v>1</v>
      </c>
      <c r="AC22" s="1814">
        <v>1</v>
      </c>
    </row>
    <row r="23" spans="1:29" s="117" customFormat="1" ht="42.75">
      <c r="A23" s="649"/>
      <c r="B23" s="633" t="s">
        <v>2645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1"/>
      <c r="Q23" s="1798" t="str">
        <f t="shared" si="8"/>
        <v>公共配套设施</v>
      </c>
      <c r="R23" s="770" t="s">
        <v>17</v>
      </c>
      <c r="S23" s="771">
        <f>F23</f>
        <v>100</v>
      </c>
      <c r="T23" s="770" t="s">
        <v>17</v>
      </c>
      <c r="U23" s="771">
        <f>H23</f>
        <v>100</v>
      </c>
      <c r="V23" s="770" t="s">
        <v>17</v>
      </c>
      <c r="W23" s="771">
        <f>J23</f>
        <v>100</v>
      </c>
      <c r="X23" s="772"/>
      <c r="Y23" s="3221"/>
      <c r="Z23" s="55" t="str">
        <f>Q23</f>
        <v>公共配套设施</v>
      </c>
      <c r="AA23" s="1814">
        <f>D23/F23</f>
        <v>1</v>
      </c>
      <c r="AB23" s="1814">
        <f>D23/H23</f>
        <v>1</v>
      </c>
      <c r="AC23" s="1814">
        <f>D23/J23</f>
        <v>1</v>
      </c>
    </row>
    <row r="24" spans="1:29" s="117" customFormat="1" ht="15">
      <c r="A24" s="649"/>
      <c r="B24" s="632"/>
      <c r="C24" s="2696"/>
      <c r="D24" s="448"/>
      <c r="E24" s="2608"/>
      <c r="F24" s="448"/>
      <c r="G24" s="2608"/>
      <c r="H24" s="448"/>
      <c r="I24" s="447"/>
      <c r="J24" s="448"/>
      <c r="K24" s="672"/>
      <c r="L24" s="1135"/>
      <c r="M24" s="1136"/>
      <c r="N24" s="1136"/>
      <c r="O24" s="1137"/>
      <c r="P24" s="3221"/>
      <c r="Q24" s="1798"/>
      <c r="R24" s="770"/>
      <c r="S24" s="771"/>
      <c r="T24" s="770"/>
      <c r="U24" s="771"/>
      <c r="V24" s="770"/>
      <c r="W24" s="771"/>
      <c r="X24" s="772"/>
      <c r="Y24" s="3221"/>
      <c r="Z24" s="55"/>
      <c r="AA24" s="773">
        <v>1</v>
      </c>
      <c r="AB24" s="773">
        <v>1</v>
      </c>
      <c r="AC24" s="773">
        <v>1</v>
      </c>
    </row>
    <row r="25" spans="1:29" s="117" customFormat="1" ht="28.5">
      <c r="A25" s="649"/>
      <c r="B25" s="633" t="s">
        <v>2646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1"/>
      <c r="Q25" s="1798"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4">
        <f>D25/F25</f>
        <v>1</v>
      </c>
      <c r="AB25" s="1814">
        <f>D25/H25</f>
        <v>1</v>
      </c>
      <c r="AC25" s="1814">
        <f>D25/J25</f>
        <v>1</v>
      </c>
    </row>
    <row r="26" spans="1:29" s="117" customFormat="1" ht="15">
      <c r="A26" s="649"/>
      <c r="B26" s="632"/>
      <c r="C26" s="2696"/>
      <c r="D26" s="448"/>
      <c r="E26" s="2697"/>
      <c r="F26" s="448"/>
      <c r="G26" s="2697"/>
      <c r="H26" s="448"/>
      <c r="I26" s="2697"/>
      <c r="J26" s="448"/>
      <c r="K26" s="672"/>
      <c r="L26" s="1135"/>
      <c r="M26" s="1136"/>
      <c r="N26" s="1136"/>
      <c r="O26" s="1137"/>
      <c r="P26" s="3221"/>
      <c r="Q26" s="1798"/>
      <c r="R26" s="770"/>
      <c r="S26" s="771"/>
      <c r="T26" s="770"/>
      <c r="U26" s="771"/>
      <c r="V26" s="770"/>
      <c r="W26" s="771"/>
      <c r="X26" s="772"/>
      <c r="Y26" s="322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1"/>
      <c r="Z27" s="1817" t="str">
        <f t="shared" ref="Z27:Z40" si="13">Q27</f>
        <v>临街状况</v>
      </c>
      <c r="AA27" s="1814">
        <f t="shared" si="3"/>
        <v>1</v>
      </c>
      <c r="AB27" s="1814">
        <f t="shared" si="4"/>
        <v>1</v>
      </c>
      <c r="AC27" s="1814">
        <f t="shared" si="5"/>
        <v>1</v>
      </c>
    </row>
    <row r="28" spans="1:29" ht="27">
      <c r="A28" s="428"/>
      <c r="B28" s="633" t="s">
        <v>2682</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1"/>
      <c r="Q28" s="1813" t="str">
        <f t="shared" si="8"/>
        <v>毗邻道路的类型与等级</v>
      </c>
      <c r="R28" s="774" t="s">
        <v>17</v>
      </c>
      <c r="S28" s="775">
        <f t="shared" si="10"/>
        <v>100</v>
      </c>
      <c r="T28" s="774" t="s">
        <v>17</v>
      </c>
      <c r="U28" s="775">
        <f t="shared" si="11"/>
        <v>100</v>
      </c>
      <c r="V28" s="774" t="s">
        <v>17</v>
      </c>
      <c r="W28" s="775">
        <f t="shared" si="12"/>
        <v>100</v>
      </c>
      <c r="X28" s="1816"/>
      <c r="Y28" s="3221"/>
      <c r="Z28" s="1817" t="str">
        <f t="shared" si="13"/>
        <v>毗邻道路的类型与等级</v>
      </c>
      <c r="AA28" s="1814">
        <f t="shared" si="3"/>
        <v>1</v>
      </c>
      <c r="AB28" s="1814">
        <f t="shared" si="4"/>
        <v>1</v>
      </c>
      <c r="AC28" s="1814">
        <f t="shared" si="5"/>
        <v>1</v>
      </c>
    </row>
    <row r="29" spans="1:29" ht="15">
      <c r="A29" s="428"/>
      <c r="B29" s="632"/>
      <c r="C29" s="447"/>
      <c r="D29" s="448"/>
      <c r="E29" s="2608"/>
      <c r="F29" s="448"/>
      <c r="G29" s="2608"/>
      <c r="H29" s="448"/>
      <c r="I29" s="2608"/>
      <c r="J29" s="448"/>
      <c r="K29" s="613"/>
      <c r="L29" s="1143"/>
      <c r="M29" s="1134"/>
      <c r="N29" s="1134"/>
      <c r="O29" s="1142"/>
      <c r="P29" s="3221"/>
      <c r="Q29" s="1813"/>
      <c r="R29" s="774"/>
      <c r="S29" s="775"/>
      <c r="T29" s="774"/>
      <c r="U29" s="775"/>
      <c r="V29" s="774"/>
      <c r="W29" s="775"/>
      <c r="X29" s="1816"/>
      <c r="Y29" s="3221"/>
      <c r="Z29" s="1817"/>
      <c r="AA29" s="1814">
        <v>1</v>
      </c>
      <c r="AB29" s="1814">
        <v>1</v>
      </c>
      <c r="AC29" s="1814">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1"/>
      <c r="Q30" s="1813" t="str">
        <f t="shared" si="8"/>
        <v>土地级别</v>
      </c>
      <c r="R30" s="774" t="s">
        <v>17</v>
      </c>
      <c r="S30" s="775">
        <f t="shared" si="10"/>
        <v>100</v>
      </c>
      <c r="T30" s="774" t="s">
        <v>17</v>
      </c>
      <c r="U30" s="775">
        <f t="shared" si="11"/>
        <v>100</v>
      </c>
      <c r="V30" s="774" t="s">
        <v>17</v>
      </c>
      <c r="W30" s="775">
        <f t="shared" si="12"/>
        <v>100</v>
      </c>
      <c r="X30" s="1816"/>
      <c r="Y30" s="3221"/>
      <c r="Z30" s="1817" t="str">
        <f t="shared" si="13"/>
        <v>土地级别</v>
      </c>
      <c r="AA30" s="1814">
        <f t="shared" si="3"/>
        <v>1</v>
      </c>
      <c r="AB30" s="1814">
        <f t="shared" si="4"/>
        <v>1</v>
      </c>
      <c r="AC30" s="1814">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1"/>
      <c r="Q31" s="1813">
        <f t="shared" si="8"/>
        <v>111</v>
      </c>
      <c r="R31" s="774" t="s">
        <v>17</v>
      </c>
      <c r="S31" s="775">
        <f t="shared" si="10"/>
        <v>100</v>
      </c>
      <c r="T31" s="774" t="s">
        <v>17</v>
      </c>
      <c r="U31" s="775">
        <f t="shared" si="11"/>
        <v>100</v>
      </c>
      <c r="V31" s="774" t="s">
        <v>17</v>
      </c>
      <c r="W31" s="775">
        <f t="shared" si="12"/>
        <v>100</v>
      </c>
      <c r="X31" s="1816"/>
      <c r="Y31" s="3221"/>
      <c r="Z31" s="1817">
        <f t="shared" si="13"/>
        <v>111</v>
      </c>
      <c r="AA31" s="1814">
        <f t="shared" si="3"/>
        <v>1</v>
      </c>
      <c r="AB31" s="1814">
        <f t="shared" si="4"/>
        <v>1</v>
      </c>
      <c r="AC31" s="1814">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2" t="s">
        <v>2556</v>
      </c>
      <c r="Q32" s="1813">
        <f t="shared" si="8"/>
        <v>111</v>
      </c>
      <c r="R32" s="774" t="s">
        <v>17</v>
      </c>
      <c r="S32" s="775">
        <f t="shared" si="10"/>
        <v>100</v>
      </c>
      <c r="T32" s="774" t="s">
        <v>17</v>
      </c>
      <c r="U32" s="775">
        <f t="shared" si="11"/>
        <v>100</v>
      </c>
      <c r="V32" s="774" t="s">
        <v>17</v>
      </c>
      <c r="W32" s="775">
        <f t="shared" si="12"/>
        <v>100</v>
      </c>
      <c r="X32" s="1816"/>
      <c r="Y32" s="3223" t="s">
        <v>2556</v>
      </c>
      <c r="Z32" s="1817">
        <f t="shared" si="13"/>
        <v>111</v>
      </c>
      <c r="AA32" s="1814">
        <f t="shared" si="3"/>
        <v>1</v>
      </c>
      <c r="AB32" s="1814">
        <f t="shared" si="4"/>
        <v>1</v>
      </c>
      <c r="AC32" s="1814">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3"/>
      <c r="Q33" s="1813">
        <f t="shared" si="8"/>
        <v>111</v>
      </c>
      <c r="R33" s="777" t="s">
        <v>17</v>
      </c>
      <c r="S33" s="778">
        <f t="shared" si="10"/>
        <v>100</v>
      </c>
      <c r="T33" s="777" t="s">
        <v>17</v>
      </c>
      <c r="U33" s="778">
        <f t="shared" si="11"/>
        <v>100</v>
      </c>
      <c r="V33" s="777" t="s">
        <v>17</v>
      </c>
      <c r="W33" s="778">
        <f t="shared" si="12"/>
        <v>100</v>
      </c>
      <c r="X33" s="779"/>
      <c r="Y33" s="3223"/>
      <c r="Z33" s="780">
        <f t="shared" si="13"/>
        <v>111</v>
      </c>
      <c r="AA33" s="1814">
        <f t="shared" si="3"/>
        <v>1</v>
      </c>
      <c r="AB33" s="1814">
        <f t="shared" si="4"/>
        <v>1</v>
      </c>
      <c r="AC33" s="1814">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3"/>
      <c r="Q34" s="1813" t="str">
        <f>B34</f>
        <v>宗地面积</v>
      </c>
      <c r="R34" s="774" t="s">
        <v>17</v>
      </c>
      <c r="S34" s="775" t="e">
        <f t="shared" si="10"/>
        <v>#N/A</v>
      </c>
      <c r="T34" s="774" t="s">
        <v>17</v>
      </c>
      <c r="U34" s="775" t="e">
        <f t="shared" si="11"/>
        <v>#N/A</v>
      </c>
      <c r="V34" s="774" t="s">
        <v>17</v>
      </c>
      <c r="W34" s="775" t="e">
        <f t="shared" si="12"/>
        <v>#N/A</v>
      </c>
      <c r="X34" s="1816"/>
      <c r="Y34" s="3223"/>
      <c r="Z34" s="1817" t="str">
        <f t="shared" si="13"/>
        <v>宗地面积</v>
      </c>
      <c r="AA34" s="1814" t="e">
        <f t="shared" si="3"/>
        <v>#N/A</v>
      </c>
      <c r="AB34" s="1814" t="e">
        <f t="shared" si="4"/>
        <v>#N/A</v>
      </c>
      <c r="AC34" s="1814"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3"/>
      <c r="M35" s="1134"/>
      <c r="N35" s="1134"/>
      <c r="O35" s="1142"/>
      <c r="P35" s="3223"/>
      <c r="Q35" s="1813" t="str">
        <f t="shared" ref="Q35:Q40" si="14">B35</f>
        <v>宗地形状</v>
      </c>
      <c r="R35" s="774" t="s">
        <v>17</v>
      </c>
      <c r="S35" s="775">
        <f t="shared" si="10"/>
        <v>100</v>
      </c>
      <c r="T35" s="774" t="s">
        <v>17</v>
      </c>
      <c r="U35" s="775">
        <f t="shared" si="11"/>
        <v>100</v>
      </c>
      <c r="V35" s="774" t="s">
        <v>17</v>
      </c>
      <c r="W35" s="775">
        <f t="shared" si="12"/>
        <v>100</v>
      </c>
      <c r="X35" s="1816"/>
      <c r="Y35" s="3223"/>
      <c r="Z35" s="1817" t="str">
        <f t="shared" si="13"/>
        <v>宗地形状</v>
      </c>
      <c r="AA35" s="1814">
        <f t="shared" si="3"/>
        <v>1</v>
      </c>
      <c r="AB35" s="1814">
        <f t="shared" si="4"/>
        <v>1</v>
      </c>
      <c r="AC35" s="1814">
        <f t="shared" si="5"/>
        <v>1</v>
      </c>
    </row>
    <row r="36" spans="1:29" s="117" customFormat="1" ht="15">
      <c r="A36" s="473"/>
      <c r="B36" s="422" t="s">
        <v>2745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223"/>
      <c r="Q36" s="1813"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3"/>
      <c r="M37" s="1134"/>
      <c r="N37" s="1134"/>
      <c r="O37" s="1142"/>
      <c r="P37" s="3223" t="s">
        <v>2556</v>
      </c>
      <c r="Q37" s="1813" t="str">
        <f t="shared" si="14"/>
        <v>工程地质条件</v>
      </c>
      <c r="R37" s="774" t="s">
        <v>17</v>
      </c>
      <c r="S37" s="775">
        <f t="shared" si="10"/>
        <v>100</v>
      </c>
      <c r="T37" s="774" t="s">
        <v>17</v>
      </c>
      <c r="U37" s="775">
        <f t="shared" si="11"/>
        <v>100</v>
      </c>
      <c r="V37" s="774" t="s">
        <v>17</v>
      </c>
      <c r="W37" s="775">
        <f t="shared" si="12"/>
        <v>100</v>
      </c>
      <c r="X37" s="1816"/>
      <c r="Y37" s="3223" t="s">
        <v>2556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3"/>
      <c r="Q38" s="1813">
        <f t="shared" si="14"/>
        <v>111</v>
      </c>
      <c r="R38" s="774" t="s">
        <v>17</v>
      </c>
      <c r="S38" s="775">
        <f t="shared" si="10"/>
        <v>100</v>
      </c>
      <c r="T38" s="774" t="s">
        <v>17</v>
      </c>
      <c r="U38" s="775">
        <f t="shared" si="11"/>
        <v>100</v>
      </c>
      <c r="V38" s="774" t="s">
        <v>17</v>
      </c>
      <c r="W38" s="775">
        <f t="shared" si="12"/>
        <v>100</v>
      </c>
      <c r="X38" s="1816"/>
      <c r="Y38" s="322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3"/>
      <c r="Q39" s="1813">
        <f t="shared" si="14"/>
        <v>111</v>
      </c>
      <c r="R39" s="774" t="s">
        <v>17</v>
      </c>
      <c r="S39" s="775">
        <f t="shared" si="10"/>
        <v>100</v>
      </c>
      <c r="T39" s="774" t="s">
        <v>17</v>
      </c>
      <c r="U39" s="775">
        <f t="shared" si="11"/>
        <v>100</v>
      </c>
      <c r="V39" s="774" t="s">
        <v>17</v>
      </c>
      <c r="W39" s="775">
        <f t="shared" si="12"/>
        <v>100</v>
      </c>
      <c r="X39" s="1816"/>
      <c r="Y39" s="3223"/>
      <c r="Z39" s="1817">
        <f t="shared" si="13"/>
        <v>111</v>
      </c>
      <c r="AA39" s="1814">
        <f t="shared" si="3"/>
        <v>1</v>
      </c>
      <c r="AB39" s="1814">
        <f t="shared" si="4"/>
        <v>1</v>
      </c>
      <c r="AC39" s="1814">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3"/>
      <c r="Q40" s="1813">
        <f t="shared" si="14"/>
        <v>111</v>
      </c>
      <c r="R40" s="777" t="s">
        <v>17</v>
      </c>
      <c r="S40" s="778">
        <f t="shared" si="10"/>
        <v>100</v>
      </c>
      <c r="T40" s="777" t="s">
        <v>17</v>
      </c>
      <c r="U40" s="778">
        <f t="shared" si="11"/>
        <v>100</v>
      </c>
      <c r="V40" s="777" t="s">
        <v>17</v>
      </c>
      <c r="W40" s="778">
        <f t="shared" si="12"/>
        <v>100</v>
      </c>
      <c r="X40" s="779"/>
      <c r="Y40" s="3223"/>
      <c r="Z40" s="780">
        <f t="shared" si="13"/>
        <v>111</v>
      </c>
      <c r="AA40" s="1814">
        <f t="shared" si="3"/>
        <v>1</v>
      </c>
      <c r="AB40" s="1814">
        <f t="shared" si="4"/>
        <v>1</v>
      </c>
      <c r="AC40" s="1814">
        <f t="shared" si="5"/>
        <v>1</v>
      </c>
    </row>
    <row r="41" spans="1:29" ht="15">
      <c r="A41" s="479" t="s">
        <v>2711</v>
      </c>
      <c r="B41" s="2700" t="s">
        <v>2791</v>
      </c>
      <c r="C41" s="682" t="s">
        <v>1</v>
      </c>
      <c r="D41" s="481"/>
      <c r="E41" s="482"/>
      <c r="F41" s="483"/>
      <c r="G41" s="484"/>
      <c r="H41" s="485"/>
      <c r="I41" s="482"/>
      <c r="J41" s="485"/>
      <c r="K41" s="783"/>
      <c r="L41" s="1146"/>
      <c r="M41" s="1134"/>
      <c r="N41" s="1134"/>
      <c r="O41" s="1147"/>
      <c r="P41" s="3218" t="str">
        <f>A41</f>
        <v>成交单价</v>
      </c>
      <c r="Q41" s="3218"/>
      <c r="R41" s="3224">
        <f>E41</f>
        <v>0</v>
      </c>
      <c r="S41" s="3224"/>
      <c r="T41" s="3224">
        <f>G41</f>
        <v>0</v>
      </c>
      <c r="U41" s="3224"/>
      <c r="V41" s="3224">
        <f>I41</f>
        <v>0</v>
      </c>
      <c r="W41" s="3224"/>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218" t="str">
        <f>A42</f>
        <v>比较价值（元/平方米）</v>
      </c>
      <c r="Q42" s="3218"/>
      <c r="R42" s="3211" t="e">
        <f>ROUND(PRODUCT(R41,AA7:AA40),0)</f>
        <v>#DIV/0!</v>
      </c>
      <c r="S42" s="3211"/>
      <c r="T42" s="3211" t="e">
        <f>ROUND(PRODUCT(T41,AB7:AB40),0)</f>
        <v>#DIV/0!</v>
      </c>
      <c r="U42" s="3211"/>
      <c r="V42" s="3211" t="e">
        <f>ROUND(PRODUCT(V41,AC7:AC40),0)</f>
        <v>#DIV/0!</v>
      </c>
      <c r="W42" s="3211"/>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212" t="str">
        <f>A43</f>
        <v>估价对象XX用房的比较价值（楼面单价，元/平方米）</v>
      </c>
      <c r="Q43" s="3213"/>
      <c r="R43" s="3214" t="e">
        <f>ROUND(AVERAGE(R42:V42),0)</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1" t="s">
        <v>2751</v>
      </c>
      <c r="D50" s="2702" t="s">
        <v>2752</v>
      </c>
      <c r="E50" s="686" t="s">
        <v>2753</v>
      </c>
      <c r="F50" s="687" t="s">
        <v>2754</v>
      </c>
      <c r="G50" s="3215" t="s">
        <v>2755</v>
      </c>
      <c r="H50" s="3216"/>
      <c r="I50" s="1817" t="s">
        <v>2792</v>
      </c>
      <c r="J50" s="1817" t="str">
        <f>项目基本情况!F35</f>
        <v>河南省开封市</v>
      </c>
      <c r="K50" s="2704" t="s">
        <v>2757</v>
      </c>
      <c r="L50" s="1109"/>
      <c r="M50" s="1147"/>
      <c r="N50" s="1147"/>
      <c r="O50" s="1147"/>
    </row>
    <row r="51" spans="1:17" s="692" customFormat="1">
      <c r="A51" s="688" t="s">
        <v>2758</v>
      </c>
      <c r="B51" s="689" t="e">
        <f>C43</f>
        <v>#DIV/0!</v>
      </c>
      <c r="C51" s="690">
        <v>1</v>
      </c>
      <c r="D51" s="1166">
        <v>1</v>
      </c>
      <c r="E51" s="690">
        <f>'数据-汇总表'!E8+'数据-汇总表'!E9</f>
        <v>5274.8599999999988</v>
      </c>
      <c r="F51" s="691" t="e">
        <f t="shared" ref="F51:F60" si="15">ROUND(B51*E51/10000,0)</f>
        <v>#DIV/0!</v>
      </c>
      <c r="G51" s="3217"/>
      <c r="H51" s="3218"/>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19"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19"/>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19"/>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19"/>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05"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05"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06"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1764.17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07" t="s">
        <v>2773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2" t="s">
        <v>2793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2795</v>
      </c>
      <c r="B1" s="241"/>
      <c r="C1" s="245" t="s">
        <v>2796</v>
      </c>
      <c r="D1" s="388">
        <f>SUM(D29:D30,D33:D39)</f>
        <v>0</v>
      </c>
      <c r="E1" s="2713"/>
      <c r="F1" s="2713"/>
      <c r="G1" s="2713"/>
      <c r="H1" s="2713"/>
      <c r="I1" s="2713"/>
      <c r="J1" s="2713"/>
      <c r="K1" s="1373"/>
      <c r="L1" s="2714" t="s">
        <v>2797</v>
      </c>
      <c r="M1" s="1083">
        <f>SUMPRODUCT((区片价!B5:B9=I2)*(区片价!C3:F3=E2)*(区片价!C5:F9))</f>
        <v>0</v>
      </c>
      <c r="N1" s="1086">
        <f>SUMPRODUCT((因素修正幅度!B5:B9=I2)*(因素修正幅度!C3:F3=E2)*(因素修正幅度!C5:F9))</f>
        <v>0</v>
      </c>
      <c r="O1" s="2715"/>
      <c r="P1" s="2715"/>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17" t="s">
        <v>2804</v>
      </c>
      <c r="D2" s="2718" t="s">
        <v>2805</v>
      </c>
      <c r="E2" s="2719"/>
      <c r="F2" s="2718" t="s">
        <v>2806</v>
      </c>
      <c r="G2" s="2720">
        <f>IF(E2="商业",项目基本情况!B37,IF(E2="办公",项目基本情况!C37,IF(E2="住宅",项目基本情况!D37,项目基本情况!E37)))</f>
        <v>0</v>
      </c>
      <c r="H2" s="2718" t="s">
        <v>2807</v>
      </c>
      <c r="I2" s="2720">
        <f>IF(E2="商业",项目基本情况!B38,IF(E2="办公",项目基本情况!C38,IF(E2="住宅",项目基本情况!D38,项目基本情况!E38)))</f>
        <v>0</v>
      </c>
      <c r="J2" s="2721"/>
      <c r="K2" s="1373"/>
      <c r="L2" s="2722"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17" t="s">
        <v>2810</v>
      </c>
      <c r="D3" s="2718" t="s">
        <v>2811</v>
      </c>
      <c r="E3" s="2723"/>
      <c r="F3" s="2724" t="s">
        <v>2812</v>
      </c>
      <c r="G3" s="916">
        <f>IF(F3="宗地容积率",'数据-汇总表'!I4,IF(F3="估价对象容积率",'数据-汇总表'!I6,'数据-汇总表'!I7))</f>
        <v>2.1</v>
      </c>
      <c r="H3" s="198" t="s">
        <v>2813</v>
      </c>
      <c r="I3" s="947"/>
      <c r="J3" s="2721" t="s">
        <v>2814</v>
      </c>
      <c r="K3" s="1373"/>
      <c r="L3" s="2722"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5"/>
      <c r="B4" s="3316"/>
      <c r="C4" s="3316"/>
      <c r="D4" s="3317"/>
      <c r="E4" s="3317"/>
      <c r="F4" s="3317"/>
      <c r="G4" s="3317"/>
      <c r="H4" s="3317"/>
      <c r="I4" s="3317"/>
      <c r="J4" s="3318"/>
      <c r="K4" s="1373"/>
      <c r="L4" s="2722"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4" customFormat="1" ht="15.75" thickBot="1">
      <c r="A5" s="2725" t="s">
        <v>807</v>
      </c>
      <c r="B5" s="2726" t="s">
        <v>2817</v>
      </c>
      <c r="C5" s="917" t="e">
        <f>ROUND(IF(E2="商业",IF(F16="增加",C6*C7+C16,C6*C7-C16),IF(E2="住宅",IF(F16="增加",C6*C12+C16,C6*C12-C16),IF(F16="增加",C6+C16,C6-C16))),0)</f>
        <v>#DIV/0!</v>
      </c>
      <c r="D5" s="1790">
        <f>ROUND(IF(E2="商业",IF(F16="增加",C6+C16,C6-C16)),0)</f>
        <v>0</v>
      </c>
      <c r="E5" s="2727"/>
      <c r="F5" s="2727"/>
      <c r="G5" s="2728"/>
      <c r="H5" s="2728"/>
      <c r="I5" s="2728"/>
      <c r="J5" s="2729"/>
      <c r="K5" s="2730"/>
      <c r="L5" s="2722"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1"/>
      <c r="AD5" s="2732"/>
      <c r="AE5" s="2732"/>
      <c r="AF5" s="2732"/>
      <c r="AG5" s="2732"/>
      <c r="AH5" s="2732"/>
      <c r="AI5" s="2732"/>
      <c r="AJ5" s="2733"/>
    </row>
    <row r="6" spans="1:36" ht="15.75" thickBot="1">
      <c r="A6" s="2735" t="s">
        <v>2819</v>
      </c>
      <c r="B6" s="2736" t="s">
        <v>2820</v>
      </c>
      <c r="C6" s="918">
        <f>SUMIF(L1:L12,G2,M1:M12)</f>
        <v>0</v>
      </c>
      <c r="D6" s="2737" t="s">
        <v>2821</v>
      </c>
      <c r="E6" s="2738"/>
      <c r="F6" s="2738"/>
      <c r="G6" s="2739"/>
      <c r="H6" s="2739"/>
      <c r="I6" s="2739"/>
      <c r="J6" s="2740"/>
      <c r="K6" s="1845"/>
      <c r="L6" s="2722"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1"/>
      <c r="AD6" s="2732"/>
      <c r="AE6" s="2732"/>
      <c r="AF6" s="2732"/>
      <c r="AG6" s="2732"/>
      <c r="AH6" s="2732"/>
      <c r="AI6" s="2732"/>
      <c r="AJ6" s="2733"/>
    </row>
    <row r="7" spans="1:36" ht="24">
      <c r="A7" s="3319" t="str">
        <f>IF(E2="商业",IF(C8="不临58条商业街","",2),"")</f>
        <v/>
      </c>
      <c r="B7" s="2741" t="s">
        <v>2823</v>
      </c>
      <c r="C7" s="919" t="e">
        <f>IF(C8="不临58条商业街",1,ROUND(1+(1.6*E8+1.2*E9+0.8*E10+0.4*E11)*C9,4))</f>
        <v>#DIV/0!</v>
      </c>
      <c r="D7" s="2742" t="s">
        <v>2824</v>
      </c>
      <c r="E7" s="948"/>
      <c r="F7" s="2743"/>
      <c r="G7" s="2744"/>
      <c r="H7" s="2744"/>
      <c r="I7" s="2744"/>
      <c r="J7" s="2745"/>
      <c r="K7" s="1845"/>
      <c r="L7" s="2722"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2826</v>
      </c>
      <c r="X7" s="1607">
        <f>G2</f>
        <v>0</v>
      </c>
      <c r="Y7" s="1607" t="s">
        <v>2827</v>
      </c>
      <c r="Z7" s="1608">
        <f>G3</f>
        <v>2.1</v>
      </c>
      <c r="AA7" s="1609"/>
      <c r="AB7" s="1609"/>
      <c r="AC7" s="1610"/>
      <c r="AD7" s="1611"/>
      <c r="AE7" s="1611"/>
      <c r="AF7" s="1611"/>
      <c r="AG7" s="1611"/>
      <c r="AH7" s="1611"/>
      <c r="AI7" s="1611"/>
      <c r="AJ7" s="1612"/>
    </row>
    <row r="8" spans="1:36" ht="15">
      <c r="A8" s="3320"/>
      <c r="B8" s="198" t="s">
        <v>2828</v>
      </c>
      <c r="C8" s="2746"/>
      <c r="D8" s="920" t="s">
        <v>139</v>
      </c>
      <c r="E8" s="921" t="e">
        <f>ROUND(C11/E7,4)</f>
        <v>#DIV/0!</v>
      </c>
      <c r="F8" s="2747" t="s">
        <v>2829</v>
      </c>
      <c r="G8" s="2748"/>
      <c r="H8" s="2748"/>
      <c r="I8" s="2748"/>
      <c r="J8" s="2749"/>
      <c r="K8" s="1373"/>
      <c r="L8" s="2722"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12" t="s">
        <v>2831</v>
      </c>
      <c r="X8" s="3313"/>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320"/>
      <c r="B9" s="198" t="s">
        <v>2844</v>
      </c>
      <c r="C9" s="922">
        <f>SUMIF(修正!C59:C119,C8,修正!E59:E119)</f>
        <v>0</v>
      </c>
      <c r="D9" s="200" t="s">
        <v>140</v>
      </c>
      <c r="E9" s="200" t="e">
        <f>ROUND(C11/E7,4)</f>
        <v>#DIV/0!</v>
      </c>
      <c r="F9" s="2747" t="s">
        <v>2845</v>
      </c>
      <c r="G9" s="2748"/>
      <c r="H9" s="2748"/>
      <c r="I9" s="2748"/>
      <c r="J9" s="2749"/>
      <c r="K9" s="1373"/>
      <c r="L9" s="2722"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4"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0"/>
      <c r="B10" s="198" t="s">
        <v>2849</v>
      </c>
      <c r="C10" s="200">
        <f>SUMIF(修正!C59:C119,C8,修正!F59:F119)</f>
        <v>0</v>
      </c>
      <c r="D10" s="200" t="s">
        <v>141</v>
      </c>
      <c r="E10" s="200" t="e">
        <f>ROUND(C11/E7,4)</f>
        <v>#DIV/0!</v>
      </c>
      <c r="F10" s="2747" t="s">
        <v>2850</v>
      </c>
      <c r="G10" s="2748"/>
      <c r="H10" s="2748"/>
      <c r="I10" s="2748"/>
      <c r="J10" s="2749"/>
      <c r="K10" s="1373"/>
      <c r="L10" s="2722"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0"/>
      <c r="B11" s="2750" t="s">
        <v>2852</v>
      </c>
      <c r="C11" s="923">
        <f>C10/4</f>
        <v>0</v>
      </c>
      <c r="D11" s="923" t="s">
        <v>142</v>
      </c>
      <c r="E11" s="923" t="e">
        <f>ROUND(C11/E7,4)</f>
        <v>#DIV/0!</v>
      </c>
      <c r="F11" s="2751" t="s">
        <v>2853</v>
      </c>
      <c r="G11" s="2752"/>
      <c r="H11" s="2752"/>
      <c r="I11" s="2752"/>
      <c r="J11" s="2753"/>
      <c r="K11" s="1373"/>
      <c r="L11" s="2722"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4" t="s">
        <v>2855</v>
      </c>
      <c r="X11" s="1617" t="s">
        <v>2856</v>
      </c>
      <c r="Y11" s="1618">
        <f>$G$3</f>
        <v>2.1</v>
      </c>
      <c r="Z11" s="1618">
        <f t="shared" ref="Z11:AJ11" si="3">$G$3</f>
        <v>2.1</v>
      </c>
      <c r="AA11" s="1618">
        <f t="shared" si="3"/>
        <v>2.1</v>
      </c>
      <c r="AB11" s="1618">
        <f t="shared" si="3"/>
        <v>2.1</v>
      </c>
      <c r="AC11" s="1618">
        <f t="shared" si="3"/>
        <v>2.1</v>
      </c>
      <c r="AD11" s="1618">
        <f t="shared" si="3"/>
        <v>2.1</v>
      </c>
      <c r="AE11" s="1618">
        <f t="shared" si="3"/>
        <v>2.1</v>
      </c>
      <c r="AF11" s="1618">
        <f t="shared" si="3"/>
        <v>2.1</v>
      </c>
      <c r="AG11" s="1618">
        <f t="shared" si="3"/>
        <v>2.1</v>
      </c>
      <c r="AH11" s="1618">
        <f t="shared" si="3"/>
        <v>2.1</v>
      </c>
      <c r="AI11" s="1618">
        <f t="shared" si="3"/>
        <v>2.1</v>
      </c>
      <c r="AJ11" s="1618">
        <f t="shared" si="3"/>
        <v>2.1</v>
      </c>
    </row>
    <row r="12" spans="1:36" ht="25.5" thickBot="1">
      <c r="A12" s="3319" t="s">
        <v>2857</v>
      </c>
      <c r="B12" s="2754" t="s">
        <v>2858</v>
      </c>
      <c r="C12" s="919">
        <f>ROUND(C15*D15*E15*F15*G15*H15*I15*J15,4)</f>
        <v>1</v>
      </c>
      <c r="D12" s="2755" t="s">
        <v>2859</v>
      </c>
      <c r="E12" s="2756"/>
      <c r="F12" s="2756"/>
      <c r="G12" s="2757"/>
      <c r="H12" s="2757"/>
      <c r="I12" s="2757"/>
      <c r="J12" s="2758"/>
      <c r="K12" s="1373"/>
      <c r="L12" s="2759"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4"/>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1"/>
      <c r="B13" s="2760" t="s">
        <v>2862</v>
      </c>
      <c r="C13" s="2761" t="s">
        <v>2863</v>
      </c>
      <c r="D13" s="1811" t="s">
        <v>2864</v>
      </c>
      <c r="E13" s="1811" t="s">
        <v>2865</v>
      </c>
      <c r="F13" s="30" t="s">
        <v>2866</v>
      </c>
      <c r="G13" s="2762" t="s">
        <v>2867</v>
      </c>
      <c r="H13" s="2762" t="s">
        <v>2867</v>
      </c>
      <c r="I13" s="2762" t="s">
        <v>2867</v>
      </c>
      <c r="J13" s="2763" t="s">
        <v>2867</v>
      </c>
      <c r="K13" s="1373"/>
      <c r="L13" s="1373"/>
      <c r="M13" s="1373"/>
      <c r="N13" s="1373"/>
      <c r="O13" s="1373"/>
      <c r="P13" s="1373"/>
      <c r="Q13" s="1373"/>
      <c r="R13" s="1605">
        <v>12</v>
      </c>
      <c r="S13" s="1606"/>
      <c r="T13" s="1605" t="e">
        <f t="shared" si="0"/>
        <v>#DIV/0!</v>
      </c>
      <c r="U13" s="1606"/>
      <c r="V13" s="1605" t="e">
        <f t="shared" si="1"/>
        <v>#DIV/0!</v>
      </c>
      <c r="W13" s="3314"/>
      <c r="X13" s="1619"/>
      <c r="Y13" s="1616">
        <f>(-0.163*(Y12^2)-0.59*Y12+7617)*(10^(-4))/Y11</f>
        <v>0.36271428571428571</v>
      </c>
      <c r="Z13" s="1616">
        <f t="shared" ref="Z13:AJ13" si="5">(-0.163*(Z12^2)-0.59*Z12+7617)*(10^(-4))/Z11</f>
        <v>0.36271428571428571</v>
      </c>
      <c r="AA13" s="1616">
        <f t="shared" si="5"/>
        <v>0.36271428571428571</v>
      </c>
      <c r="AB13" s="1616">
        <f t="shared" si="5"/>
        <v>0.36271428571428571</v>
      </c>
      <c r="AC13" s="1616">
        <f t="shared" si="5"/>
        <v>0.36271428571428571</v>
      </c>
      <c r="AD13" s="1616">
        <f t="shared" si="5"/>
        <v>0.36271428571428571</v>
      </c>
      <c r="AE13" s="1616">
        <f t="shared" si="5"/>
        <v>0.36271428571428571</v>
      </c>
      <c r="AF13" s="1616">
        <f t="shared" si="5"/>
        <v>0.36271428571428571</v>
      </c>
      <c r="AG13" s="1616">
        <f t="shared" si="5"/>
        <v>0.36271428571428571</v>
      </c>
      <c r="AH13" s="1616">
        <f t="shared" si="5"/>
        <v>0.36271428571428571</v>
      </c>
      <c r="AI13" s="1616">
        <f t="shared" si="5"/>
        <v>0.36271428571428571</v>
      </c>
      <c r="AJ13" s="1616">
        <f t="shared" si="5"/>
        <v>0.36271428571428571</v>
      </c>
    </row>
    <row r="14" spans="1:36" ht="15">
      <c r="A14" s="3321"/>
      <c r="B14" s="2764"/>
      <c r="C14" s="2765"/>
      <c r="D14" s="2766"/>
      <c r="E14" s="2766"/>
      <c r="F14" s="2767"/>
      <c r="G14" s="2768" t="s">
        <v>2868</v>
      </c>
      <c r="H14" s="2769"/>
      <c r="I14" s="2770"/>
      <c r="J14" s="277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22"/>
      <c r="B15" s="2772" t="s">
        <v>2869</v>
      </c>
      <c r="C15" s="229">
        <f>IF(C14="有",1.1,1)</f>
        <v>1</v>
      </c>
      <c r="D15" s="229">
        <f>IF(D14="有",1.1,1)</f>
        <v>1</v>
      </c>
      <c r="E15" s="229">
        <f>IF(E14="有",1.1,1)</f>
        <v>1</v>
      </c>
      <c r="F15" s="229">
        <f>IF(F14="500米范围内",1.2,IF(F14="500-1000米",1.1,1))</f>
        <v>1</v>
      </c>
      <c r="G15" s="949">
        <v>1</v>
      </c>
      <c r="H15" s="949">
        <v>1</v>
      </c>
      <c r="I15" s="949">
        <v>1</v>
      </c>
      <c r="J15" s="950">
        <v>1</v>
      </c>
      <c r="K15" s="1373"/>
      <c r="L15" s="2773" t="s">
        <v>2805</v>
      </c>
      <c r="M15" s="920" t="s">
        <v>2870</v>
      </c>
      <c r="N15" s="920" t="s">
        <v>2871</v>
      </c>
      <c r="O15" s="920" t="s">
        <v>2872</v>
      </c>
      <c r="P15" s="2774"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19" t="s">
        <v>2874</v>
      </c>
      <c r="B16" s="2741" t="s">
        <v>2875</v>
      </c>
      <c r="C16" s="1804" t="e">
        <f>ROUND(SUM(G17:J17)/C17,0)</f>
        <v>#DIV/0!</v>
      </c>
      <c r="D16" s="2775" t="s">
        <v>2876</v>
      </c>
      <c r="E16" s="2776"/>
      <c r="F16" s="2777"/>
      <c r="G16" s="2778"/>
      <c r="H16" s="2778"/>
      <c r="I16" s="2778"/>
      <c r="J16" s="2779"/>
      <c r="K16" s="1373"/>
      <c r="L16" s="2780"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0"/>
      <c r="B17" s="2781" t="s">
        <v>2878</v>
      </c>
      <c r="C17" s="924">
        <f>SUMPRODUCT((修正!A2:A5=E2)*(修正!B1:M1=G2)*(修正!B2:M5))</f>
        <v>0</v>
      </c>
      <c r="D17" s="2782"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2882</v>
      </c>
      <c r="C18" s="926">
        <f>SUMIF(修正!C18:C39,E3,修正!E18:E39)</f>
        <v>0</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7.75" thickBot="1">
      <c r="A19" s="2785" t="s">
        <v>809</v>
      </c>
      <c r="B19" s="2786" t="s">
        <v>2883</v>
      </c>
      <c r="C19" s="927" t="e">
        <f>ROUND(IF(H19="按公示增长率计算",SUMPRODUCT((地价!A3:A23=YEAR(G19)&amp;"-"&amp;ROUNDUP(MONTH(G19)/3,0))*(地价!X2:AB2=E2)*(地价!X3:AB23)),IF(H19="地价指数",M20/M19,(1+I19)^O19)),4)</f>
        <v>#DIV/0!</v>
      </c>
      <c r="D19" s="2793" t="s">
        <v>2884</v>
      </c>
      <c r="E19" s="928">
        <v>41640</v>
      </c>
      <c r="F19" s="2793" t="s">
        <v>2885</v>
      </c>
      <c r="G19" s="929">
        <f>'数据-取费表'!B2</f>
        <v>43307</v>
      </c>
      <c r="H19" s="2794" t="s">
        <v>2886</v>
      </c>
      <c r="I19" s="930" t="str">
        <f>IF(H19="季度增幅（自定义）",SUMIF(N21:N24,E2,O21:O24),"")</f>
        <v/>
      </c>
      <c r="J19" s="2791"/>
      <c r="K19" s="1380"/>
      <c r="L19" s="2795" t="s">
        <v>2887</v>
      </c>
      <c r="M19" s="1737">
        <f>ROUND(SUMIF(地价!B2:F2,E2,地价!B23:F23),0)</f>
        <v>0</v>
      </c>
      <c r="N19" s="2796" t="s">
        <v>2888</v>
      </c>
      <c r="O19" s="931">
        <f>ROUNDDOWN(DATEDIF(E19,G19,"M")/3,0)</f>
        <v>18</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2889</v>
      </c>
      <c r="C20" s="932" t="e">
        <f>ROUND(POWER(1+G20,J20-I20)*(POWER(1+G20,I20)-1)/(POWER(1+G20,J20)-1),4)</f>
        <v>#DIV/0!</v>
      </c>
      <c r="D20" s="2802" t="s">
        <v>2890</v>
      </c>
      <c r="E20" s="1771">
        <f ca="1">存贷款利率!D4/100</f>
        <v>4.3499999999999997E-2</v>
      </c>
      <c r="F20" s="2802" t="s">
        <v>2881</v>
      </c>
      <c r="G20" s="937">
        <f>SUMIF(M15:P15,E2,M17:P17)</f>
        <v>0</v>
      </c>
      <c r="H20" s="2802" t="s">
        <v>2891</v>
      </c>
      <c r="I20" s="938" t="e">
        <f>SUMIF('数据-取费表'!C6:C15,E2,'数据-取费表'!F6:F15)/COUNTIF('数据-取费表'!C6:C15,E2)</f>
        <v>#DIV/0!</v>
      </c>
      <c r="J20" s="939">
        <f>IF(E2="住宅",70,IF(E2="商业",40,50))</f>
        <v>50</v>
      </c>
      <c r="K20" s="1380"/>
      <c r="L20" s="2803" t="s">
        <v>2892</v>
      </c>
      <c r="M20" s="1738">
        <f>ROUND(SUMPRODUCT((地价!A4:A23=YEAR(G19)&amp;"-"&amp;ROUNDUP(MONTH(G19)/3,0))*(地价!B2:F2=E2)*(地价!B4:F23)),0)</f>
        <v>0</v>
      </c>
      <c r="N20" s="2804" t="s">
        <v>2893</v>
      </c>
      <c r="O20" s="2805" t="s">
        <v>2894</v>
      </c>
      <c r="P20" s="2806" t="s">
        <v>2895</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2896</v>
      </c>
      <c r="C21" s="940">
        <f>IF(B21="容积率修正",IF(G3&lt;=10,D22,J22),C23)</f>
        <v>0</v>
      </c>
      <c r="D21" s="2809"/>
      <c r="E21" s="2809"/>
      <c r="F21" s="2809"/>
      <c r="G21" s="2809"/>
      <c r="H21" s="2809"/>
      <c r="I21" s="2809"/>
      <c r="J21" s="2810"/>
      <c r="K21" s="1380"/>
      <c r="N21" s="2811"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4" customFormat="1" ht="14.25">
      <c r="A22" s="2660" t="s">
        <v>2898</v>
      </c>
      <c r="B22" s="2812" t="s">
        <v>2899</v>
      </c>
      <c r="C22" s="1813" t="s">
        <v>2900</v>
      </c>
      <c r="D22" s="1813" t="b">
        <f>IF(E22=G22,F22,IF(G3&lt;=10,ROUND(F22+(H22-F22)*(G3-E22)/(G22-E22),4),"——"))</f>
        <v>0</v>
      </c>
      <c r="E22" s="916">
        <f>ROUNDDOWN(G3,1)</f>
        <v>2.1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1"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0" t="s">
        <v>2902</v>
      </c>
      <c r="B23" s="2813" t="s">
        <v>2903</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2905</v>
      </c>
      <c r="C24" s="927">
        <f>SUMIF(A45:A88,E2,B45:B88)</f>
        <v>0</v>
      </c>
      <c r="D24" s="2789"/>
      <c r="E24" s="2819"/>
      <c r="F24" s="2819"/>
      <c r="G24" s="2819"/>
      <c r="H24" s="2819"/>
      <c r="I24" s="2819"/>
      <c r="J24" s="2820"/>
      <c r="K24" s="1380"/>
      <c r="N24" s="2821"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2907</v>
      </c>
      <c r="C25" s="933"/>
      <c r="D25" s="2744"/>
      <c r="E25" s="2744"/>
      <c r="F25" s="2823"/>
      <c r="G25" s="2744"/>
      <c r="H25" s="2744"/>
      <c r="I25" s="2744"/>
      <c r="J25" s="2745"/>
      <c r="K25" s="1373"/>
      <c r="N25" s="2824"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5"/>
      <c r="B26" s="2812" t="s">
        <v>2909</v>
      </c>
      <c r="C26" s="206" t="e">
        <f>E29+SUM(E33:E39)</f>
        <v>#DIV/0!</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2910</v>
      </c>
      <c r="C27" s="934" t="e">
        <f>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2911</v>
      </c>
      <c r="C28" s="2836" t="s">
        <v>2912</v>
      </c>
      <c r="D28" s="2836" t="s">
        <v>2913</v>
      </c>
      <c r="E28" s="2837" t="s">
        <v>2914</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2915</v>
      </c>
      <c r="C29" s="206" t="e">
        <f>ROUND(C5*C18*C19*C20*C21*C24,0)</f>
        <v>#DIV/0!</v>
      </c>
      <c r="D29" s="2841"/>
      <c r="E29" s="945" t="e">
        <f>ROUND(C29*D29/10000,0)</f>
        <v>#DIV/0!</v>
      </c>
      <c r="F29" s="2842" t="s">
        <v>2916</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2917</v>
      </c>
      <c r="C30" s="229" t="e">
        <f>ROUND(IF(E2="工业",C29*M39,C29*M38),0)</f>
        <v>#DIV/0!</v>
      </c>
      <c r="D30" s="2847"/>
      <c r="E30" s="945" t="e">
        <f>ROUND(C30*D30/10000,0)</f>
        <v>#DIV/0!</v>
      </c>
      <c r="F30" s="2848" t="s">
        <v>2918</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2919</v>
      </c>
      <c r="C31" s="2853" t="s">
        <v>2920</v>
      </c>
      <c r="D31" s="2757"/>
      <c r="E31" s="2853"/>
      <c r="F31" s="2853"/>
      <c r="G31" s="2755" t="s">
        <v>2921</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2912</v>
      </c>
      <c r="D32" s="498" t="s">
        <v>2913</v>
      </c>
      <c r="E32" s="498" t="s">
        <v>2914</v>
      </c>
      <c r="F32" s="388" t="s">
        <v>2922</v>
      </c>
      <c r="G32" s="2856" t="s">
        <v>2912</v>
      </c>
      <c r="H32" s="2856" t="s">
        <v>2913</v>
      </c>
      <c r="I32" s="2856"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329" t="s">
        <v>2923</v>
      </c>
      <c r="B33" s="2857" t="s">
        <v>2924</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0"/>
      <c r="B34" s="2761" t="s">
        <v>2925</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0"/>
      <c r="B35" s="2761" t="s">
        <v>2926</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3"/>
      <c r="L35" s="1373"/>
      <c r="M35" s="1373"/>
      <c r="N35" s="1373"/>
      <c r="O35" s="1373"/>
      <c r="P35" s="1373"/>
      <c r="Q35" s="1373"/>
      <c r="R35" s="1373"/>
      <c r="S35" s="1373"/>
      <c r="T35" s="1373"/>
      <c r="U35" s="1373"/>
      <c r="V35" s="1373"/>
      <c r="W35" s="1373"/>
      <c r="X35" s="1373"/>
      <c r="Y35" s="1373"/>
      <c r="Z35" s="1374"/>
    </row>
    <row r="36" spans="1:37" ht="13.5" thickBot="1">
      <c r="A36" s="3331"/>
      <c r="B36" s="2761" t="s">
        <v>2927</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2928</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3"/>
      <c r="L37" s="2860" t="s">
        <v>2929</v>
      </c>
      <c r="M37" s="2861"/>
      <c r="N37" s="1373"/>
      <c r="O37" s="1373"/>
      <c r="P37" s="1373"/>
      <c r="Q37" s="1373"/>
      <c r="R37" s="1373"/>
      <c r="S37" s="1373"/>
      <c r="T37" s="1373"/>
      <c r="U37" s="1373"/>
      <c r="V37" s="1373"/>
      <c r="W37" s="1373"/>
      <c r="X37" s="1373"/>
      <c r="Y37" s="1373"/>
      <c r="Z37" s="1374"/>
    </row>
    <row r="38" spans="1:37">
      <c r="A38" s="2859"/>
      <c r="B38" s="2761" t="s">
        <v>2930</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3"/>
      <c r="L38" s="1890" t="s">
        <v>2931</v>
      </c>
      <c r="M38" s="2862">
        <v>0.25</v>
      </c>
      <c r="N38" s="1373"/>
      <c r="O38" s="1373"/>
      <c r="P38" s="1373"/>
      <c r="Q38" s="1373"/>
      <c r="R38" s="1373"/>
      <c r="S38" s="1373"/>
      <c r="T38" s="1373"/>
      <c r="U38" s="1373"/>
      <c r="V38" s="1373"/>
      <c r="W38" s="1373"/>
      <c r="X38" s="1373"/>
      <c r="Y38" s="1373"/>
      <c r="Z38" s="1374"/>
    </row>
    <row r="39" spans="1:37" ht="13.5" thickBot="1">
      <c r="A39" s="2845"/>
      <c r="B39" s="2863" t="s">
        <v>2932</v>
      </c>
      <c r="C39" s="229" t="e">
        <f>ROUND(C5*C19*C20*C24*F39,0)</f>
        <v>#DIV/0!</v>
      </c>
      <c r="D39" s="2847"/>
      <c r="E39" s="229" t="e">
        <f t="shared" si="7"/>
        <v>#DIV/0!</v>
      </c>
      <c r="F39" s="935">
        <f>SUMIF(修正!A45:A56,G2,修正!H45:H56)</f>
        <v>0</v>
      </c>
      <c r="G39" s="229" t="e">
        <f>ROUND(IF(E2="工业",C39*$M$39,C39*$M$38),0)</f>
        <v>#DIV/0!</v>
      </c>
      <c r="H39" s="229">
        <f t="shared" si="8"/>
        <v>0</v>
      </c>
      <c r="I39" s="229" t="e">
        <f t="shared" si="9"/>
        <v>#DIV/0!</v>
      </c>
      <c r="J39" s="2864"/>
      <c r="K39" s="1373"/>
      <c r="L39" s="2865" t="s">
        <v>2873</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2933</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2934</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2935</v>
      </c>
      <c r="B47" s="1812" t="s">
        <v>2936</v>
      </c>
      <c r="C47" s="1812" t="s">
        <v>2937</v>
      </c>
      <c r="D47" s="1812" t="s">
        <v>2938</v>
      </c>
      <c r="E47" s="819" t="s">
        <v>2939</v>
      </c>
      <c r="F47" s="2875" t="s">
        <v>2940</v>
      </c>
      <c r="G47" s="1812" t="s">
        <v>754</v>
      </c>
      <c r="H47" s="2876" t="s">
        <v>2941</v>
      </c>
      <c r="I47" s="1812"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74" t="s">
        <v>2943</v>
      </c>
      <c r="B48" s="2877" t="str">
        <f>估价对象房地状况!C4</f>
        <v>估价对象位于开封市龙亭区，周边商业氛围一般，人流量较大，商业繁华度一般。</v>
      </c>
      <c r="C48" s="2766"/>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4" t="s">
        <v>2944</v>
      </c>
      <c r="B49" s="2878" t="str">
        <f>估价对象房地状况!C18</f>
        <v>估价对象周边路网较密集，公共交通通达情况较好、停车便捷程度较好，有27路、44路等公交车，综合评价交通便捷度较好。</v>
      </c>
      <c r="C49" s="2766"/>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4" t="s">
        <v>2945</v>
      </c>
      <c r="B50" s="2878" t="str">
        <f>估价对象房地状况!C19</f>
        <v>区域内多为住宅用地，土地利用方向较一致。</v>
      </c>
      <c r="C50" s="2766"/>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2946</v>
      </c>
      <c r="B51" s="2879" t="s">
        <v>2947</v>
      </c>
      <c r="C51" s="2766"/>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2948</v>
      </c>
      <c r="B52" s="2878" t="str">
        <f>估价对象房地状况!C24</f>
        <v>晋安路——城市次干道</v>
      </c>
      <c r="C52" s="2766"/>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2949</v>
      </c>
      <c r="B53" s="2880" t="s">
        <v>2950</v>
      </c>
      <c r="C53" s="2766"/>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02">
      <c r="A54" s="2881" t="s">
        <v>2951</v>
      </c>
      <c r="B54" s="1728" t="str">
        <f>估价对象房地状况!C21</f>
        <v>估价对象所在区域2公里范围内有：银行（中国银行、河南汴京农村商业银行），购物（大宏万达广场、和润超市），学校（二师附小、金明实验中学）等，无医院，公共配套设施齐备情况一般。</v>
      </c>
      <c r="C54" s="2766"/>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2952</v>
      </c>
      <c r="B55" s="2878" t="str">
        <f>估价对象房地状况!C22</f>
        <v>估价对象所在区域基础设施水平达到“七通”。</v>
      </c>
      <c r="C55" s="2766"/>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2" t="s">
        <v>2953</v>
      </c>
      <c r="B56" s="2883" t="str">
        <f>估价对象房地状况!C20</f>
        <v>区域自然环境：有大型绿化景观，有中意湖等自然景观；人文环境：开封市博物馆、开封市规划展示馆；综合评价环境状况较好。</v>
      </c>
      <c r="C56" s="2766"/>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2954</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2935</v>
      </c>
      <c r="B58" s="1812"/>
      <c r="C58" s="1812" t="s">
        <v>2937</v>
      </c>
      <c r="D58" s="1812" t="s">
        <v>2938</v>
      </c>
      <c r="E58" s="819" t="s">
        <v>2939</v>
      </c>
      <c r="F58" s="2875" t="s">
        <v>2955</v>
      </c>
      <c r="G58" s="1812" t="s">
        <v>754</v>
      </c>
      <c r="H58" s="2876" t="s">
        <v>2941</v>
      </c>
      <c r="I58" s="1812"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24">
      <c r="A59" s="2874" t="s">
        <v>2956</v>
      </c>
      <c r="B59" s="2877">
        <f>估价对象房地状况!C17</f>
        <v>0</v>
      </c>
      <c r="C59" s="2766"/>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4" t="s">
        <v>2944</v>
      </c>
      <c r="B60" s="2878" t="str">
        <f>估价对象房地状况!C18</f>
        <v>估价对象周边路网较密集，公共交通通达情况较好、停车便捷程度较好，有27路、44路等公交车，综合评价交通便捷度较好。</v>
      </c>
      <c r="C60" s="2766"/>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4" t="s">
        <v>2945</v>
      </c>
      <c r="B61" s="2878" t="str">
        <f>估价对象房地状况!C19</f>
        <v>区域内多为住宅用地，土地利用方向较一致。</v>
      </c>
      <c r="C61" s="2766"/>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2946</v>
      </c>
      <c r="B62" s="2879" t="s">
        <v>2947</v>
      </c>
      <c r="C62" s="2766"/>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2948</v>
      </c>
      <c r="B63" s="2878" t="str">
        <f>估价对象房地状况!C24</f>
        <v>晋安路——城市次干道</v>
      </c>
      <c r="C63" s="2766"/>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2949</v>
      </c>
      <c r="B64" s="2880" t="s">
        <v>2950</v>
      </c>
      <c r="C64" s="2766"/>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02">
      <c r="A65" s="2874" t="s">
        <v>2951</v>
      </c>
      <c r="B65" s="1728" t="str">
        <f>估价对象房地状况!C21</f>
        <v>估价对象所在区域2公里范围内有：银行（中国银行、河南汴京农村商业银行），购物（大宏万达广场、和润超市），学校（二师附小、金明实验中学）等，无医院，公共配套设施齐备情况一般。</v>
      </c>
      <c r="C65" s="2766"/>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2952</v>
      </c>
      <c r="B66" s="1728" t="str">
        <f>估价对象房地状况!C22</f>
        <v>估价对象所在区域基础设施水平达到“七通”。</v>
      </c>
      <c r="C66" s="2766"/>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2" t="s">
        <v>2953</v>
      </c>
      <c r="B67" s="2884" t="str">
        <f>估价对象房地状况!C20</f>
        <v>区域自然环境：有大型绿化景观，有中意湖等自然景观；人文环境：开封市博物馆、开封市规划展示馆；综合评价环境状况较好。</v>
      </c>
      <c r="C67" s="2766"/>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2957</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2935</v>
      </c>
      <c r="B69" s="1812"/>
      <c r="C69" s="1812" t="s">
        <v>2937</v>
      </c>
      <c r="D69" s="1812" t="s">
        <v>2938</v>
      </c>
      <c r="E69" s="819" t="s">
        <v>2939</v>
      </c>
      <c r="F69" s="2875" t="s">
        <v>2955</v>
      </c>
      <c r="G69" s="1812" t="s">
        <v>754</v>
      </c>
      <c r="H69" s="2876" t="s">
        <v>2941</v>
      </c>
      <c r="I69" s="1812"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89.25">
      <c r="A70" s="2874" t="s">
        <v>2958</v>
      </c>
      <c r="B70" s="2877" t="str">
        <f>估价对象房地状况!C15</f>
        <v>估价对象周边居住用地比例较大、居住小区规模较大，有森林半岛、新龙御都国际等住宅小区，社区发展完善程度较好，综合评价居住社区成熟度较好。</v>
      </c>
      <c r="C70" s="2766"/>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4" t="s">
        <v>2944</v>
      </c>
      <c r="B71" s="2878" t="str">
        <f>估价对象房地状况!C18</f>
        <v>估价对象周边路网较密集，公共交通通达情况较好、停车便捷程度较好，有27路、44路等公交车，综合评价交通便捷度较好。</v>
      </c>
      <c r="C71" s="2766"/>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4" t="s">
        <v>2945</v>
      </c>
      <c r="B72" s="2878" t="str">
        <f>估价对象房地状况!C19</f>
        <v>区域内多为住宅用地，土地利用方向较一致。</v>
      </c>
      <c r="C72" s="2766"/>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2959</v>
      </c>
      <c r="B73" s="2878" t="str">
        <f>估价对象房地状况!C24</f>
        <v>晋安路——城市次干道</v>
      </c>
      <c r="C73" s="2766"/>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02">
      <c r="A74" s="2874" t="s">
        <v>2951</v>
      </c>
      <c r="B74" s="1728" t="str">
        <f>估价对象房地状况!C21</f>
        <v>估价对象所在区域2公里范围内有：银行（中国银行、河南汴京农村商业银行），购物（大宏万达广场、和润超市），学校（二师附小、金明实验中学）等，无医院，公共配套设施齐备情况一般。</v>
      </c>
      <c r="C74" s="2766"/>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2952</v>
      </c>
      <c r="B75" s="1728" t="str">
        <f>估价对象房地状况!C22</f>
        <v>估价对象所在区域基础设施水平达到“七通”。</v>
      </c>
      <c r="C75" s="2766"/>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2949</v>
      </c>
      <c r="B76" s="2880" t="s">
        <v>2950</v>
      </c>
      <c r="C76" s="2766"/>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76.5">
      <c r="A77" s="2874" t="s">
        <v>2953</v>
      </c>
      <c r="B77" s="2877" t="str">
        <f>估价对象房地状况!C20</f>
        <v>区域自然环境：有大型绿化景观，有中意湖等自然景观；人文环境：开封市博物馆、开封市规划展示馆；综合评价环境状况较好。</v>
      </c>
      <c r="C77" s="2766"/>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2960</v>
      </c>
      <c r="B78" s="2886"/>
      <c r="C78" s="2766"/>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2961</v>
      </c>
      <c r="B79" s="2871">
        <f>1+E81</f>
        <v>1</v>
      </c>
      <c r="C79" s="814"/>
      <c r="D79" s="814"/>
      <c r="E79" s="815"/>
      <c r="F79" s="2873"/>
      <c r="G79" s="6"/>
      <c r="H79" s="6"/>
      <c r="I79" s="6"/>
      <c r="J79" s="7"/>
      <c r="K79" s="7"/>
      <c r="L79" s="7"/>
      <c r="M79" s="7"/>
      <c r="N79" s="7"/>
      <c r="Z79" s="2716"/>
      <c r="AA79" s="2792"/>
      <c r="AG79" s="1375"/>
      <c r="AK79" s="2792"/>
    </row>
    <row r="80" spans="1:37" ht="24.75">
      <c r="A80" s="2874" t="s">
        <v>2935</v>
      </c>
      <c r="B80" s="1812"/>
      <c r="C80" s="1812" t="s">
        <v>2937</v>
      </c>
      <c r="D80" s="1812" t="s">
        <v>2938</v>
      </c>
      <c r="E80" s="819" t="s">
        <v>2939</v>
      </c>
      <c r="F80" s="2875" t="s">
        <v>2955</v>
      </c>
      <c r="G80" s="1812" t="s">
        <v>754</v>
      </c>
      <c r="H80" s="2876" t="s">
        <v>2941</v>
      </c>
      <c r="I80" s="1812" t="s">
        <v>2942</v>
      </c>
      <c r="J80" s="603" t="s">
        <v>2588</v>
      </c>
      <c r="K80" s="603" t="s">
        <v>2589</v>
      </c>
      <c r="L80" s="603" t="s">
        <v>2590</v>
      </c>
      <c r="M80" s="603" t="s">
        <v>2591</v>
      </c>
      <c r="N80" s="603" t="s">
        <v>2592</v>
      </c>
      <c r="Z80" s="2716"/>
      <c r="AA80" s="2792"/>
      <c r="AG80" s="1375"/>
      <c r="AK80" s="2792"/>
    </row>
    <row r="81" spans="1:37" ht="38.25">
      <c r="A81" s="2874" t="s">
        <v>2962</v>
      </c>
      <c r="B81" s="2878" t="str">
        <f>估价对象房地状况!G15</f>
        <v>估价对象位于XX开发区，园区建设成熟度XX，产业集聚程度XX</v>
      </c>
      <c r="C81" s="2766"/>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6"/>
      <c r="AA81" s="2792"/>
      <c r="AG81" s="1375"/>
      <c r="AK81" s="2792"/>
    </row>
    <row r="82" spans="1:37" ht="51">
      <c r="A82" s="2874" t="s">
        <v>2944</v>
      </c>
      <c r="B82" s="2878" t="str">
        <f>估价对象房地状况!G16</f>
        <v>估价对象周边道路状况、公共交通通达情况、停车便捷程度，综合评价交通便捷度较好</v>
      </c>
      <c r="C82" s="2766"/>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6"/>
      <c r="AA82" s="2792"/>
      <c r="AG82" s="1375"/>
      <c r="AK82" s="2792"/>
    </row>
    <row r="83" spans="1:37" ht="24">
      <c r="A83" s="2874" t="s">
        <v>2945</v>
      </c>
      <c r="B83" s="2878">
        <f>估价对象房地状况!G17</f>
        <v>0</v>
      </c>
      <c r="C83" s="2766"/>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6"/>
      <c r="AA83" s="2792"/>
      <c r="AG83" s="1375"/>
      <c r="AK83" s="2792"/>
    </row>
    <row r="84" spans="1:37" ht="14.25">
      <c r="A84" s="2874" t="s">
        <v>2959</v>
      </c>
      <c r="B84" s="2878">
        <f>估价对象房地状况!G22</f>
        <v>0</v>
      </c>
      <c r="C84" s="2766"/>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6"/>
      <c r="AA84" s="2792"/>
      <c r="AG84" s="1375"/>
      <c r="AK84" s="2792"/>
    </row>
    <row r="85" spans="1:37" ht="25.5">
      <c r="A85" s="2874" t="s">
        <v>2951</v>
      </c>
      <c r="B85" s="1728" t="str">
        <f>估价对象房地状况!G19</f>
        <v>估价对象所在区域公共配套设施齐备情况</v>
      </c>
      <c r="C85" s="2766"/>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6"/>
      <c r="AA85" s="2792"/>
      <c r="AG85" s="1375"/>
      <c r="AK85" s="2792"/>
    </row>
    <row r="86" spans="1:37" ht="25.5">
      <c r="A86" s="2874" t="s">
        <v>2952</v>
      </c>
      <c r="B86" s="1728" t="str">
        <f>估价对象房地状况!G20</f>
        <v>估价对象所在区域基础设施水平</v>
      </c>
      <c r="C86" s="2766"/>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6"/>
      <c r="AA86" s="2792"/>
      <c r="AG86" s="1375"/>
      <c r="AK86" s="2792"/>
    </row>
    <row r="87" spans="1:37" ht="24">
      <c r="A87" s="2874" t="s">
        <v>2949</v>
      </c>
      <c r="B87" s="2880" t="s">
        <v>2963</v>
      </c>
      <c r="C87" s="2766"/>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6"/>
      <c r="AA87" s="2792"/>
      <c r="AG87" s="1375"/>
      <c r="AK87" s="2792"/>
    </row>
    <row r="88" spans="1:37" ht="39" thickBot="1">
      <c r="A88" s="2882" t="s">
        <v>2964</v>
      </c>
      <c r="B88" s="2887" t="str">
        <f>估价对象房地状况!G18</f>
        <v>该园区内是否有污染型企业，绿化情况，卫生条件，整体环境状况判断</v>
      </c>
      <c r="C88" s="2766"/>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6"/>
      <c r="AA88" s="2792"/>
      <c r="AG88" s="1375"/>
      <c r="AK88" s="2792"/>
    </row>
    <row r="90" spans="1:37">
      <c r="A90" s="3323" t="s">
        <v>2965</v>
      </c>
      <c r="B90" s="3323"/>
      <c r="C90" s="3323"/>
      <c r="D90" s="3323"/>
      <c r="E90" s="3323"/>
      <c r="F90" s="3323"/>
      <c r="G90" s="3323"/>
      <c r="H90" s="3323"/>
      <c r="I90" s="3323"/>
      <c r="J90" s="3323"/>
      <c r="K90" s="2888"/>
      <c r="L90" s="2888"/>
      <c r="M90" s="2888"/>
      <c r="N90" s="2888"/>
    </row>
    <row r="91" spans="1:37">
      <c r="A91" s="3325" t="s">
        <v>2966</v>
      </c>
      <c r="B91" s="3325" t="s">
        <v>2967</v>
      </c>
      <c r="C91" s="2842" t="s">
        <v>2968</v>
      </c>
      <c r="D91" s="2843"/>
      <c r="E91" s="2843"/>
      <c r="F91" s="2843"/>
      <c r="G91" s="2843"/>
      <c r="H91" s="2843"/>
      <c r="I91" s="2843"/>
      <c r="J91" s="2889"/>
      <c r="K91" s="2890"/>
      <c r="L91" s="2890"/>
      <c r="M91" s="2890"/>
      <c r="N91" s="2890"/>
    </row>
    <row r="92" spans="1:37">
      <c r="A92" s="3325"/>
      <c r="B92" s="3325"/>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326" t="s">
        <v>2969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2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2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2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2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2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27"/>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2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26" t="s">
        <v>2970</v>
      </c>
      <c r="B101" s="2895" t="s">
        <v>2971</v>
      </c>
      <c r="C101" s="2896">
        <f>$G$3</f>
        <v>2.1</v>
      </c>
      <c r="D101" s="2896">
        <f t="shared" ref="D101:N101" si="31">$G$3</f>
        <v>2.1</v>
      </c>
      <c r="E101" s="2896">
        <f t="shared" si="31"/>
        <v>2.1</v>
      </c>
      <c r="F101" s="2896">
        <f t="shared" si="31"/>
        <v>2.1</v>
      </c>
      <c r="G101" s="2896">
        <f t="shared" si="31"/>
        <v>2.1</v>
      </c>
      <c r="H101" s="2896">
        <f t="shared" si="31"/>
        <v>2.1</v>
      </c>
      <c r="I101" s="2896">
        <f t="shared" si="31"/>
        <v>2.1</v>
      </c>
      <c r="J101" s="2896">
        <f t="shared" si="31"/>
        <v>2.1</v>
      </c>
      <c r="K101" s="2896">
        <f t="shared" si="31"/>
        <v>2.1</v>
      </c>
      <c r="L101" s="2896">
        <f t="shared" si="31"/>
        <v>2.1</v>
      </c>
      <c r="M101" s="2896">
        <f t="shared" si="31"/>
        <v>2.1</v>
      </c>
      <c r="N101" s="2896">
        <f t="shared" si="31"/>
        <v>2.1</v>
      </c>
    </row>
    <row r="102" spans="1:14">
      <c r="A102" s="3327"/>
      <c r="B102" s="2891">
        <v>1</v>
      </c>
      <c r="C102" s="2892">
        <f>1.9362/C101</f>
        <v>0.92199999999999993</v>
      </c>
      <c r="D102" s="2892">
        <f>1.9362/D101</f>
        <v>0.92199999999999993</v>
      </c>
      <c r="E102" s="2892">
        <f>1.8629/E101</f>
        <v>0.88709523809523805</v>
      </c>
      <c r="F102" s="2892">
        <f>1.8629/F101</f>
        <v>0.88709523809523805</v>
      </c>
      <c r="G102" s="2892">
        <f>1.8629/G101</f>
        <v>0.88709523809523805</v>
      </c>
      <c r="H102" s="2892">
        <f>1.8629/H101</f>
        <v>0.88709523809523805</v>
      </c>
      <c r="I102" s="2892">
        <f>1.8629/I101</f>
        <v>0.88709523809523805</v>
      </c>
      <c r="J102" s="2892">
        <f>1.942/J101</f>
        <v>0.92476190476190467</v>
      </c>
      <c r="K102" s="2892">
        <f>1.942/K101</f>
        <v>0.92476190476190467</v>
      </c>
      <c r="L102" s="2892">
        <f>1.942/L101</f>
        <v>0.92476190476190467</v>
      </c>
      <c r="M102" s="2892">
        <f>1.942/M101</f>
        <v>0.92476190476190467</v>
      </c>
      <c r="N102" s="2892">
        <f>1.942/N101</f>
        <v>0.92476190476190467</v>
      </c>
    </row>
    <row r="103" spans="1:14">
      <c r="A103" s="3327"/>
      <c r="B103" s="2891">
        <v>2</v>
      </c>
      <c r="C103" s="2892">
        <f>1.4198/C101</f>
        <v>0.67609523809523808</v>
      </c>
      <c r="D103" s="2892">
        <f>1.4198/D101</f>
        <v>0.67609523809523808</v>
      </c>
      <c r="E103" s="2892">
        <f>1.3372/E101</f>
        <v>0.63676190476190475</v>
      </c>
      <c r="F103" s="2892">
        <f>1.3372/F101</f>
        <v>0.63676190476190475</v>
      </c>
      <c r="G103" s="2892">
        <f>1.3372/G101</f>
        <v>0.63676190476190475</v>
      </c>
      <c r="H103" s="2892">
        <f>1.3372/H101</f>
        <v>0.63676190476190475</v>
      </c>
      <c r="I103" s="2892">
        <f>1.3372/I101</f>
        <v>0.63676190476190475</v>
      </c>
      <c r="J103" s="2892">
        <f>1.2799/J101</f>
        <v>0.6094761904761905</v>
      </c>
      <c r="K103" s="2892">
        <f>1.2799/K101</f>
        <v>0.6094761904761905</v>
      </c>
      <c r="L103" s="2892">
        <f>1.2799/L101</f>
        <v>0.6094761904761905</v>
      </c>
      <c r="M103" s="2892">
        <f>1.2799/M101</f>
        <v>0.6094761904761905</v>
      </c>
      <c r="N103" s="2892">
        <f>1.2799/N101</f>
        <v>0.6094761904761905</v>
      </c>
    </row>
    <row r="104" spans="1:14">
      <c r="A104" s="3327"/>
      <c r="B104" s="2891">
        <v>3</v>
      </c>
      <c r="C104" s="2892">
        <f>1.1594/C101</f>
        <v>0.55209523809523808</v>
      </c>
      <c r="D104" s="2892">
        <f>1.1594/D101</f>
        <v>0.55209523809523808</v>
      </c>
      <c r="E104" s="2892">
        <f>1.0788/E101</f>
        <v>0.51371428571428568</v>
      </c>
      <c r="F104" s="2892">
        <f>1.0788/F101</f>
        <v>0.51371428571428568</v>
      </c>
      <c r="G104" s="2892">
        <f>1.0788/G101</f>
        <v>0.51371428571428568</v>
      </c>
      <c r="H104" s="2892">
        <f>1.0788/H101</f>
        <v>0.51371428571428568</v>
      </c>
      <c r="I104" s="2892">
        <f>1.0788/I101</f>
        <v>0.51371428571428568</v>
      </c>
      <c r="J104" s="2892">
        <f>1.0072/J101</f>
        <v>0.47961904761904767</v>
      </c>
      <c r="K104" s="2892">
        <f>1.0072/K101</f>
        <v>0.47961904761904767</v>
      </c>
      <c r="L104" s="2892">
        <f>1.0072/L101</f>
        <v>0.47961904761904767</v>
      </c>
      <c r="M104" s="2892">
        <f>1.0072/M101</f>
        <v>0.47961904761904767</v>
      </c>
      <c r="N104" s="2892">
        <f>1.0072/N101</f>
        <v>0.47961904761904767</v>
      </c>
    </row>
    <row r="105" spans="1:14">
      <c r="A105" s="3327"/>
      <c r="B105" s="2891">
        <v>4</v>
      </c>
      <c r="C105" s="2892">
        <f>0.9622/C101</f>
        <v>0.4581904761904762</v>
      </c>
      <c r="D105" s="2892">
        <f>0.9622/D101</f>
        <v>0.4581904761904762</v>
      </c>
      <c r="E105" s="2892">
        <f>0.8656/E101</f>
        <v>0.41219047619047616</v>
      </c>
      <c r="F105" s="2892">
        <f>0.8656/F101</f>
        <v>0.41219047619047616</v>
      </c>
      <c r="G105" s="2892">
        <f>0.8656/G101</f>
        <v>0.41219047619047616</v>
      </c>
      <c r="H105" s="2892">
        <f>0.8656/H101</f>
        <v>0.41219047619047616</v>
      </c>
      <c r="I105" s="2892">
        <f>0.8656/I101</f>
        <v>0.41219047619047616</v>
      </c>
      <c r="J105" s="2892">
        <f>0.7525/J101</f>
        <v>0.35833333333333328</v>
      </c>
      <c r="K105" s="2892">
        <f>0.7525/K101</f>
        <v>0.35833333333333328</v>
      </c>
      <c r="L105" s="2892">
        <f>0.7525/L101</f>
        <v>0.35833333333333328</v>
      </c>
      <c r="M105" s="2892">
        <f>0.7525/M101</f>
        <v>0.35833333333333328</v>
      </c>
      <c r="N105" s="2892">
        <f>0.7525/N101</f>
        <v>0.35833333333333328</v>
      </c>
    </row>
    <row r="106" spans="1:14">
      <c r="A106" s="3327"/>
      <c r="B106" s="2891">
        <v>5</v>
      </c>
      <c r="C106" s="2892">
        <f>0.8417/C101</f>
        <v>0.40080952380952378</v>
      </c>
      <c r="D106" s="2892">
        <f>0.8417/D101</f>
        <v>0.40080952380952378</v>
      </c>
      <c r="E106" s="2892">
        <f>0.7371/E101</f>
        <v>0.35099999999999998</v>
      </c>
      <c r="F106" s="2892">
        <f>0.7371/F101</f>
        <v>0.35099999999999998</v>
      </c>
      <c r="G106" s="2892">
        <f>0.7371/G101</f>
        <v>0.35099999999999998</v>
      </c>
      <c r="H106" s="2892">
        <f>0.7371/H101</f>
        <v>0.35099999999999998</v>
      </c>
      <c r="I106" s="2892">
        <f>0.7371/I101</f>
        <v>0.35099999999999998</v>
      </c>
      <c r="J106" s="2892">
        <f>0.5659/J101</f>
        <v>0.26947619047619042</v>
      </c>
      <c r="K106" s="2892">
        <f>0.5659/K101</f>
        <v>0.26947619047619042</v>
      </c>
      <c r="L106" s="2892">
        <f>0.5659/L101</f>
        <v>0.26947619047619042</v>
      </c>
      <c r="M106" s="2892">
        <f>0.5659/M101</f>
        <v>0.26947619047619042</v>
      </c>
      <c r="N106" s="2892">
        <f>0.5659/N101</f>
        <v>0.26947619047619042</v>
      </c>
    </row>
    <row r="107" spans="1:14">
      <c r="A107" s="3327"/>
      <c r="B107" s="2891">
        <v>6</v>
      </c>
      <c r="C107" s="2892">
        <f>0.7608/C101</f>
        <v>0.36228571428571427</v>
      </c>
      <c r="D107" s="2892">
        <f>0.7608/D101</f>
        <v>0.36228571428571427</v>
      </c>
      <c r="E107" s="2892">
        <f>0.6482/E101</f>
        <v>0.30866666666666664</v>
      </c>
      <c r="F107" s="2892">
        <f>0.6482/F101</f>
        <v>0.30866666666666664</v>
      </c>
      <c r="G107" s="2892">
        <f>0.6482/G101</f>
        <v>0.30866666666666664</v>
      </c>
      <c r="H107" s="2892">
        <f>0.6482/H101</f>
        <v>0.30866666666666664</v>
      </c>
      <c r="I107" s="2892">
        <f>0.6482/I101</f>
        <v>0.30866666666666664</v>
      </c>
      <c r="J107" s="2892">
        <f>0.4525/J101</f>
        <v>0.21547619047619046</v>
      </c>
      <c r="K107" s="2892">
        <f>0.4525/K101</f>
        <v>0.21547619047619046</v>
      </c>
      <c r="L107" s="2892">
        <f>0.4525/L101</f>
        <v>0.21547619047619046</v>
      </c>
      <c r="M107" s="2892">
        <f>0.4525/M101</f>
        <v>0.21547619047619046</v>
      </c>
      <c r="N107" s="2892">
        <f>0.4525/N101</f>
        <v>0.21547619047619046</v>
      </c>
    </row>
    <row r="108" spans="1:14">
      <c r="A108" s="3327"/>
      <c r="B108" s="3181" t="s">
        <v>2972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28"/>
      <c r="B109" s="3182"/>
      <c r="C109" s="2894">
        <f>(-0.163*(C108^2)-0.59*C108+7617)*(10^(-4))/C101</f>
        <v>0.36271428571428571</v>
      </c>
      <c r="D109" s="2894">
        <f>(-0.163*(D108^2)-0.59*D108+7617)*(10^(-4))/D101</f>
        <v>0.36271428571428571</v>
      </c>
      <c r="E109" s="2894">
        <f>(-0.161*(E108^2)-7.509*E108+6533)*(10^(-4))/E101</f>
        <v>0.31109523809523809</v>
      </c>
      <c r="F109" s="2894">
        <f>(-0.161*(F108^2)-7.509*F108+6533)*(10^(-4))/F101</f>
        <v>0.31109523809523809</v>
      </c>
      <c r="G109" s="2894">
        <f>(-0.161*(G108^2)-7.509*G108+6533)*(10^(-4))/G101</f>
        <v>0.31109523809523809</v>
      </c>
      <c r="H109" s="2894">
        <f>(-0.161*(H108^2)-7.509*H108+6533)*(10^(-4))/H101</f>
        <v>0.31109523809523809</v>
      </c>
      <c r="I109" s="2894">
        <f>(-0.161*(I108^2)-7.509*I108+6533)*(10^(-4))/I101</f>
        <v>0.31109523809523809</v>
      </c>
      <c r="J109" s="2894">
        <f>(-0.214*(J108^2)-21.991*J108+4665)*(10^(-4))/J101</f>
        <v>0.22214285714285714</v>
      </c>
      <c r="K109" s="2894">
        <f>(-0.214*(K108^2)-21.991*K108+4665)*(10^(-4))/K101</f>
        <v>0.22214285714285714</v>
      </c>
      <c r="L109" s="2894">
        <f>(-0.214*(L108^2)-21.991*L108+4665)*(10^(-4))/L101</f>
        <v>0.22214285714285714</v>
      </c>
      <c r="M109" s="2894">
        <f>(-0.214*(M108^2)-21.991*M108+4665)*(10^(-4))/M101</f>
        <v>0.22214285714285714</v>
      </c>
      <c r="N109" s="2894">
        <f>(-0.214*(N108^2)-21.991*N108+4665)*(10^(-4))/N101</f>
        <v>0.22214285714285714</v>
      </c>
    </row>
    <row r="110" spans="1:14">
      <c r="A110" s="3324" t="s">
        <v>2973</v>
      </c>
      <c r="B110" s="3324"/>
      <c r="C110" s="3324"/>
      <c r="D110" s="3324"/>
      <c r="E110" s="3324"/>
      <c r="F110" s="3324"/>
      <c r="G110" s="3324"/>
      <c r="H110" s="3324"/>
      <c r="I110" s="3324"/>
      <c r="J110" s="3324"/>
      <c r="K110" s="2897"/>
      <c r="L110" s="2897"/>
      <c r="M110" s="2897"/>
      <c r="N110" s="2897"/>
    </row>
    <row r="112" spans="1:14" ht="13.5" thickBot="1"/>
    <row r="113" spans="1:13" ht="25.5" thickBot="1">
      <c r="A113" s="903" t="s">
        <v>2974</v>
      </c>
      <c r="B113" s="1290">
        <f>G3</f>
        <v>2.1</v>
      </c>
      <c r="C113" s="904" t="s">
        <v>2975</v>
      </c>
      <c r="D113" s="905">
        <f>SUMPRODUCT((A115:A118=F113)*(B114:M114=H113)*B115:M118)</f>
        <v>0</v>
      </c>
      <c r="E113" s="2720" t="s">
        <v>2805</v>
      </c>
      <c r="F113" s="2899">
        <f>E2</f>
        <v>0</v>
      </c>
      <c r="G113" s="2720" t="s">
        <v>2806</v>
      </c>
      <c r="H113" s="2899">
        <f>G2</f>
        <v>0</v>
      </c>
      <c r="I113" s="2720"/>
      <c r="J113" s="2900"/>
      <c r="K113" s="2900"/>
      <c r="L113" s="2900"/>
      <c r="M113" s="2900"/>
    </row>
    <row r="114" spans="1:13">
      <c r="A114" s="908"/>
      <c r="B114" s="2901" t="s">
        <v>2976</v>
      </c>
      <c r="C114" s="2901" t="s">
        <v>2977</v>
      </c>
      <c r="D114" s="2901" t="s">
        <v>2978</v>
      </c>
      <c r="E114" s="2902" t="s">
        <v>2979</v>
      </c>
      <c r="F114" s="2902" t="s">
        <v>2980</v>
      </c>
      <c r="G114" s="2902" t="s">
        <v>2981</v>
      </c>
      <c r="H114" s="2903" t="s">
        <v>2982</v>
      </c>
      <c r="I114" s="2903" t="s">
        <v>2983</v>
      </c>
      <c r="J114" s="2904" t="s">
        <v>2984</v>
      </c>
      <c r="K114" s="2904" t="s">
        <v>2985</v>
      </c>
      <c r="L114" s="2904" t="s">
        <v>2986</v>
      </c>
      <c r="M114" s="2905" t="s">
        <v>2987</v>
      </c>
    </row>
    <row r="115" spans="1:13">
      <c r="A115" s="909" t="s">
        <v>2870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3">I115</f>
        <v>0.65649999999999997</v>
      </c>
      <c r="K115" s="910">
        <f t="shared" si="33"/>
        <v>0.65649999999999997</v>
      </c>
      <c r="L115" s="910">
        <f t="shared" si="33"/>
        <v>0.65649999999999997</v>
      </c>
      <c r="M115" s="911">
        <f t="shared" si="33"/>
        <v>0.65649999999999997</v>
      </c>
    </row>
    <row r="116" spans="1:13">
      <c r="A116" s="909" t="s">
        <v>2871</v>
      </c>
      <c r="B116" s="910">
        <f>ROUND(0.949-0.012*B113,4)</f>
        <v>0.92379999999999995</v>
      </c>
      <c r="C116" s="910">
        <f>B116</f>
        <v>0.92379999999999995</v>
      </c>
      <c r="D116" s="910">
        <f>ROUND(0.8567-0.013*B113,4)</f>
        <v>0.82940000000000003</v>
      </c>
      <c r="E116" s="910">
        <f t="shared" ref="E116:H117" si="34">D116</f>
        <v>0.82940000000000003</v>
      </c>
      <c r="F116" s="910">
        <f t="shared" si="34"/>
        <v>0.82940000000000003</v>
      </c>
      <c r="G116" s="910">
        <f t="shared" si="34"/>
        <v>0.82940000000000003</v>
      </c>
      <c r="H116" s="910">
        <f t="shared" si="34"/>
        <v>0.82940000000000003</v>
      </c>
      <c r="I116" s="910">
        <f>ROUND(0.7694-0.014*B113,4)</f>
        <v>0.74</v>
      </c>
      <c r="J116" s="910">
        <f t="shared" si="33"/>
        <v>0.74</v>
      </c>
      <c r="K116" s="910">
        <f t="shared" si="33"/>
        <v>0.74</v>
      </c>
      <c r="L116" s="910">
        <f t="shared" si="33"/>
        <v>0.74</v>
      </c>
      <c r="M116" s="911">
        <f t="shared" si="33"/>
        <v>0.74</v>
      </c>
    </row>
    <row r="117" spans="1:13">
      <c r="A117" s="909" t="s">
        <v>2872</v>
      </c>
      <c r="B117" s="910">
        <f>ROUND(0.8808-0.006*B113,4)</f>
        <v>0.86819999999999997</v>
      </c>
      <c r="C117" s="910">
        <f>B117</f>
        <v>0.86819999999999997</v>
      </c>
      <c r="D117" s="910">
        <f>ROUND(0.8748-0.008*B113,4)</f>
        <v>0.85799999999999998</v>
      </c>
      <c r="E117" s="910">
        <f t="shared" si="34"/>
        <v>0.85799999999999998</v>
      </c>
      <c r="F117" s="910">
        <f t="shared" si="34"/>
        <v>0.85799999999999998</v>
      </c>
      <c r="G117" s="910">
        <f t="shared" si="34"/>
        <v>0.85799999999999998</v>
      </c>
      <c r="H117" s="910">
        <f t="shared" si="34"/>
        <v>0.85799999999999998</v>
      </c>
      <c r="I117" s="910">
        <f>ROUND(0.7412-0.0095*B113,4)</f>
        <v>0.72130000000000005</v>
      </c>
      <c r="J117" s="910">
        <f t="shared" si="33"/>
        <v>0.72130000000000005</v>
      </c>
      <c r="K117" s="910">
        <f t="shared" si="33"/>
        <v>0.72130000000000005</v>
      </c>
      <c r="L117" s="910">
        <f t="shared" si="33"/>
        <v>0.72130000000000005</v>
      </c>
      <c r="M117" s="911">
        <f t="shared" si="33"/>
        <v>0.72130000000000005</v>
      </c>
    </row>
    <row r="118" spans="1:13" ht="13.5" thickBot="1">
      <c r="A118" s="714" t="s">
        <v>2873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3"/>
        <v>0.53810000000000002</v>
      </c>
      <c r="K118" s="912">
        <f t="shared" si="33"/>
        <v>0.53810000000000002</v>
      </c>
      <c r="L118" s="912">
        <f t="shared" si="33"/>
        <v>0.53810000000000002</v>
      </c>
      <c r="M118" s="913">
        <f t="shared" si="33"/>
        <v>0.53810000000000002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2" t="s">
        <v>183</v>
      </c>
      <c r="B18" s="882" t="s">
        <v>560</v>
      </c>
      <c r="C18" s="883" t="s">
        <v>561</v>
      </c>
      <c r="D18" s="884"/>
      <c r="E18" s="882">
        <v>1</v>
      </c>
      <c r="F18" s="885" t="s">
        <v>562</v>
      </c>
      <c r="G18" s="886"/>
      <c r="H18" s="878"/>
      <c r="I18" s="878"/>
    </row>
    <row r="19" spans="1:9" s="887" customFormat="1" ht="19.5" customHeight="1">
      <c r="A19" s="3332"/>
      <c r="B19" s="3332" t="s">
        <v>563</v>
      </c>
      <c r="C19" s="883" t="s">
        <v>564</v>
      </c>
      <c r="D19" s="884"/>
      <c r="E19" s="882">
        <v>0.9</v>
      </c>
      <c r="F19" s="885" t="s">
        <v>565</v>
      </c>
      <c r="G19" s="886"/>
      <c r="H19" s="878"/>
      <c r="I19" s="878"/>
    </row>
    <row r="20" spans="1:9" s="887" customFormat="1" ht="19.5" customHeight="1">
      <c r="A20" s="3332"/>
      <c r="B20" s="3332"/>
      <c r="C20" s="883" t="s">
        <v>566</v>
      </c>
      <c r="D20" s="884"/>
      <c r="E20" s="882">
        <v>1.1000000000000001</v>
      </c>
      <c r="F20" s="885" t="s">
        <v>567</v>
      </c>
      <c r="G20" s="886"/>
      <c r="H20" s="878"/>
      <c r="I20" s="878"/>
    </row>
    <row r="21" spans="1:9" s="887" customFormat="1" ht="19.5" customHeight="1">
      <c r="A21" s="3332"/>
      <c r="B21" s="3332"/>
      <c r="C21" s="883" t="s">
        <v>568</v>
      </c>
      <c r="D21" s="884"/>
      <c r="E21" s="882">
        <v>0.8</v>
      </c>
      <c r="F21" s="885" t="s">
        <v>569</v>
      </c>
      <c r="G21" s="886"/>
      <c r="H21" s="878"/>
      <c r="I21" s="878"/>
    </row>
    <row r="22" spans="1:9" s="887" customFormat="1" ht="19.5" customHeight="1">
      <c r="A22" s="3332"/>
      <c r="B22" s="3332"/>
      <c r="C22" s="883" t="s">
        <v>570</v>
      </c>
      <c r="D22" s="884"/>
      <c r="E22" s="882">
        <v>0.5</v>
      </c>
      <c r="F22" s="885"/>
      <c r="G22" s="886"/>
      <c r="H22" s="878"/>
      <c r="I22" s="878"/>
    </row>
    <row r="23" spans="1:9" s="887" customFormat="1" ht="19.5" customHeight="1">
      <c r="A23" s="3332" t="s">
        <v>184</v>
      </c>
      <c r="B23" s="882" t="s">
        <v>560</v>
      </c>
      <c r="C23" s="883" t="s">
        <v>571</v>
      </c>
      <c r="D23" s="884"/>
      <c r="E23" s="882">
        <v>1</v>
      </c>
      <c r="F23" s="885" t="s">
        <v>572</v>
      </c>
      <c r="G23" s="886"/>
      <c r="H23" s="878"/>
      <c r="I23" s="878"/>
    </row>
    <row r="24" spans="1:9" s="887" customFormat="1" ht="19.5" customHeight="1">
      <c r="A24" s="3332"/>
      <c r="B24" s="3332" t="s">
        <v>563</v>
      </c>
      <c r="C24" s="883" t="s">
        <v>573</v>
      </c>
      <c r="D24" s="884"/>
      <c r="E24" s="882">
        <v>0.5</v>
      </c>
      <c r="F24" s="885"/>
      <c r="G24" s="886"/>
      <c r="H24" s="878"/>
      <c r="I24" s="878"/>
    </row>
    <row r="25" spans="1:9" s="887" customFormat="1" ht="19.5" customHeight="1">
      <c r="A25" s="3332"/>
      <c r="B25" s="3332"/>
      <c r="C25" s="883" t="s">
        <v>574</v>
      </c>
      <c r="D25" s="884"/>
      <c r="E25" s="882">
        <v>1.1000000000000001</v>
      </c>
      <c r="F25" s="885"/>
      <c r="G25" s="886"/>
      <c r="H25" s="878"/>
      <c r="I25" s="878"/>
    </row>
    <row r="26" spans="1:9" s="887" customFormat="1" ht="19.5" customHeight="1">
      <c r="A26" s="3332"/>
      <c r="B26" s="3332"/>
      <c r="C26" s="883" t="s">
        <v>575</v>
      </c>
      <c r="D26" s="884"/>
      <c r="E26" s="882">
        <v>1.1000000000000001</v>
      </c>
      <c r="F26" s="885"/>
      <c r="G26" s="886"/>
      <c r="H26" s="878"/>
      <c r="I26" s="878"/>
    </row>
    <row r="27" spans="1:9" s="887" customFormat="1" ht="19.5" customHeight="1">
      <c r="A27" s="3332"/>
      <c r="B27" s="3332"/>
      <c r="C27" s="883" t="s">
        <v>576</v>
      </c>
      <c r="D27" s="884"/>
      <c r="E27" s="882">
        <v>0.9</v>
      </c>
      <c r="F27" s="885" t="s">
        <v>577</v>
      </c>
      <c r="G27" s="886"/>
      <c r="H27" s="878"/>
      <c r="I27" s="878"/>
    </row>
    <row r="28" spans="1:9" s="887" customFormat="1" ht="19.5" customHeight="1">
      <c r="A28" s="3332"/>
      <c r="B28" s="3332"/>
      <c r="C28" s="883" t="s">
        <v>578</v>
      </c>
      <c r="D28" s="884"/>
      <c r="E28" s="882">
        <v>0.9</v>
      </c>
      <c r="F28" s="885" t="s">
        <v>579</v>
      </c>
      <c r="G28" s="886"/>
      <c r="H28" s="878"/>
      <c r="I28" s="878"/>
    </row>
    <row r="29" spans="1:9" s="887" customFormat="1" ht="19.5" customHeight="1">
      <c r="A29" s="3332"/>
      <c r="B29" s="3332"/>
      <c r="C29" s="883" t="s">
        <v>580</v>
      </c>
      <c r="D29" s="884"/>
      <c r="E29" s="882">
        <v>0.9</v>
      </c>
      <c r="F29" s="885" t="s">
        <v>581</v>
      </c>
      <c r="G29" s="886"/>
      <c r="H29" s="878"/>
      <c r="I29" s="878"/>
    </row>
    <row r="30" spans="1:9" s="887" customFormat="1" ht="19.5" customHeight="1">
      <c r="A30" s="3332"/>
      <c r="B30" s="3332"/>
      <c r="C30" s="883" t="s">
        <v>582</v>
      </c>
      <c r="D30" s="884"/>
      <c r="E30" s="882">
        <v>0.9</v>
      </c>
      <c r="F30" s="885" t="s">
        <v>583</v>
      </c>
      <c r="G30" s="886"/>
      <c r="H30" s="878"/>
      <c r="I30" s="878"/>
    </row>
    <row r="31" spans="1:9" s="887" customFormat="1" ht="19.5" customHeight="1">
      <c r="A31" s="3332"/>
      <c r="B31" s="3332"/>
      <c r="C31" s="883" t="s">
        <v>584</v>
      </c>
      <c r="D31" s="884"/>
      <c r="E31" s="882">
        <v>0.8</v>
      </c>
      <c r="F31" s="885" t="s">
        <v>585</v>
      </c>
      <c r="G31" s="886"/>
      <c r="H31" s="878"/>
      <c r="I31" s="878"/>
    </row>
    <row r="32" spans="1:9" s="887" customFormat="1" ht="19.5" customHeight="1">
      <c r="A32" s="3332"/>
      <c r="B32" s="3332"/>
      <c r="C32" s="883" t="s">
        <v>586</v>
      </c>
      <c r="D32" s="884"/>
      <c r="E32" s="882">
        <v>0.8</v>
      </c>
      <c r="F32" s="885" t="s">
        <v>587</v>
      </c>
      <c r="G32" s="886"/>
      <c r="H32" s="878"/>
      <c r="I32" s="878"/>
    </row>
    <row r="33" spans="1:9" s="887" customFormat="1" ht="19.5" customHeight="1">
      <c r="A33" s="3332" t="s">
        <v>185</v>
      </c>
      <c r="B33" s="882" t="s">
        <v>560</v>
      </c>
      <c r="C33" s="883" t="s">
        <v>588</v>
      </c>
      <c r="D33" s="884"/>
      <c r="E33" s="882">
        <v>1</v>
      </c>
      <c r="F33" s="885" t="s">
        <v>589</v>
      </c>
      <c r="G33" s="886"/>
      <c r="H33" s="878"/>
      <c r="I33" s="878"/>
    </row>
    <row r="34" spans="1:9" s="887" customFormat="1" ht="19.5" customHeight="1">
      <c r="A34" s="3332"/>
      <c r="B34" s="882" t="s">
        <v>563</v>
      </c>
      <c r="C34" s="883" t="s">
        <v>590</v>
      </c>
      <c r="D34" s="884"/>
      <c r="E34" s="882">
        <v>1.5</v>
      </c>
      <c r="F34" s="885" t="s">
        <v>591</v>
      </c>
      <c r="G34" s="886"/>
      <c r="H34" s="878"/>
      <c r="I34" s="878"/>
    </row>
    <row r="35" spans="1:9" s="887" customFormat="1" ht="19.5" customHeight="1">
      <c r="A35" s="3332" t="s">
        <v>186</v>
      </c>
      <c r="B35" s="882" t="s">
        <v>560</v>
      </c>
      <c r="C35" s="883" t="s">
        <v>592</v>
      </c>
      <c r="D35" s="884"/>
      <c r="E35" s="882">
        <v>1</v>
      </c>
      <c r="F35" s="885" t="s">
        <v>593</v>
      </c>
      <c r="G35" s="886"/>
      <c r="H35" s="878"/>
      <c r="I35" s="878"/>
    </row>
    <row r="36" spans="1:9" s="887" customFormat="1" ht="19.5" customHeight="1">
      <c r="A36" s="3332"/>
      <c r="B36" s="3332" t="s">
        <v>563</v>
      </c>
      <c r="C36" s="883" t="s">
        <v>594</v>
      </c>
      <c r="D36" s="884"/>
      <c r="E36" s="882">
        <v>1</v>
      </c>
      <c r="F36" s="885" t="s">
        <v>595</v>
      </c>
      <c r="G36" s="886"/>
      <c r="H36" s="878"/>
      <c r="I36" s="878"/>
    </row>
    <row r="37" spans="1:9" s="887" customFormat="1" ht="19.5" customHeight="1">
      <c r="A37" s="3332"/>
      <c r="B37" s="3332"/>
      <c r="C37" s="883" t="s">
        <v>596</v>
      </c>
      <c r="D37" s="884"/>
      <c r="E37" s="882">
        <v>1.5</v>
      </c>
      <c r="F37" s="885" t="s">
        <v>597</v>
      </c>
      <c r="G37" s="886"/>
      <c r="H37" s="878"/>
      <c r="I37" s="878"/>
    </row>
    <row r="38" spans="1:9" s="887" customFormat="1" ht="19.5" customHeight="1">
      <c r="A38" s="3332"/>
      <c r="B38" s="3332"/>
      <c r="C38" s="883" t="s">
        <v>598</v>
      </c>
      <c r="D38" s="884"/>
      <c r="E38" s="882">
        <v>1</v>
      </c>
      <c r="F38" s="885" t="s">
        <v>599</v>
      </c>
      <c r="G38" s="886"/>
      <c r="H38" s="878"/>
      <c r="I38" s="878"/>
    </row>
    <row r="39" spans="1:9" s="887" customFormat="1" ht="19.5" customHeight="1">
      <c r="A39" s="3332"/>
      <c r="B39" s="333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2" t="s">
        <v>614</v>
      </c>
      <c r="C61" s="818" t="s">
        <v>615</v>
      </c>
      <c r="D61" s="818" t="s">
        <v>616</v>
      </c>
      <c r="E61" s="895">
        <v>0.5</v>
      </c>
      <c r="F61" s="882">
        <v>80</v>
      </c>
    </row>
    <row r="62" spans="1:8" s="878" customFormat="1" ht="24">
      <c r="A62" s="882">
        <v>2</v>
      </c>
      <c r="B62" s="3332"/>
      <c r="C62" s="818" t="s">
        <v>617</v>
      </c>
      <c r="D62" s="818" t="s">
        <v>618</v>
      </c>
      <c r="E62" s="895">
        <v>0.5</v>
      </c>
      <c r="F62" s="882">
        <v>80</v>
      </c>
    </row>
    <row r="63" spans="1:8" s="878" customFormat="1" ht="36">
      <c r="A63" s="882">
        <v>3</v>
      </c>
      <c r="B63" s="3332"/>
      <c r="C63" s="818" t="s">
        <v>619</v>
      </c>
      <c r="D63" s="818" t="s">
        <v>620</v>
      </c>
      <c r="E63" s="895">
        <v>0.5</v>
      </c>
      <c r="F63" s="882">
        <v>80</v>
      </c>
    </row>
    <row r="64" spans="1:8" s="878" customFormat="1" ht="36">
      <c r="A64" s="882">
        <v>4</v>
      </c>
      <c r="B64" s="3332"/>
      <c r="C64" s="818" t="s">
        <v>621</v>
      </c>
      <c r="D64" s="818" t="s">
        <v>622</v>
      </c>
      <c r="E64" s="895">
        <v>0.4</v>
      </c>
      <c r="F64" s="882">
        <v>60</v>
      </c>
    </row>
    <row r="65" spans="1:6" s="878" customFormat="1" ht="36">
      <c r="A65" s="882">
        <v>5</v>
      </c>
      <c r="B65" s="3332"/>
      <c r="C65" s="818" t="s">
        <v>623</v>
      </c>
      <c r="D65" s="818" t="s">
        <v>624</v>
      </c>
      <c r="E65" s="895">
        <v>0.2</v>
      </c>
      <c r="F65" s="882">
        <v>30</v>
      </c>
    </row>
    <row r="66" spans="1:6" s="878" customFormat="1" ht="36">
      <c r="A66" s="882">
        <v>6</v>
      </c>
      <c r="B66" s="3332"/>
      <c r="C66" s="818" t="s">
        <v>625</v>
      </c>
      <c r="D66" s="818" t="s">
        <v>626</v>
      </c>
      <c r="E66" s="895">
        <v>0.3</v>
      </c>
      <c r="F66" s="882">
        <v>50</v>
      </c>
    </row>
    <row r="67" spans="1:6" s="878" customFormat="1" ht="36">
      <c r="A67" s="882">
        <v>7</v>
      </c>
      <c r="B67" s="3332"/>
      <c r="C67" s="818" t="s">
        <v>627</v>
      </c>
      <c r="D67" s="818" t="s">
        <v>628</v>
      </c>
      <c r="E67" s="895">
        <v>0.2</v>
      </c>
      <c r="F67" s="882">
        <v>30</v>
      </c>
    </row>
    <row r="68" spans="1:6" s="878" customFormat="1" ht="36">
      <c r="A68" s="882">
        <v>8</v>
      </c>
      <c r="B68" s="3332"/>
      <c r="C68" s="818" t="s">
        <v>629</v>
      </c>
      <c r="D68" s="818" t="s">
        <v>630</v>
      </c>
      <c r="E68" s="895">
        <v>0.2</v>
      </c>
      <c r="F68" s="882">
        <v>30</v>
      </c>
    </row>
    <row r="69" spans="1:6" s="878" customFormat="1" ht="36">
      <c r="A69" s="882">
        <v>9</v>
      </c>
      <c r="B69" s="3332"/>
      <c r="C69" s="818" t="s">
        <v>631</v>
      </c>
      <c r="D69" s="818" t="s">
        <v>632</v>
      </c>
      <c r="E69" s="895">
        <v>0.2</v>
      </c>
      <c r="F69" s="882">
        <v>30</v>
      </c>
    </row>
    <row r="70" spans="1:6" s="878" customFormat="1" ht="48">
      <c r="A70" s="882">
        <v>10</v>
      </c>
      <c r="B70" s="3332"/>
      <c r="C70" s="818" t="s">
        <v>633</v>
      </c>
      <c r="D70" s="818" t="s">
        <v>634</v>
      </c>
      <c r="E70" s="895">
        <v>0.2</v>
      </c>
      <c r="F70" s="882">
        <v>30</v>
      </c>
    </row>
    <row r="71" spans="1:6" s="878" customFormat="1" ht="48">
      <c r="A71" s="882">
        <v>11</v>
      </c>
      <c r="B71" s="3332"/>
      <c r="C71" s="818" t="s">
        <v>635</v>
      </c>
      <c r="D71" s="818" t="s">
        <v>636</v>
      </c>
      <c r="E71" s="895">
        <v>0.2</v>
      </c>
      <c r="F71" s="882">
        <v>30</v>
      </c>
    </row>
    <row r="72" spans="1:6" s="878" customFormat="1" ht="36">
      <c r="A72" s="882">
        <v>12</v>
      </c>
      <c r="B72" s="3332"/>
      <c r="C72" s="818" t="s">
        <v>637</v>
      </c>
      <c r="D72" s="818" t="s">
        <v>638</v>
      </c>
      <c r="E72" s="895">
        <v>0.5</v>
      </c>
      <c r="F72" s="882">
        <v>80</v>
      </c>
    </row>
    <row r="73" spans="1:6" s="878" customFormat="1" ht="24">
      <c r="A73" s="882">
        <v>13</v>
      </c>
      <c r="B73" s="3332"/>
      <c r="C73" s="818" t="s">
        <v>639</v>
      </c>
      <c r="D73" s="818" t="s">
        <v>640</v>
      </c>
      <c r="E73" s="895">
        <v>0.4</v>
      </c>
      <c r="F73" s="882">
        <v>60</v>
      </c>
    </row>
    <row r="74" spans="1:6" s="878" customFormat="1" ht="24">
      <c r="A74" s="882">
        <v>14</v>
      </c>
      <c r="B74" s="3332"/>
      <c r="C74" s="818" t="s">
        <v>641</v>
      </c>
      <c r="D74" s="818" t="s">
        <v>642</v>
      </c>
      <c r="E74" s="895">
        <v>0.2</v>
      </c>
      <c r="F74" s="882">
        <v>30</v>
      </c>
    </row>
    <row r="75" spans="1:6" s="878" customFormat="1" ht="24">
      <c r="A75" s="882">
        <v>15</v>
      </c>
      <c r="B75" s="3332"/>
      <c r="C75" s="818" t="s">
        <v>643</v>
      </c>
      <c r="D75" s="818" t="s">
        <v>644</v>
      </c>
      <c r="E75" s="895">
        <v>0.2</v>
      </c>
      <c r="F75" s="882">
        <v>30</v>
      </c>
    </row>
    <row r="76" spans="1:6" s="878" customFormat="1" ht="24">
      <c r="A76" s="882">
        <v>16</v>
      </c>
      <c r="B76" s="3332" t="s">
        <v>645</v>
      </c>
      <c r="C76" s="818" t="s">
        <v>646</v>
      </c>
      <c r="D76" s="818" t="s">
        <v>647</v>
      </c>
      <c r="E76" s="895">
        <v>0.5</v>
      </c>
      <c r="F76" s="882">
        <v>80</v>
      </c>
    </row>
    <row r="77" spans="1:6" s="878" customFormat="1" ht="24">
      <c r="A77" s="882">
        <v>17</v>
      </c>
      <c r="B77" s="3332"/>
      <c r="C77" s="818" t="s">
        <v>648</v>
      </c>
      <c r="D77" s="818" t="s">
        <v>649</v>
      </c>
      <c r="E77" s="895">
        <v>0.5</v>
      </c>
      <c r="F77" s="882">
        <v>80</v>
      </c>
    </row>
    <row r="78" spans="1:6" s="878" customFormat="1" ht="24">
      <c r="A78" s="882">
        <v>18</v>
      </c>
      <c r="B78" s="3332"/>
      <c r="C78" s="818" t="s">
        <v>650</v>
      </c>
      <c r="D78" s="818" t="s">
        <v>651</v>
      </c>
      <c r="E78" s="895">
        <v>0.2</v>
      </c>
      <c r="F78" s="882">
        <v>30</v>
      </c>
    </row>
    <row r="79" spans="1:6" s="878" customFormat="1" ht="24">
      <c r="A79" s="882">
        <v>19</v>
      </c>
      <c r="B79" s="3332"/>
      <c r="C79" s="818" t="s">
        <v>652</v>
      </c>
      <c r="D79" s="818" t="s">
        <v>653</v>
      </c>
      <c r="E79" s="895">
        <v>0.5</v>
      </c>
      <c r="F79" s="882">
        <v>80</v>
      </c>
    </row>
    <row r="80" spans="1:6" s="878" customFormat="1" ht="36">
      <c r="A80" s="882">
        <v>20</v>
      </c>
      <c r="B80" s="3332"/>
      <c r="C80" s="818" t="s">
        <v>654</v>
      </c>
      <c r="D80" s="818" t="s">
        <v>655</v>
      </c>
      <c r="E80" s="895">
        <v>0.2</v>
      </c>
      <c r="F80" s="882">
        <v>30</v>
      </c>
    </row>
    <row r="81" spans="1:6" s="878" customFormat="1" ht="36">
      <c r="A81" s="882">
        <v>21</v>
      </c>
      <c r="B81" s="3332"/>
      <c r="C81" s="818" t="s">
        <v>656</v>
      </c>
      <c r="D81" s="818" t="s">
        <v>657</v>
      </c>
      <c r="E81" s="895">
        <v>0.2</v>
      </c>
      <c r="F81" s="882">
        <v>30</v>
      </c>
    </row>
    <row r="82" spans="1:6" s="878" customFormat="1" ht="48">
      <c r="A82" s="882">
        <v>22</v>
      </c>
      <c r="B82" s="3332"/>
      <c r="C82" s="818" t="s">
        <v>658</v>
      </c>
      <c r="D82" s="818" t="s">
        <v>659</v>
      </c>
      <c r="E82" s="895">
        <v>0.2</v>
      </c>
      <c r="F82" s="882">
        <v>30</v>
      </c>
    </row>
    <row r="83" spans="1:6" s="878" customFormat="1" ht="48">
      <c r="A83" s="882">
        <v>23</v>
      </c>
      <c r="B83" s="3332"/>
      <c r="C83" s="818" t="s">
        <v>660</v>
      </c>
      <c r="D83" s="818" t="s">
        <v>661</v>
      </c>
      <c r="E83" s="895">
        <v>0.2</v>
      </c>
      <c r="F83" s="882">
        <v>30</v>
      </c>
    </row>
    <row r="84" spans="1:6" s="878" customFormat="1" ht="36">
      <c r="A84" s="882">
        <v>24</v>
      </c>
      <c r="B84" s="3332"/>
      <c r="C84" s="818" t="s">
        <v>662</v>
      </c>
      <c r="D84" s="818" t="s">
        <v>663</v>
      </c>
      <c r="E84" s="895">
        <v>0.2</v>
      </c>
      <c r="F84" s="882">
        <v>30</v>
      </c>
    </row>
    <row r="85" spans="1:6" s="878" customFormat="1" ht="36">
      <c r="A85" s="882">
        <v>25</v>
      </c>
      <c r="B85" s="3332"/>
      <c r="C85" s="818" t="s">
        <v>664</v>
      </c>
      <c r="D85" s="818" t="s">
        <v>665</v>
      </c>
      <c r="E85" s="895">
        <v>0.5</v>
      </c>
      <c r="F85" s="882">
        <v>80</v>
      </c>
    </row>
    <row r="86" spans="1:6" s="878" customFormat="1" ht="36">
      <c r="A86" s="882">
        <v>26</v>
      </c>
      <c r="B86" s="3332"/>
      <c r="C86" s="818" t="s">
        <v>666</v>
      </c>
      <c r="D86" s="818" t="s">
        <v>667</v>
      </c>
      <c r="E86" s="895">
        <v>0.2</v>
      </c>
      <c r="F86" s="882">
        <v>30</v>
      </c>
    </row>
    <row r="87" spans="1:6" s="878" customFormat="1" ht="36">
      <c r="A87" s="882">
        <v>27</v>
      </c>
      <c r="B87" s="3332"/>
      <c r="C87" s="818" t="s">
        <v>668</v>
      </c>
      <c r="D87" s="818" t="s">
        <v>669</v>
      </c>
      <c r="E87" s="895">
        <v>0.2</v>
      </c>
      <c r="F87" s="882">
        <v>30</v>
      </c>
    </row>
    <row r="88" spans="1:6" s="878" customFormat="1" ht="36">
      <c r="A88" s="882">
        <v>28</v>
      </c>
      <c r="B88" s="3332"/>
      <c r="C88" s="818" t="s">
        <v>670</v>
      </c>
      <c r="D88" s="818" t="s">
        <v>671</v>
      </c>
      <c r="E88" s="895">
        <v>0.2</v>
      </c>
      <c r="F88" s="882">
        <v>30</v>
      </c>
    </row>
    <row r="89" spans="1:6" s="878" customFormat="1" ht="24">
      <c r="A89" s="882">
        <v>29</v>
      </c>
      <c r="B89" s="3332"/>
      <c r="C89" s="818" t="s">
        <v>672</v>
      </c>
      <c r="D89" s="818" t="s">
        <v>673</v>
      </c>
      <c r="E89" s="895">
        <v>0.2</v>
      </c>
      <c r="F89" s="882">
        <v>30</v>
      </c>
    </row>
    <row r="90" spans="1:6" s="878" customFormat="1" ht="24">
      <c r="A90" s="882">
        <v>30</v>
      </c>
      <c r="B90" s="3332"/>
      <c r="C90" s="818" t="s">
        <v>674</v>
      </c>
      <c r="D90" s="818" t="s">
        <v>675</v>
      </c>
      <c r="E90" s="895">
        <v>0.2</v>
      </c>
      <c r="F90" s="882">
        <v>30</v>
      </c>
    </row>
    <row r="91" spans="1:6" s="878" customFormat="1" ht="36">
      <c r="A91" s="882">
        <v>31</v>
      </c>
      <c r="B91" s="3332"/>
      <c r="C91" s="818" t="s">
        <v>676</v>
      </c>
      <c r="D91" s="818" t="s">
        <v>677</v>
      </c>
      <c r="E91" s="895">
        <v>0.2</v>
      </c>
      <c r="F91" s="882">
        <v>30</v>
      </c>
    </row>
    <row r="92" spans="1:6" s="878" customFormat="1" ht="24">
      <c r="A92" s="882">
        <v>32</v>
      </c>
      <c r="B92" s="3332" t="s">
        <v>678</v>
      </c>
      <c r="C92" s="882" t="s">
        <v>679</v>
      </c>
      <c r="D92" s="818" t="s">
        <v>680</v>
      </c>
      <c r="E92" s="895">
        <v>0.2</v>
      </c>
      <c r="F92" s="882">
        <v>30</v>
      </c>
    </row>
    <row r="93" spans="1:6" s="878" customFormat="1" ht="36">
      <c r="A93" s="882">
        <v>33</v>
      </c>
      <c r="B93" s="3332"/>
      <c r="C93" s="882" t="s">
        <v>681</v>
      </c>
      <c r="D93" s="818" t="s">
        <v>682</v>
      </c>
      <c r="E93" s="895">
        <v>0.2</v>
      </c>
      <c r="F93" s="882">
        <v>30</v>
      </c>
    </row>
    <row r="94" spans="1:6" s="878" customFormat="1" ht="48">
      <c r="A94" s="882">
        <v>34</v>
      </c>
      <c r="B94" s="3332"/>
      <c r="C94" s="882" t="s">
        <v>683</v>
      </c>
      <c r="D94" s="818" t="s">
        <v>684</v>
      </c>
      <c r="E94" s="895">
        <v>0.2</v>
      </c>
      <c r="F94" s="882">
        <v>30</v>
      </c>
    </row>
    <row r="95" spans="1:6" s="878" customFormat="1" ht="36">
      <c r="A95" s="882">
        <v>35</v>
      </c>
      <c r="B95" s="3332"/>
      <c r="C95" s="882" t="s">
        <v>685</v>
      </c>
      <c r="D95" s="818" t="s">
        <v>686</v>
      </c>
      <c r="E95" s="895">
        <v>0.2</v>
      </c>
      <c r="F95" s="882">
        <v>30</v>
      </c>
    </row>
    <row r="96" spans="1:6" s="878" customFormat="1" ht="48">
      <c r="A96" s="882">
        <v>36</v>
      </c>
      <c r="B96" s="3332"/>
      <c r="C96" s="818" t="s">
        <v>687</v>
      </c>
      <c r="D96" s="818" t="s">
        <v>688</v>
      </c>
      <c r="E96" s="895">
        <v>0.2</v>
      </c>
      <c r="F96" s="882">
        <v>30</v>
      </c>
    </row>
    <row r="97" spans="1:6" s="878" customFormat="1" ht="36">
      <c r="A97" s="882">
        <v>37</v>
      </c>
      <c r="B97" s="3332"/>
      <c r="C97" s="882" t="s">
        <v>689</v>
      </c>
      <c r="D97" s="818" t="s">
        <v>690</v>
      </c>
      <c r="E97" s="895">
        <v>0.2</v>
      </c>
      <c r="F97" s="882">
        <v>30</v>
      </c>
    </row>
    <row r="98" spans="1:6" s="878" customFormat="1" ht="36">
      <c r="A98" s="882">
        <v>38</v>
      </c>
      <c r="B98" s="3332"/>
      <c r="C98" s="882" t="s">
        <v>691</v>
      </c>
      <c r="D98" s="818" t="s">
        <v>692</v>
      </c>
      <c r="E98" s="895">
        <v>0.2</v>
      </c>
      <c r="F98" s="882">
        <v>30</v>
      </c>
    </row>
    <row r="99" spans="1:6" s="878" customFormat="1" ht="36">
      <c r="A99" s="882">
        <v>39</v>
      </c>
      <c r="B99" s="3332" t="s">
        <v>693</v>
      </c>
      <c r="C99" s="882" t="s">
        <v>694</v>
      </c>
      <c r="D99" s="818" t="s">
        <v>695</v>
      </c>
      <c r="E99" s="895">
        <v>0.3</v>
      </c>
      <c r="F99" s="882">
        <v>50</v>
      </c>
    </row>
    <row r="100" spans="1:6" s="878" customFormat="1" ht="24">
      <c r="A100" s="882">
        <v>40</v>
      </c>
      <c r="B100" s="3332"/>
      <c r="C100" s="882" t="s">
        <v>696</v>
      </c>
      <c r="D100" s="818" t="s">
        <v>697</v>
      </c>
      <c r="E100" s="895">
        <v>0.2</v>
      </c>
      <c r="F100" s="882">
        <v>30</v>
      </c>
    </row>
    <row r="101" spans="1:6" s="878" customFormat="1" ht="36">
      <c r="A101" s="882">
        <v>41</v>
      </c>
      <c r="B101" s="333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2" t="s">
        <v>708</v>
      </c>
      <c r="C105" s="882" t="s">
        <v>709</v>
      </c>
      <c r="D105" s="818" t="s">
        <v>710</v>
      </c>
      <c r="E105" s="895">
        <v>0.2</v>
      </c>
      <c r="F105" s="882">
        <v>30</v>
      </c>
    </row>
    <row r="106" spans="1:6" s="878" customFormat="1" ht="36">
      <c r="A106" s="882">
        <v>46</v>
      </c>
      <c r="B106" s="3332"/>
      <c r="C106" s="882" t="s">
        <v>711</v>
      </c>
      <c r="D106" s="818" t="s">
        <v>712</v>
      </c>
      <c r="E106" s="895">
        <v>0.2</v>
      </c>
      <c r="F106" s="882">
        <v>30</v>
      </c>
    </row>
    <row r="107" spans="1:6" s="878" customFormat="1" ht="36">
      <c r="A107" s="882">
        <v>47</v>
      </c>
      <c r="B107" s="3332" t="s">
        <v>713</v>
      </c>
      <c r="C107" s="882" t="s">
        <v>714</v>
      </c>
      <c r="D107" s="818" t="s">
        <v>715</v>
      </c>
      <c r="E107" s="895">
        <v>0.3</v>
      </c>
      <c r="F107" s="882">
        <v>50</v>
      </c>
    </row>
    <row r="108" spans="1:6" s="878" customFormat="1" ht="36">
      <c r="A108" s="882">
        <v>48</v>
      </c>
      <c r="B108" s="333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2" t="s">
        <v>724</v>
      </c>
      <c r="C111" s="882" t="s">
        <v>725</v>
      </c>
      <c r="D111" s="818" t="s">
        <v>726</v>
      </c>
      <c r="E111" s="895">
        <v>0.2</v>
      </c>
      <c r="F111" s="882">
        <v>30</v>
      </c>
    </row>
    <row r="112" spans="1:6" s="878" customFormat="1" ht="24">
      <c r="A112" s="882">
        <v>52</v>
      </c>
      <c r="B112" s="3332"/>
      <c r="C112" s="882" t="s">
        <v>727</v>
      </c>
      <c r="D112" s="818" t="s">
        <v>728</v>
      </c>
      <c r="E112" s="895">
        <v>0.2</v>
      </c>
      <c r="F112" s="882">
        <v>30</v>
      </c>
    </row>
    <row r="113" spans="1:6" s="878" customFormat="1" ht="24">
      <c r="A113" s="882">
        <v>53</v>
      </c>
      <c r="B113" s="333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2" t="s">
        <v>737</v>
      </c>
      <c r="C116" s="882" t="s">
        <v>738</v>
      </c>
      <c r="D116" s="818" t="s">
        <v>739</v>
      </c>
      <c r="E116" s="895">
        <v>0.2</v>
      </c>
      <c r="F116" s="882">
        <v>30</v>
      </c>
    </row>
    <row r="117" spans="1:6" ht="36">
      <c r="A117" s="882">
        <v>57</v>
      </c>
      <c r="B117" s="333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59" t="s">
        <v>2996</v>
      </c>
    </row>
    <row r="2" spans="1:5" ht="15.75">
      <c r="A2" s="2906" t="s">
        <v>2988</v>
      </c>
      <c r="B2" s="2907" t="e">
        <f ca="1">SUMIF(B6:B13,"&lt;&gt;#ref!",B6:B13)</f>
        <v>#DIV/0!</v>
      </c>
      <c r="C2" s="2906" t="s">
        <v>2989</v>
      </c>
      <c r="D2" s="2906" t="s">
        <v>2990</v>
      </c>
      <c r="E2" s="2907">
        <f ca="1">SUMIF(E6:E13,"&lt;&gt;#ref!",E6:E13)</f>
        <v>0</v>
      </c>
    </row>
    <row r="3" spans="1:5" ht="15.75">
      <c r="A3" s="2906" t="s">
        <v>2991</v>
      </c>
      <c r="B3" s="2907" t="e">
        <f ca="1">ROUND(B2*10000/E2,0)</f>
        <v>#DIV/0!</v>
      </c>
      <c r="C3" s="2906" t="s">
        <v>2997</v>
      </c>
      <c r="D3" s="2908"/>
      <c r="E3" s="2908"/>
    </row>
    <row r="4" spans="1:5" ht="15.75">
      <c r="A4" s="2909"/>
      <c r="B4" s="2908"/>
      <c r="C4" s="2908"/>
      <c r="D4" s="2908"/>
      <c r="E4" s="2908"/>
    </row>
    <row r="5" spans="1:5" ht="28.5">
      <c r="A5" s="2910" t="s">
        <v>2992</v>
      </c>
      <c r="B5" s="2906" t="s">
        <v>2993</v>
      </c>
      <c r="C5" s="2907"/>
      <c r="D5" s="2908"/>
      <c r="E5" s="2906" t="s">
        <v>2994</v>
      </c>
    </row>
    <row r="6" spans="1:5" ht="15.75">
      <c r="A6" s="2911" t="s">
        <v>2995</v>
      </c>
      <c r="B6" s="2907" t="e">
        <f ca="1">SUMIF(INDIRECT("'"&amp;A6&amp;"'"&amp;"!A:A"),"总价",INDIRECT("'"&amp;A6&amp;"'"&amp;"!B:B"))</f>
        <v>#DIV/0!</v>
      </c>
      <c r="C6" s="2906" t="s">
        <v>2989</v>
      </c>
      <c r="D6" s="2908"/>
      <c r="E6" s="2573">
        <f ca="1">SUMIF(INDIRECT("'"&amp;A6&amp;"'"&amp;"!C:C"),"建筑面积",INDIRECT("'"&amp;A6&amp;"'"&amp;"!D:D"))</f>
        <v>0</v>
      </c>
    </row>
    <row r="7" spans="1:5" ht="15.75">
      <c r="A7" s="2911"/>
      <c r="B7" s="2907" t="e">
        <f ca="1">SUMIF(INDIRECT("'"&amp;A7&amp;"'"&amp;"!A:A"),"总价",INDIRECT("'"&amp;A7&amp;"'"&amp;"!B:B"))</f>
        <v>#REF!</v>
      </c>
      <c r="C7" s="2906" t="s">
        <v>2989</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2989</v>
      </c>
      <c r="D8" s="2908"/>
      <c r="E8" s="2573" t="e">
        <f t="shared" ca="1" si="0"/>
        <v>#REF!</v>
      </c>
    </row>
    <row r="9" spans="1:5" ht="15.75">
      <c r="A9" s="2911"/>
      <c r="B9" s="2907" t="e">
        <f t="shared" ca="1" si="1"/>
        <v>#REF!</v>
      </c>
      <c r="C9" s="2906" t="s">
        <v>2989</v>
      </c>
      <c r="D9" s="2908"/>
      <c r="E9" s="2573" t="e">
        <f t="shared" ca="1" si="0"/>
        <v>#REF!</v>
      </c>
    </row>
    <row r="10" spans="1:5" ht="15.75">
      <c r="A10" s="2911"/>
      <c r="B10" s="2907" t="e">
        <f t="shared" ca="1" si="1"/>
        <v>#REF!</v>
      </c>
      <c r="C10" s="2906" t="s">
        <v>2989</v>
      </c>
      <c r="D10" s="2908"/>
      <c r="E10" s="2573" t="e">
        <f t="shared" ca="1" si="0"/>
        <v>#REF!</v>
      </c>
    </row>
    <row r="11" spans="1:5" ht="15.75">
      <c r="A11" s="2911"/>
      <c r="B11" s="2907" t="e">
        <f t="shared" ca="1" si="1"/>
        <v>#REF!</v>
      </c>
      <c r="C11" s="2906" t="s">
        <v>2989</v>
      </c>
      <c r="D11" s="2908"/>
      <c r="E11" s="2573" t="e">
        <f t="shared" ca="1" si="0"/>
        <v>#REF!</v>
      </c>
    </row>
    <row r="12" spans="1:5" ht="15.75">
      <c r="A12" s="2911"/>
      <c r="B12" s="2907" t="e">
        <f t="shared" ca="1" si="1"/>
        <v>#REF!</v>
      </c>
      <c r="C12" s="2906" t="s">
        <v>2989</v>
      </c>
      <c r="D12" s="2908"/>
      <c r="E12" s="2573" t="e">
        <f t="shared" ca="1" si="0"/>
        <v>#REF!</v>
      </c>
    </row>
    <row r="13" spans="1:5" ht="15.75">
      <c r="A13" s="2911"/>
      <c r="B13" s="2907" t="e">
        <f t="shared" ca="1" si="1"/>
        <v>#REF!</v>
      </c>
      <c r="C13" s="2906" t="s">
        <v>2989</v>
      </c>
      <c r="D13" s="2908"/>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64"/>
      <c r="B4" s="3026" t="s">
        <v>1630</v>
      </c>
      <c r="C4" s="3026"/>
      <c r="D4" s="3026"/>
      <c r="E4" s="1964"/>
    </row>
    <row r="5" spans="1:5" ht="16.5" thickTop="1">
      <c r="A5" s="1962"/>
      <c r="B5" s="3024" t="s">
        <v>1622</v>
      </c>
      <c r="C5" s="1965" t="s">
        <v>1623</v>
      </c>
      <c r="D5" s="1043">
        <f ca="1">'结果表（住宅）'!H101</f>
        <v>1770</v>
      </c>
      <c r="E5" s="1962"/>
    </row>
    <row r="6" spans="1:5" ht="15.75">
      <c r="A6" s="1962"/>
      <c r="B6" s="3024"/>
      <c r="C6" s="1965" t="s">
        <v>1624</v>
      </c>
      <c r="D6" s="1043" t="str">
        <f ca="1">NUMBERSTRING(INT(D5*10000),2)&amp;"元整"</f>
        <v>壹仟柒佰柒拾万元整</v>
      </c>
      <c r="E6" s="1962"/>
    </row>
    <row r="7" spans="1:5" ht="15.75">
      <c r="A7" s="1962"/>
      <c r="B7" s="3029"/>
      <c r="C7" s="1966" t="s">
        <v>1625</v>
      </c>
      <c r="D7" s="1044">
        <f ca="1">'结果表（住宅）'!H102</f>
        <v>3356</v>
      </c>
      <c r="E7" s="1962"/>
    </row>
    <row r="8" spans="1:5" ht="15.75">
      <c r="A8" s="1962"/>
      <c r="B8" s="3030" t="str">
        <f>'结果表（住宅）'!E103</f>
        <v>2.估价师知悉的法定优先受偿款</v>
      </c>
      <c r="C8" s="1967" t="s">
        <v>1626</v>
      </c>
      <c r="D8" s="1044">
        <f>'结果表（住宅）'!H103</f>
        <v>0</v>
      </c>
      <c r="E8" s="1962"/>
    </row>
    <row r="9" spans="1:5" ht="15.75">
      <c r="A9" s="1962"/>
      <c r="B9" s="3032"/>
      <c r="C9" s="1965" t="s">
        <v>1624</v>
      </c>
      <c r="D9" s="1043" t="str">
        <f>NUMBERSTRING(INT(D8*10000),2)&amp;"元整"</f>
        <v>零元整</v>
      </c>
      <c r="E9" s="1962"/>
    </row>
    <row r="10" spans="1:5" ht="15">
      <c r="A10" s="1962"/>
      <c r="B10" s="1968" t="s">
        <v>1629</v>
      </c>
      <c r="C10" s="1969" t="s">
        <v>1627</v>
      </c>
      <c r="D10" s="1045">
        <f>'结果表（住宅）'!H104</f>
        <v>0</v>
      </c>
      <c r="E10" s="1962"/>
    </row>
    <row r="11" spans="1:5" ht="15">
      <c r="A11" s="1962"/>
      <c r="B11" s="1968" t="s">
        <v>1631</v>
      </c>
      <c r="C11" s="1969" t="s">
        <v>1632</v>
      </c>
      <c r="D11" s="1045">
        <f>'结果表（住宅）'!H105</f>
        <v>0</v>
      </c>
      <c r="E11" s="1962"/>
    </row>
    <row r="12" spans="1:5" ht="15">
      <c r="A12" s="1962"/>
      <c r="B12" s="1968" t="s">
        <v>1633</v>
      </c>
      <c r="C12" s="1969" t="s">
        <v>1632</v>
      </c>
      <c r="D12" s="1045">
        <f>'结果表（住宅）'!H106</f>
        <v>0</v>
      </c>
      <c r="E12" s="1962"/>
    </row>
    <row r="13" spans="1:5" ht="15.75">
      <c r="A13" s="1962"/>
      <c r="B13" s="3023" t="str">
        <f>'结果表（住宅）'!E107</f>
        <v>3.房地产抵押价值</v>
      </c>
      <c r="C13" s="1970" t="s">
        <v>1623</v>
      </c>
      <c r="D13" s="1046">
        <f ca="1">'结果表（住宅）'!H107</f>
        <v>1770</v>
      </c>
      <c r="E13" s="1962"/>
    </row>
    <row r="14" spans="1:5" ht="15.75">
      <c r="A14" s="1962"/>
      <c r="B14" s="3024"/>
      <c r="C14" s="1965" t="s">
        <v>1624</v>
      </c>
      <c r="D14" s="1043" t="str">
        <f ca="1">NUMBERSTRING(INT(D13*10000),2)&amp;"元整"</f>
        <v>壹仟柒佰柒拾万元整</v>
      </c>
      <c r="E14" s="1962"/>
    </row>
    <row r="15" spans="1:5" ht="15">
      <c r="A15" s="1962"/>
      <c r="B15" s="3029"/>
      <c r="C15" s="1966" t="s">
        <v>1634</v>
      </c>
      <c r="D15" s="1055">
        <f ca="1">'结果表（住宅）'!H108</f>
        <v>3356</v>
      </c>
      <c r="E15" s="1962"/>
    </row>
    <row r="16" spans="1:5" ht="15">
      <c r="A16" s="1962"/>
      <c r="B16" s="3030" t="str">
        <f>'结果表（住宅）'!E109</f>
        <v>——</v>
      </c>
      <c r="C16" s="1970" t="s">
        <v>1635</v>
      </c>
      <c r="D16" s="1971" t="str">
        <f>'结果表（住宅）'!H109</f>
        <v>——</v>
      </c>
      <c r="E16" s="1962"/>
    </row>
    <row r="17" spans="1:5" ht="15.75">
      <c r="A17" s="1962"/>
      <c r="B17" s="3031"/>
      <c r="C17" s="1965" t="s">
        <v>1636</v>
      </c>
      <c r="D17" s="1043" t="e">
        <f>NUMBERSTRING(INT(D16*10000),2)&amp;"元整"</f>
        <v>#VALUE!</v>
      </c>
      <c r="E17" s="1962"/>
    </row>
    <row r="18" spans="1:5" ht="15">
      <c r="A18" s="1962"/>
      <c r="B18" s="3032"/>
      <c r="C18" s="1966" t="s">
        <v>1625</v>
      </c>
      <c r="D18" s="1055" t="str">
        <f>'结果表（住宅）'!H110</f>
        <v>——</v>
      </c>
      <c r="E18" s="1962"/>
    </row>
    <row r="19" spans="1:5" ht="15.75">
      <c r="A19" s="1962"/>
      <c r="B19" s="3023" t="str">
        <f>'结果表（住宅）'!E111</f>
        <v>——</v>
      </c>
      <c r="C19" s="1970" t="s">
        <v>1623</v>
      </c>
      <c r="D19" s="1044" t="str">
        <f>'结果表（住宅）'!H111</f>
        <v>——</v>
      </c>
      <c r="E19" s="1962"/>
    </row>
    <row r="20" spans="1:5" ht="15.75">
      <c r="A20" s="1962"/>
      <c r="B20" s="3024"/>
      <c r="C20" s="1965" t="s">
        <v>1636</v>
      </c>
      <c r="D20" s="1043" t="e">
        <f>NUMBERSTRING(INT(D19*10000),2)&amp;"元整"</f>
        <v>#VALUE!</v>
      </c>
      <c r="E20" s="1962"/>
    </row>
    <row r="21" spans="1:5" ht="15.75" thickBot="1">
      <c r="A21" s="1962"/>
      <c r="B21" s="3025"/>
      <c r="C21" s="1972" t="s">
        <v>1634</v>
      </c>
      <c r="D21" s="1056" t="str">
        <f>'结果表（住宅）'!H112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8" t="s">
        <v>1150</v>
      </c>
      <c r="C1" s="3338"/>
      <c r="D1" s="3338"/>
      <c r="E1" s="3338"/>
      <c r="F1" s="3338"/>
      <c r="G1" s="3337" t="s">
        <v>1151</v>
      </c>
      <c r="H1" s="3337"/>
      <c r="I1" s="3337"/>
      <c r="J1" s="3337"/>
      <c r="K1" s="3337"/>
      <c r="L1" s="3337"/>
      <c r="N1" s="3337" t="s">
        <v>1152</v>
      </c>
      <c r="O1" s="3337"/>
      <c r="P1" s="3337"/>
      <c r="Q1" s="3337"/>
      <c r="R1" s="1449"/>
      <c r="S1" s="3337" t="s">
        <v>1153</v>
      </c>
      <c r="T1" s="3337"/>
      <c r="U1" s="3337"/>
      <c r="V1" s="3337"/>
      <c r="X1" s="3336" t="s">
        <v>1154</v>
      </c>
      <c r="Y1" s="3337"/>
      <c r="Z1" s="3337"/>
      <c r="AA1" s="3337"/>
      <c r="AB1" s="3337"/>
      <c r="AD1" s="3336" t="s">
        <v>1155</v>
      </c>
      <c r="AE1" s="3337"/>
      <c r="AF1" s="3337"/>
      <c r="AG1" s="3337"/>
      <c r="AH1" s="333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5" customFormat="1" ht="14.25">
      <c r="A3" s="2934" t="s">
        <v>3029</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6" customFormat="1" ht="14.25">
      <c r="B4" s="1457"/>
      <c r="C4" s="1457"/>
      <c r="D4" s="1458"/>
      <c r="E4" s="1458"/>
      <c r="F4" s="1457"/>
      <c r="G4" s="1459"/>
      <c r="H4" s="1460"/>
      <c r="I4" s="2919"/>
      <c r="J4" s="2919"/>
      <c r="K4" s="2919"/>
      <c r="L4" s="291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37">
        <v>2018</v>
      </c>
      <c r="H5" s="1733">
        <v>3</v>
      </c>
      <c r="I5" s="2920">
        <v>0</v>
      </c>
      <c r="J5" s="2920">
        <v>0</v>
      </c>
      <c r="K5" s="2920">
        <v>0</v>
      </c>
      <c r="L5" s="2920">
        <v>0</v>
      </c>
      <c r="N5" s="1470">
        <f>I5/100</f>
        <v>0</v>
      </c>
      <c r="O5" s="1470">
        <f t="shared" ref="O5" si="7">J5/100</f>
        <v>0</v>
      </c>
      <c r="P5" s="1470">
        <f t="shared" ref="P5" si="8">K5/100</f>
        <v>0</v>
      </c>
      <c r="Q5" s="1470">
        <f t="shared" ref="Q5" si="9">L5/100</f>
        <v>0</v>
      </c>
      <c r="R5" s="1735"/>
      <c r="S5" s="1736"/>
      <c r="T5" s="1735"/>
      <c r="U5" s="1735"/>
      <c r="V5" s="1735"/>
      <c r="W5" s="2924" t="s">
        <v>3030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3028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3025</v>
      </c>
      <c r="B8" s="1472">
        <v>439</v>
      </c>
      <c r="C8" s="1472">
        <v>327</v>
      </c>
      <c r="D8" s="1472">
        <f>C8</f>
        <v>327</v>
      </c>
      <c r="E8" s="1472">
        <v>627</v>
      </c>
      <c r="F8" s="1473">
        <v>283</v>
      </c>
      <c r="G8" s="292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3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4"/>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4"/>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5"/>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3">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4"/>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4"/>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5"/>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3">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4"/>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4"/>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5"/>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3">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4"/>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4"/>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5"/>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3">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4">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4">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5">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3">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4">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4">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5">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3">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4">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4">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5">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3">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4">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4">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5">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3">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4">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4">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5">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3">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4">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4">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5">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3">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4">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4">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5">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3">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4">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4">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5">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3">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4">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4">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5">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3">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4">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4">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5">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9" sqref="V2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344" t="s">
        <v>2999</v>
      </c>
      <c r="D1" s="3345"/>
      <c r="E1" s="3345"/>
      <c r="F1" s="3345"/>
      <c r="G1" s="3345"/>
      <c r="H1" s="3345"/>
      <c r="I1" s="3345"/>
      <c r="J1" s="3345"/>
      <c r="K1" s="3345"/>
      <c r="L1" s="3345"/>
      <c r="M1" s="3345"/>
      <c r="N1" s="3345"/>
      <c r="O1" s="3345"/>
      <c r="P1" s="3345"/>
      <c r="Q1" s="3345"/>
      <c r="R1" s="3345"/>
      <c r="S1" s="3346"/>
      <c r="T1" s="1207" t="s">
        <v>3000</v>
      </c>
    </row>
    <row r="2" spans="1:45" s="707" customFormat="1" ht="38.25">
      <c r="A2" s="1208"/>
      <c r="B2" s="703" t="s">
        <v>3001</v>
      </c>
      <c r="C2" s="704" t="str">
        <f t="shared" ref="C2:L2" si="0">C3&amp;"(含)"&amp;"-"&amp;D3</f>
        <v>0(含)-500</v>
      </c>
      <c r="D2" s="705" t="str">
        <f t="shared" si="0"/>
        <v>500(含)-1000</v>
      </c>
      <c r="E2" s="705" t="str">
        <f t="shared" si="0"/>
        <v>1000(含)-1500</v>
      </c>
      <c r="F2" s="705" t="str">
        <f t="shared" si="0"/>
        <v>1500(含)-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3008</v>
      </c>
      <c r="B17" s="2913" t="s">
        <v>3009</v>
      </c>
      <c r="C17" s="1234" t="s">
        <v>3452</v>
      </c>
      <c r="D17" s="1235" t="s">
        <v>3453</v>
      </c>
      <c r="E17" s="1235" t="s">
        <v>3454</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75</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3010</v>
      </c>
      <c r="E19" s="1795"/>
      <c r="F19" s="1795"/>
      <c r="G19" s="1795"/>
      <c r="H19" s="1283"/>
      <c r="I19" s="168"/>
      <c r="J19" s="168"/>
      <c r="K19" s="168"/>
      <c r="L19" s="168"/>
      <c r="M19" s="168"/>
      <c r="N19" s="168"/>
      <c r="O19" s="168"/>
      <c r="P19" s="168"/>
      <c r="Q19" s="168"/>
      <c r="R19" s="788"/>
      <c r="S19" s="138"/>
    </row>
    <row r="20" spans="1:45" ht="16.5" thickBot="1">
      <c r="A20" s="715" t="s">
        <v>3011</v>
      </c>
      <c r="B20" s="338">
        <f ca="1">IF(D20="——",S22,S22-F20)</f>
        <v>4027</v>
      </c>
      <c r="C20" s="168"/>
      <c r="D20" s="2915" t="s">
        <v>70</v>
      </c>
      <c r="E20" s="1796"/>
      <c r="F20" s="1207" t="e">
        <f ca="1">SUMIF(INDIRECT("'"&amp;H20&amp;"'"&amp;"!A:A"),"承租人权益价值",INDIRECT("'"&amp;H20&amp;"'"&amp;"!c:c"))</f>
        <v>#REF!</v>
      </c>
      <c r="G20" s="1207" t="s">
        <v>3012</v>
      </c>
      <c r="H20" s="2916"/>
      <c r="I20" s="168"/>
      <c r="J20" s="168"/>
      <c r="K20" s="168"/>
      <c r="L20" s="168"/>
      <c r="M20" s="168"/>
      <c r="N20" s="168"/>
      <c r="O20" s="168"/>
      <c r="P20" s="168"/>
      <c r="Q20" s="168"/>
      <c r="R20" s="788"/>
      <c r="S20" s="138"/>
    </row>
    <row r="21" spans="1:45" ht="15.75">
      <c r="A21" s="715" t="s">
        <v>3013</v>
      </c>
      <c r="B21" s="338">
        <f ca="1">R22</f>
        <v>11608</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3469.2400000000002</v>
      </c>
      <c r="C22" s="3203" t="s">
        <v>33</v>
      </c>
      <c r="D22" s="3204"/>
      <c r="E22" s="3204"/>
      <c r="F22" s="3204"/>
      <c r="G22" s="3204"/>
      <c r="H22" s="3204"/>
      <c r="I22" s="3204"/>
      <c r="J22" s="3204"/>
      <c r="K22" s="3204"/>
      <c r="L22" s="3204"/>
      <c r="M22" s="3204"/>
      <c r="N22" s="3204"/>
      <c r="O22" s="3204"/>
      <c r="P22" s="3204"/>
      <c r="Q22" s="3343"/>
      <c r="R22" s="716">
        <f ca="1">ROUND(S22*10000/B22,0)</f>
        <v>11608</v>
      </c>
      <c r="S22" s="24">
        <f ca="1">SUM(S24:S10000)</f>
        <v>4027</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21" t="s">
        <v>3448</v>
      </c>
      <c r="B24" s="718">
        <f>'数据-汇总表'!F20</f>
        <v>89.959999999999923</v>
      </c>
      <c r="C24" s="719">
        <v>1</v>
      </c>
      <c r="D24" s="720"/>
      <c r="E24" s="719">
        <v>1</v>
      </c>
      <c r="F24" s="720"/>
      <c r="G24" s="719">
        <v>1</v>
      </c>
      <c r="H24" s="720"/>
      <c r="I24" s="719">
        <v>1</v>
      </c>
      <c r="J24" s="720"/>
      <c r="K24" s="719">
        <v>1</v>
      </c>
      <c r="L24" s="720"/>
      <c r="M24" s="719">
        <v>1</v>
      </c>
      <c r="N24" s="720"/>
      <c r="O24" s="719">
        <v>1</v>
      </c>
      <c r="P24" s="720" t="s">
        <v>3414</v>
      </c>
      <c r="Q24" s="719">
        <v>1</v>
      </c>
      <c r="R24" s="721">
        <f ca="1">'结果表 (商业)'!G20</f>
        <v>13595</v>
      </c>
      <c r="S24" s="719">
        <f t="shared" ref="S24:S54" ca="1" si="11">ROUND(R24*B24/10000,0)</f>
        <v>122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3449</v>
      </c>
      <c r="B25" s="59">
        <v>1335.37</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3414</v>
      </c>
      <c r="Q25" s="24">
        <f>(SUMIF($17:$17,P25,$18:$18)-SUMIF($17:$17,$P$24,$18:$18)+100)/100</f>
        <v>1</v>
      </c>
      <c r="R25" s="716">
        <f ca="1">IF(B25="",0,ROUND($R$24*C25*E25*G25*I25*K25*M25*O25*Q25,0))</f>
        <v>13323</v>
      </c>
      <c r="S25" s="361">
        <f t="shared" ca="1" si="11"/>
        <v>1779</v>
      </c>
    </row>
    <row r="26" spans="1:45">
      <c r="A26" s="159" t="s">
        <v>3450</v>
      </c>
      <c r="B26" s="59">
        <v>1121.3</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3455</v>
      </c>
      <c r="Q26" s="24">
        <f t="shared" ref="Q26:Q89" si="19">(SUMIF($17:$17,P26,$18:$18)-SUMIF($17:$17,$P$24,$18:$18)+100)/100</f>
        <v>0.8</v>
      </c>
      <c r="R26" s="716">
        <f t="shared" ref="R26:R89" ca="1" si="20">IF(B26="",0,ROUND($R$24*C26*E26*G26*I26*K26*M26*O26*Q26,0))</f>
        <v>10658</v>
      </c>
      <c r="S26" s="361">
        <f t="shared" ca="1" si="11"/>
        <v>1195</v>
      </c>
    </row>
    <row r="27" spans="1:45">
      <c r="A27" s="159" t="s">
        <v>3451</v>
      </c>
      <c r="B27" s="59">
        <v>922.61</v>
      </c>
      <c r="C27" s="24">
        <f t="shared" si="12"/>
        <v>0.99</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3456</v>
      </c>
      <c r="Q27" s="24">
        <f t="shared" si="19"/>
        <v>0.75</v>
      </c>
      <c r="R27" s="716">
        <f t="shared" ca="1" si="20"/>
        <v>10094</v>
      </c>
      <c r="S27" s="361">
        <f t="shared" ca="1" si="11"/>
        <v>931</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30163</v>
      </c>
      <c r="C2" s="2" t="s">
        <v>133</v>
      </c>
      <c r="D2" s="243"/>
      <c r="E2" s="243"/>
      <c r="F2" s="243"/>
      <c r="G2" s="243"/>
    </row>
    <row r="3" spans="1:7" s="244" customFormat="1" ht="18" customHeight="1" thickBot="1">
      <c r="A3" s="247" t="s">
        <v>85</v>
      </c>
      <c r="B3" s="248">
        <f ca="1">ROUND(B2*10000/'数据-汇总表'!E3,0)</f>
        <v>57183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22</v>
      </c>
      <c r="D9" s="1035">
        <f>'数据-汇总表'!E5</f>
        <v>1805.619999999999</v>
      </c>
      <c r="E9" s="269">
        <f>'数据-取费表'!B27</f>
        <v>120</v>
      </c>
      <c r="F9" s="265"/>
      <c r="G9" s="270"/>
    </row>
    <row r="10" spans="1:7" s="258" customFormat="1" ht="13.5" customHeight="1">
      <c r="A10" s="953" t="s">
        <v>801</v>
      </c>
      <c r="B10" s="268" t="s">
        <v>94</v>
      </c>
      <c r="C10" s="269">
        <f>ROUND(D10*E10/10000,0)</f>
        <v>18</v>
      </c>
      <c r="D10" s="1035">
        <f>'数据-汇总表'!E6</f>
        <v>3469.24</v>
      </c>
      <c r="E10" s="269">
        <f>'数据-取费表'!B28</f>
        <v>52</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105</v>
      </c>
      <c r="D19" s="1039">
        <f>'数据-汇总表'!E3</f>
        <v>5274.8599999999988</v>
      </c>
      <c r="E19" s="255">
        <f>'数据-取费表'!B31</f>
        <v>200</v>
      </c>
      <c r="F19" s="275"/>
      <c r="G19" s="1" t="s">
        <v>1074</v>
      </c>
    </row>
    <row r="20" spans="1:7" s="258" customFormat="1" ht="13.5" customHeight="1">
      <c r="A20" s="951" t="s">
        <v>1057</v>
      </c>
      <c r="B20" s="254" t="s">
        <v>104</v>
      </c>
      <c r="C20" s="276">
        <f>ROUND((C5+C19)*F20,0)</f>
        <v>418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3724</v>
      </c>
      <c r="D22" s="279">
        <f ca="1">C26</f>
        <v>1.6999999999999999E-3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3670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19</v>
      </c>
      <c r="D24" s="282"/>
      <c r="E24" s="282"/>
      <c r="F24" s="283"/>
      <c r="G24" s="284" t="s">
        <v>109</v>
      </c>
    </row>
    <row r="25" spans="1:7" s="258" customFormat="1" ht="24">
      <c r="A25" s="954" t="s">
        <v>793</v>
      </c>
      <c r="B25" s="259" t="s">
        <v>1058</v>
      </c>
      <c r="C25" s="1358">
        <f ca="1">ROUND(IF('数据-取费表'!B22&lt;=1,C20*F22*'数据-取费表'!B23/2,C20*(POWER((1+F22),'数据-取费表'!B23/2)-1)),0)</f>
        <v>35</v>
      </c>
      <c r="D25" s="282"/>
      <c r="E25" s="285"/>
      <c r="F25" s="283"/>
      <c r="G25" s="286" t="s">
        <v>110</v>
      </c>
    </row>
    <row r="26" spans="1:7" s="258" customFormat="1">
      <c r="A26" s="954" t="s">
        <v>795</v>
      </c>
      <c r="B26" s="259" t="s">
        <v>1060</v>
      </c>
      <c r="C26" s="282">
        <f ca="1">ROUND(IF('数据-取费表'!B22&lt;=1,F21*F22*'数据-取费表'!B23/2,F21*(POWER((1+F22),'数据-取费表'!B23/2)-1)),4)</f>
        <v>1.6999999999999999E-3</v>
      </c>
      <c r="D26" s="282"/>
      <c r="E26" s="285"/>
      <c r="F26" s="283"/>
      <c r="G26" s="287"/>
    </row>
    <row r="27" spans="1:7" s="258" customFormat="1" ht="24.75">
      <c r="A27" s="951" t="s">
        <v>787</v>
      </c>
      <c r="B27" s="288" t="s">
        <v>112</v>
      </c>
      <c r="C27" s="289">
        <f>C28</f>
        <v>2133</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2133</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29429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433</v>
      </c>
      <c r="D34" s="261"/>
      <c r="E34" s="264"/>
      <c r="F34" s="301">
        <f>IF('数据-取费表'!B24=0,1,'数据-取费表'!N16)</f>
        <v>1</v>
      </c>
      <c r="G34" s="263" t="s">
        <v>116</v>
      </c>
    </row>
    <row r="35" spans="1:7" ht="13.5" customHeight="1">
      <c r="A35" s="954" t="s">
        <v>796</v>
      </c>
      <c r="B35" s="259" t="s">
        <v>60</v>
      </c>
      <c r="C35" s="264">
        <f>ROUND(C34*F35,0)</f>
        <v>13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21</v>
      </c>
      <c r="D36" s="264"/>
      <c r="E36" s="264"/>
      <c r="F36" s="303">
        <f>'数据-取费表'!B34</f>
        <v>0.05</v>
      </c>
      <c r="G36" s="304" t="s">
        <v>62</v>
      </c>
    </row>
    <row r="37" spans="1:7" s="302" customFormat="1" ht="13.5" customHeight="1">
      <c r="A37" s="954" t="s">
        <v>798</v>
      </c>
      <c r="B37" s="259" t="s">
        <v>118</v>
      </c>
      <c r="C37" s="293">
        <f>ROUND(E37*D37*F34/10000,0)</f>
        <v>105</v>
      </c>
      <c r="D37" s="261">
        <f>'数据-汇总表'!E3</f>
        <v>5274.8599999999988</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12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50</v>
      </c>
      <c r="D41" s="279">
        <f ca="1">C44</f>
        <v>1.6999999999999999E-3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49</v>
      </c>
      <c r="D42" s="282"/>
      <c r="E42" s="282"/>
      <c r="F42" s="283"/>
      <c r="G42" s="3208" t="s">
        <v>121</v>
      </c>
    </row>
    <row r="43" spans="1:7" ht="13.5" customHeight="1">
      <c r="A43" s="954" t="s">
        <v>792</v>
      </c>
      <c r="B43" s="259" t="s">
        <v>1064</v>
      </c>
      <c r="C43" s="282">
        <f ca="1">ROUND(IF('数据-取费表'!B22&lt;=1,C39*F22*'数据-取费表'!B21/2,C39*(POWER((1+F22),'数据-取费表'!B21/2)-1)),0)</f>
        <v>1</v>
      </c>
      <c r="D43" s="282"/>
      <c r="E43" s="282"/>
      <c r="F43" s="283"/>
      <c r="G43" s="3209"/>
    </row>
    <row r="44" spans="1:7" ht="13.5" customHeight="1">
      <c r="A44" s="954" t="s">
        <v>793</v>
      </c>
      <c r="B44" s="259" t="s">
        <v>1066</v>
      </c>
      <c r="C44" s="282">
        <f ca="1">ROUND(IF('数据-取费表'!B22&lt;=1,C40*F22*'数据-取费表'!B21/2,C40*(POWER((1+F22),'数据-取费表'!B21/2)-1)),4)</f>
        <v>1.6999999999999999E-3</v>
      </c>
      <c r="D44" s="282"/>
      <c r="E44" s="282"/>
      <c r="F44" s="283"/>
      <c r="G44" s="3210"/>
    </row>
    <row r="45" spans="1:7" s="258" customFormat="1" ht="13.5" customHeight="1">
      <c r="A45" s="951" t="s">
        <v>786</v>
      </c>
      <c r="B45" s="288" t="s">
        <v>112</v>
      </c>
      <c r="C45" s="289">
        <f>C46</f>
        <v>59</v>
      </c>
      <c r="D45" s="279">
        <f>C47</f>
        <v>2E-3</v>
      </c>
      <c r="E45" s="280" t="s">
        <v>129</v>
      </c>
      <c r="F45" s="290"/>
      <c r="G45" s="291" t="s">
        <v>1072</v>
      </c>
    </row>
    <row r="46" spans="1:7" s="258" customFormat="1" ht="13.5" customHeight="1">
      <c r="A46" s="954" t="s">
        <v>794</v>
      </c>
      <c r="B46" s="292" t="s">
        <v>1065</v>
      </c>
      <c r="C46" s="293">
        <f>ROUND((C33+C39)*F27,0)</f>
        <v>59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757</v>
      </c>
      <c r="D49" s="276"/>
      <c r="E49" s="276"/>
      <c r="F49" s="308"/>
      <c r="G49" s="278" t="s">
        <v>1073</v>
      </c>
    </row>
    <row r="50" spans="1:7" s="302" customFormat="1" ht="24">
      <c r="A50" s="951" t="s">
        <v>789</v>
      </c>
      <c r="B50" s="254" t="s">
        <v>124</v>
      </c>
      <c r="C50" s="276"/>
      <c r="D50" s="276"/>
      <c r="E50" s="276"/>
      <c r="F50" s="308">
        <f>IF('数据-取费表'!B24=0,'数据-取费表'!N16,1)</f>
        <v>0.96899999999999997</v>
      </c>
      <c r="G50" s="291" t="s">
        <v>125</v>
      </c>
    </row>
    <row r="51" spans="1:7" ht="16.5" customHeight="1">
      <c r="A51" s="951" t="s">
        <v>790</v>
      </c>
      <c r="B51" s="254" t="s">
        <v>132</v>
      </c>
      <c r="C51" s="276">
        <f ca="1">ROUND(C49*F50,0)</f>
        <v>734</v>
      </c>
      <c r="D51" s="276"/>
      <c r="E51" s="276"/>
      <c r="F51" s="308"/>
      <c r="G51" s="278" t="s">
        <v>64</v>
      </c>
    </row>
    <row r="52" spans="1:7" s="252" customFormat="1" ht="16.5" thickBot="1">
      <c r="A52" s="309" t="s">
        <v>65</v>
      </c>
      <c r="B52" s="310"/>
      <c r="C52" s="311">
        <f ca="1">C31+C51</f>
        <v>30163</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7" t="s">
        <v>156</v>
      </c>
      <c r="B1" s="3347"/>
      <c r="C1" s="3347"/>
      <c r="D1" s="3347"/>
      <c r="E1" s="3347"/>
      <c r="F1" s="334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8" t="s">
        <v>169</v>
      </c>
      <c r="B2" s="3348"/>
      <c r="C2" s="3348"/>
      <c r="D2" s="3348"/>
      <c r="E2" s="3348"/>
      <c r="F2" s="334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7" t="s">
        <v>871</v>
      </c>
      <c r="B1" s="334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3.5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6</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74"/>
  <sheetViews>
    <sheetView topLeftCell="A58" workbookViewId="0">
      <selection activeCell="A76" sqref="A76"/>
    </sheetView>
  </sheetViews>
  <sheetFormatPr defaultRowHeight="13.5"/>
  <sheetData>
    <row r="2" spans="1:15">
      <c r="A2" s="2951" t="s">
        <v>3106</v>
      </c>
      <c r="N2" s="2951" t="s">
        <v>3234</v>
      </c>
    </row>
    <row r="3" spans="1:15">
      <c r="N3">
        <v>2018.2</v>
      </c>
      <c r="O3">
        <v>2.2200000000000002</v>
      </c>
    </row>
    <row r="4" spans="1:15">
      <c r="N4">
        <v>2018.1</v>
      </c>
      <c r="O4">
        <v>2.15</v>
      </c>
    </row>
    <row r="5" spans="1:15">
      <c r="N5">
        <v>2017.4</v>
      </c>
      <c r="O5">
        <v>2.2000000000000002</v>
      </c>
    </row>
    <row r="6" spans="1:15">
      <c r="N6">
        <v>2017.3</v>
      </c>
      <c r="O6">
        <v>1.9</v>
      </c>
    </row>
    <row r="7" spans="1:15">
      <c r="N7">
        <v>2017.2</v>
      </c>
      <c r="O7">
        <v>2.02</v>
      </c>
    </row>
    <row r="8" spans="1:15">
      <c r="N8">
        <v>2017.1</v>
      </c>
      <c r="O8">
        <v>2.16</v>
      </c>
    </row>
    <row r="9" spans="1:15">
      <c r="N9">
        <v>2016.4</v>
      </c>
      <c r="O9">
        <v>2.4900000000000002</v>
      </c>
    </row>
    <row r="10" spans="1:15">
      <c r="N10">
        <v>2016.3</v>
      </c>
      <c r="O10">
        <v>4.62</v>
      </c>
    </row>
    <row r="11" spans="1:15">
      <c r="N11">
        <v>2016.2</v>
      </c>
      <c r="O11">
        <v>2.23</v>
      </c>
    </row>
    <row r="12" spans="1:15">
      <c r="N12">
        <v>2016.1</v>
      </c>
      <c r="O12">
        <v>2.15</v>
      </c>
    </row>
    <row r="13" spans="1:15">
      <c r="N13">
        <v>2015.4</v>
      </c>
      <c r="O13">
        <v>2.33</v>
      </c>
    </row>
    <row r="14" spans="1:15">
      <c r="N14">
        <v>2015.3</v>
      </c>
      <c r="O14">
        <v>2.2599999999999998</v>
      </c>
    </row>
    <row r="15" spans="1:15">
      <c r="N15">
        <v>2015.2</v>
      </c>
      <c r="O15">
        <v>1.9</v>
      </c>
    </row>
    <row r="16" spans="1:15">
      <c r="N16">
        <v>2015.1</v>
      </c>
      <c r="O16">
        <v>1.83</v>
      </c>
    </row>
    <row r="74" spans="1:1">
      <c r="A74" s="2951" t="s">
        <v>3395</v>
      </c>
    </row>
  </sheetData>
  <phoneticPr fontId="14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election activeCell="K161" sqref="K161"/>
    </sheetView>
  </sheetViews>
  <sheetFormatPr defaultRowHeight="13.5"/>
  <cols>
    <col min="1" max="1" width="38.25" customWidth="1"/>
    <col min="2" max="2" width="5.75" customWidth="1"/>
    <col min="3" max="3" width="7.375" customWidth="1"/>
    <col min="4" max="4" width="11.125" customWidth="1"/>
    <col min="7" max="7" width="3.875" customWidth="1"/>
    <col min="8" max="8" width="10.125" customWidth="1"/>
  </cols>
  <sheetData>
    <row r="1" spans="1:13" s="2955" customFormat="1" ht="12">
      <c r="A1" s="2955" t="s">
        <v>3107</v>
      </c>
      <c r="B1" s="2955" t="s">
        <v>3108</v>
      </c>
      <c r="C1" s="2955" t="s">
        <v>3109</v>
      </c>
      <c r="D1" s="2955" t="s">
        <v>3110</v>
      </c>
      <c r="E1" s="2955" t="s">
        <v>3111</v>
      </c>
      <c r="F1" s="2955" t="s">
        <v>3112</v>
      </c>
      <c r="G1" s="2955" t="s">
        <v>3113</v>
      </c>
      <c r="H1" s="2955" t="s">
        <v>3114</v>
      </c>
      <c r="I1" s="2955" t="s">
        <v>3115</v>
      </c>
      <c r="J1" s="2955" t="s">
        <v>3116</v>
      </c>
      <c r="K1" s="2955" t="s">
        <v>3117</v>
      </c>
      <c r="L1" s="2955" t="s">
        <v>3118</v>
      </c>
      <c r="M1" s="2955" t="s">
        <v>3119</v>
      </c>
    </row>
    <row r="2" spans="1:13" s="2955" customFormat="1" ht="12">
      <c r="A2" s="2955" t="s">
        <v>3120</v>
      </c>
      <c r="B2" s="2955" t="s">
        <v>3121</v>
      </c>
      <c r="C2" s="2955" t="s">
        <v>3122</v>
      </c>
      <c r="D2" s="2955">
        <v>20916.900000000001</v>
      </c>
      <c r="E2" s="2955">
        <v>83249.259999999995</v>
      </c>
      <c r="F2" s="2955" t="s">
        <v>3123</v>
      </c>
      <c r="G2" s="2955" t="s">
        <v>3124</v>
      </c>
      <c r="H2" s="2955" t="s">
        <v>3125</v>
      </c>
      <c r="I2" s="2955" t="s">
        <v>1331</v>
      </c>
      <c r="J2" s="2955">
        <v>15687.67</v>
      </c>
      <c r="K2" s="2955">
        <v>1884.42</v>
      </c>
      <c r="L2" s="2955" t="s">
        <v>1331</v>
      </c>
      <c r="M2" s="2955" t="s">
        <v>3126</v>
      </c>
    </row>
    <row r="3" spans="1:13" s="2955" customFormat="1" ht="12">
      <c r="A3" s="2955" t="s">
        <v>3127</v>
      </c>
      <c r="B3" s="2955" t="s">
        <v>3121</v>
      </c>
      <c r="C3" s="2955" t="s">
        <v>3122</v>
      </c>
      <c r="D3" s="2955">
        <v>78921.3</v>
      </c>
      <c r="E3" s="2955">
        <v>173626.9</v>
      </c>
      <c r="F3" s="2955" t="s">
        <v>3128</v>
      </c>
      <c r="G3" s="2955" t="s">
        <v>3129</v>
      </c>
      <c r="H3" s="2955" t="s">
        <v>3130</v>
      </c>
      <c r="I3" s="2955">
        <v>59190.97</v>
      </c>
      <c r="J3" s="2955">
        <v>63831.98</v>
      </c>
      <c r="K3" s="2955">
        <v>3676.38</v>
      </c>
      <c r="L3" s="2955">
        <v>7.84</v>
      </c>
      <c r="M3" s="2955" t="s">
        <v>3131</v>
      </c>
    </row>
    <row r="4" spans="1:13" s="2955" customFormat="1" ht="12">
      <c r="A4" s="2955" t="s">
        <v>3132</v>
      </c>
      <c r="B4" s="2955" t="s">
        <v>3121</v>
      </c>
      <c r="C4" s="2955" t="s">
        <v>3122</v>
      </c>
      <c r="D4" s="2955">
        <v>93690.1</v>
      </c>
      <c r="E4" s="2955">
        <v>140535.20000000001</v>
      </c>
      <c r="F4" s="2955" t="s">
        <v>3133</v>
      </c>
      <c r="G4" s="2955" t="s">
        <v>3129</v>
      </c>
      <c r="H4" s="2955" t="s">
        <v>3130</v>
      </c>
      <c r="I4" s="2955">
        <v>70267.570000000007</v>
      </c>
      <c r="J4" s="2955">
        <v>84508.58</v>
      </c>
      <c r="K4" s="2955">
        <v>6013.34</v>
      </c>
      <c r="L4" s="2955">
        <v>20.27</v>
      </c>
      <c r="M4" s="2955" t="s">
        <v>3134</v>
      </c>
    </row>
    <row r="5" spans="1:13" s="2955" customFormat="1" ht="12">
      <c r="A5" s="2955" t="s">
        <v>3135</v>
      </c>
      <c r="B5" s="2955" t="s">
        <v>3121</v>
      </c>
      <c r="C5" s="2955" t="s">
        <v>3122</v>
      </c>
      <c r="D5" s="2955">
        <v>35312.300000000003</v>
      </c>
      <c r="E5" s="2955">
        <v>98874.44</v>
      </c>
      <c r="F5" s="2955" t="s">
        <v>3136</v>
      </c>
      <c r="G5" s="2955" t="s">
        <v>3124</v>
      </c>
      <c r="H5" s="2955" t="s">
        <v>3137</v>
      </c>
      <c r="I5" s="2955" t="s">
        <v>1331</v>
      </c>
      <c r="J5" s="2955">
        <v>30362.09</v>
      </c>
      <c r="K5" s="2955">
        <v>3070.76</v>
      </c>
      <c r="L5" s="2955" t="s">
        <v>1331</v>
      </c>
      <c r="M5" s="2955" t="s">
        <v>3138</v>
      </c>
    </row>
    <row r="6" spans="1:13" s="2955" customFormat="1" ht="12">
      <c r="A6" s="2955" t="s">
        <v>3139</v>
      </c>
      <c r="B6" s="2955" t="s">
        <v>3121</v>
      </c>
      <c r="C6" s="2955" t="s">
        <v>3122</v>
      </c>
      <c r="D6" s="2955">
        <v>23786.5</v>
      </c>
      <c r="E6" s="2955">
        <v>66602.2</v>
      </c>
      <c r="F6" s="2955" t="s">
        <v>3136</v>
      </c>
      <c r="G6" s="2955" t="s">
        <v>3124</v>
      </c>
      <c r="H6" s="2955" t="s">
        <v>3137</v>
      </c>
      <c r="I6" s="2955" t="s">
        <v>1331</v>
      </c>
      <c r="J6" s="2955">
        <v>8573.06</v>
      </c>
      <c r="K6" s="2955">
        <v>1287.21</v>
      </c>
      <c r="L6" s="2955" t="s">
        <v>1331</v>
      </c>
      <c r="M6" s="2955" t="s">
        <v>3140</v>
      </c>
    </row>
    <row r="7" spans="1:13" s="2955" customFormat="1" ht="12">
      <c r="A7" s="2955" t="s">
        <v>3141</v>
      </c>
      <c r="B7" s="2955" t="s">
        <v>3121</v>
      </c>
      <c r="C7" s="2955" t="s">
        <v>3122</v>
      </c>
      <c r="D7" s="2955">
        <v>15881.7</v>
      </c>
      <c r="E7" s="2955">
        <v>39704.25</v>
      </c>
      <c r="F7" s="2955" t="s">
        <v>3142</v>
      </c>
      <c r="G7" s="2955" t="s">
        <v>3124</v>
      </c>
      <c r="H7" s="2955" t="s">
        <v>3137</v>
      </c>
      <c r="I7" s="2955" t="s">
        <v>1331</v>
      </c>
      <c r="J7" s="2955">
        <v>5245.03</v>
      </c>
      <c r="K7" s="2955">
        <v>1321.02</v>
      </c>
      <c r="L7" s="2955" t="s">
        <v>1331</v>
      </c>
      <c r="M7" s="2955" t="s">
        <v>3138</v>
      </c>
    </row>
    <row r="8" spans="1:13" s="2956" customFormat="1" ht="12">
      <c r="A8" s="2956" t="s">
        <v>3143</v>
      </c>
      <c r="B8" s="2956" t="s">
        <v>3121</v>
      </c>
      <c r="C8" s="2956" t="s">
        <v>3122</v>
      </c>
      <c r="D8" s="2956">
        <v>26311</v>
      </c>
      <c r="E8" s="2956">
        <v>65777.5</v>
      </c>
      <c r="F8" s="2956" t="s">
        <v>3142</v>
      </c>
      <c r="G8" s="2956" t="s">
        <v>3124</v>
      </c>
      <c r="H8" s="2956" t="s">
        <v>3144</v>
      </c>
      <c r="I8" s="2956" t="s">
        <v>1331</v>
      </c>
      <c r="J8" s="2956">
        <v>18717.830000000002</v>
      </c>
      <c r="K8" s="2956">
        <v>2845.63</v>
      </c>
      <c r="L8" s="2956" t="s">
        <v>1331</v>
      </c>
      <c r="M8" s="2956" t="s">
        <v>3145</v>
      </c>
    </row>
    <row r="9" spans="1:13" s="2956" customFormat="1" ht="12">
      <c r="A9" s="2956" t="s">
        <v>3146</v>
      </c>
      <c r="B9" s="2956" t="s">
        <v>3121</v>
      </c>
      <c r="C9" s="2956" t="s">
        <v>3122</v>
      </c>
      <c r="D9" s="2956">
        <v>22827.599999999999</v>
      </c>
      <c r="E9" s="2956">
        <v>68482.8</v>
      </c>
      <c r="F9" s="2956" t="s">
        <v>3147</v>
      </c>
      <c r="G9" s="2956" t="s">
        <v>3124</v>
      </c>
      <c r="H9" s="2956" t="s">
        <v>3144</v>
      </c>
      <c r="I9" s="2956" t="s">
        <v>1331</v>
      </c>
      <c r="J9" s="2956">
        <v>17174.79</v>
      </c>
      <c r="K9" s="2956">
        <v>2507.9</v>
      </c>
      <c r="L9" s="2956" t="s">
        <v>1331</v>
      </c>
      <c r="M9" s="2956" t="s">
        <v>3148</v>
      </c>
    </row>
    <row r="10" spans="1:13" s="2955" customFormat="1" ht="12">
      <c r="A10" s="2955" t="s">
        <v>3149</v>
      </c>
      <c r="B10" s="2955" t="s">
        <v>3121</v>
      </c>
      <c r="C10" s="2955" t="s">
        <v>3122</v>
      </c>
      <c r="D10" s="2955">
        <v>27051.599999999999</v>
      </c>
      <c r="E10" s="2955">
        <v>67629</v>
      </c>
      <c r="F10" s="2955" t="s">
        <v>3142</v>
      </c>
      <c r="G10" s="2955" t="s">
        <v>3124</v>
      </c>
      <c r="H10" s="2955" t="s">
        <v>3150</v>
      </c>
      <c r="I10" s="2955" t="s">
        <v>1331</v>
      </c>
      <c r="J10" s="2955">
        <v>23959.24</v>
      </c>
      <c r="K10" s="2955">
        <v>3542.75</v>
      </c>
      <c r="L10" s="2955" t="s">
        <v>1331</v>
      </c>
      <c r="M10" s="2955" t="s">
        <v>3151</v>
      </c>
    </row>
    <row r="11" spans="1:13" s="2955" customFormat="1" ht="12">
      <c r="A11" s="2955" t="s">
        <v>3152</v>
      </c>
      <c r="B11" s="2955" t="s">
        <v>3121</v>
      </c>
      <c r="C11" s="2955" t="s">
        <v>3122</v>
      </c>
      <c r="D11" s="2955">
        <v>68336.800000000003</v>
      </c>
      <c r="E11" s="2955">
        <v>157174.6</v>
      </c>
      <c r="F11" s="2955" t="s">
        <v>3153</v>
      </c>
      <c r="G11" s="2955" t="s">
        <v>3124</v>
      </c>
      <c r="H11" s="2955" t="s">
        <v>3150</v>
      </c>
      <c r="I11" s="2955" t="s">
        <v>1331</v>
      </c>
      <c r="J11" s="2955">
        <v>56323.26</v>
      </c>
      <c r="K11" s="2955">
        <v>3583.48</v>
      </c>
      <c r="L11" s="2955" t="s">
        <v>1331</v>
      </c>
      <c r="M11" s="2955" t="s">
        <v>3154</v>
      </c>
    </row>
    <row r="12" spans="1:13" s="2956" customFormat="1" ht="12">
      <c r="A12" s="2956" t="s">
        <v>3155</v>
      </c>
      <c r="B12" s="2956" t="s">
        <v>3121</v>
      </c>
      <c r="C12" s="2956" t="s">
        <v>3122</v>
      </c>
      <c r="D12" s="2956">
        <v>31638.6</v>
      </c>
      <c r="E12" s="2956">
        <v>94915.8</v>
      </c>
      <c r="F12" s="2956" t="s">
        <v>3147</v>
      </c>
      <c r="G12" s="2956" t="s">
        <v>3124</v>
      </c>
      <c r="H12" s="2956" t="s">
        <v>3150</v>
      </c>
      <c r="I12" s="2956" t="s">
        <v>1331</v>
      </c>
      <c r="J12" s="2956">
        <v>25979.72</v>
      </c>
      <c r="K12" s="2956">
        <v>2737.13</v>
      </c>
      <c r="L12" s="2956" t="s">
        <v>1331</v>
      </c>
      <c r="M12" s="2956" t="s">
        <v>3156</v>
      </c>
    </row>
    <row r="13" spans="1:13" s="2955" customFormat="1" ht="12">
      <c r="A13" s="2955" t="s">
        <v>3157</v>
      </c>
      <c r="B13" s="2955" t="s">
        <v>3121</v>
      </c>
      <c r="C13" s="2955" t="s">
        <v>3122</v>
      </c>
      <c r="D13" s="2955">
        <v>14442.4</v>
      </c>
      <c r="E13" s="2955">
        <v>21374.75</v>
      </c>
      <c r="F13" s="2955" t="s">
        <v>3158</v>
      </c>
      <c r="G13" s="2955" t="s">
        <v>3124</v>
      </c>
      <c r="H13" s="2955" t="s">
        <v>3159</v>
      </c>
      <c r="I13" s="2955" t="s">
        <v>1331</v>
      </c>
      <c r="J13" s="2955">
        <v>9803.1200000000008</v>
      </c>
      <c r="K13" s="2955">
        <v>4586.3100000000004</v>
      </c>
      <c r="L13" s="2955" t="s">
        <v>1331</v>
      </c>
      <c r="M13" s="2955" t="s">
        <v>3160</v>
      </c>
    </row>
    <row r="14" spans="1:13" s="2955" customFormat="1" ht="12">
      <c r="A14" s="2955" t="s">
        <v>3161</v>
      </c>
      <c r="B14" s="2955" t="s">
        <v>3121</v>
      </c>
      <c r="C14" s="2955" t="s">
        <v>3122</v>
      </c>
      <c r="D14" s="2955">
        <v>44101.2</v>
      </c>
      <c r="E14" s="2955">
        <v>114663.1</v>
      </c>
      <c r="F14" s="2955" t="s">
        <v>3162</v>
      </c>
      <c r="G14" s="2955" t="s">
        <v>3124</v>
      </c>
      <c r="H14" s="2955" t="s">
        <v>3159</v>
      </c>
      <c r="I14" s="2955" t="s">
        <v>1331</v>
      </c>
      <c r="J14" s="2955">
        <v>32768.910000000003</v>
      </c>
      <c r="K14" s="2955">
        <v>2857.84</v>
      </c>
      <c r="L14" s="2955" t="s">
        <v>1331</v>
      </c>
      <c r="M14" s="2955" t="s">
        <v>3156</v>
      </c>
    </row>
    <row r="15" spans="1:13" s="2955" customFormat="1" ht="12">
      <c r="A15" s="2955" t="s">
        <v>3163</v>
      </c>
      <c r="B15" s="2955" t="s">
        <v>3121</v>
      </c>
      <c r="C15" s="2955" t="s">
        <v>3122</v>
      </c>
      <c r="D15" s="2955">
        <v>43937.1</v>
      </c>
      <c r="E15" s="2955">
        <v>123023.9</v>
      </c>
      <c r="F15" s="2955" t="s">
        <v>3136</v>
      </c>
      <c r="G15" s="2955" t="s">
        <v>3124</v>
      </c>
      <c r="H15" s="2955" t="s">
        <v>3164</v>
      </c>
      <c r="I15" s="2955">
        <v>6590.56</v>
      </c>
      <c r="J15" s="2955">
        <v>6590.56</v>
      </c>
      <c r="K15" s="2955">
        <v>535.71</v>
      </c>
      <c r="L15" s="2955">
        <v>0</v>
      </c>
      <c r="M15" s="2955" t="s">
        <v>3165</v>
      </c>
    </row>
    <row r="16" spans="1:13" s="2955" customFormat="1" ht="12">
      <c r="A16" s="2955" t="s">
        <v>3166</v>
      </c>
      <c r="B16" s="2955" t="s">
        <v>3121</v>
      </c>
      <c r="C16" s="2955" t="s">
        <v>3122</v>
      </c>
      <c r="D16" s="2955">
        <v>49838.2</v>
      </c>
      <c r="E16" s="2955">
        <v>139546.96</v>
      </c>
      <c r="F16" s="2955" t="s">
        <v>3136</v>
      </c>
      <c r="G16" s="2955" t="s">
        <v>3124</v>
      </c>
      <c r="H16" s="2955" t="s">
        <v>3164</v>
      </c>
      <c r="I16" s="2955">
        <v>7475.72</v>
      </c>
      <c r="J16" s="2955">
        <v>7475.72</v>
      </c>
      <c r="K16" s="2955">
        <v>535.71</v>
      </c>
      <c r="L16" s="2955">
        <v>0</v>
      </c>
      <c r="M16" s="2955" t="s">
        <v>3165</v>
      </c>
    </row>
    <row r="17" spans="1:13" s="2955" customFormat="1" ht="12">
      <c r="A17" s="2955" t="s">
        <v>3167</v>
      </c>
      <c r="B17" s="2955" t="s">
        <v>3121</v>
      </c>
      <c r="C17" s="2955" t="s">
        <v>3122</v>
      </c>
      <c r="D17" s="2955">
        <v>74333.7</v>
      </c>
      <c r="E17" s="2955">
        <v>185834.3</v>
      </c>
      <c r="F17" s="2955" t="s">
        <v>3142</v>
      </c>
      <c r="G17" s="2955" t="s">
        <v>3129</v>
      </c>
      <c r="H17" s="2955" t="s">
        <v>3168</v>
      </c>
      <c r="I17" s="2955">
        <v>27540.63</v>
      </c>
      <c r="J17" s="2955">
        <v>74700.63</v>
      </c>
      <c r="K17" s="2955">
        <v>4019.73</v>
      </c>
      <c r="L17" s="2955">
        <v>171.24</v>
      </c>
      <c r="M17" s="2955" t="s">
        <v>3151</v>
      </c>
    </row>
    <row r="18" spans="1:13" s="2955" customFormat="1" ht="12">
      <c r="A18" s="2955" t="s">
        <v>3169</v>
      </c>
      <c r="B18" s="2955" t="s">
        <v>3121</v>
      </c>
      <c r="C18" s="2955" t="s">
        <v>3122</v>
      </c>
      <c r="D18" s="2955">
        <v>34093.9</v>
      </c>
      <c r="E18" s="2955">
        <v>98872.31</v>
      </c>
      <c r="F18" s="2955" t="s">
        <v>3170</v>
      </c>
      <c r="G18" s="2955" t="s">
        <v>3129</v>
      </c>
      <c r="H18" s="2955" t="s">
        <v>3171</v>
      </c>
      <c r="I18" s="2955">
        <v>5881.19</v>
      </c>
      <c r="J18" s="2955">
        <v>5881.19</v>
      </c>
      <c r="K18" s="2955">
        <v>594.83000000000004</v>
      </c>
      <c r="L18" s="2955">
        <v>0</v>
      </c>
      <c r="M18" s="2955" t="s">
        <v>3172</v>
      </c>
    </row>
    <row r="19" spans="1:13" s="2955" customFormat="1" ht="12">
      <c r="A19" s="2955" t="s">
        <v>3173</v>
      </c>
      <c r="B19" s="2955" t="s">
        <v>3121</v>
      </c>
      <c r="C19" s="2955" t="s">
        <v>3122</v>
      </c>
      <c r="D19" s="2955">
        <v>27959.3</v>
      </c>
      <c r="E19" s="2955">
        <v>83877.899999999994</v>
      </c>
      <c r="F19" s="2955" t="s">
        <v>3147</v>
      </c>
      <c r="G19" s="2955" t="s">
        <v>3129</v>
      </c>
      <c r="H19" s="2955" t="s">
        <v>3171</v>
      </c>
      <c r="I19" s="2955">
        <v>4864.92</v>
      </c>
      <c r="J19" s="2955">
        <v>4864.92</v>
      </c>
      <c r="K19" s="2955">
        <v>580</v>
      </c>
      <c r="L19" s="2955">
        <v>0</v>
      </c>
      <c r="M19" s="2955" t="s">
        <v>3174</v>
      </c>
    </row>
    <row r="20" spans="1:13" s="2955" customFormat="1" ht="12">
      <c r="A20" s="2955" t="s">
        <v>3175</v>
      </c>
      <c r="B20" s="2955" t="s">
        <v>3121</v>
      </c>
      <c r="C20" s="2955" t="s">
        <v>3122</v>
      </c>
      <c r="D20" s="2955">
        <v>98618.1</v>
      </c>
      <c r="E20" s="2955">
        <v>295854.3</v>
      </c>
      <c r="F20" s="2955" t="s">
        <v>3147</v>
      </c>
      <c r="G20" s="2955" t="s">
        <v>3129</v>
      </c>
      <c r="H20" s="2955" t="s">
        <v>3171</v>
      </c>
      <c r="I20" s="2955">
        <v>17307.47</v>
      </c>
      <c r="J20" s="2955">
        <v>17307.47</v>
      </c>
      <c r="K20" s="2955">
        <v>585</v>
      </c>
      <c r="L20" s="2955">
        <v>0</v>
      </c>
      <c r="M20" s="2955" t="s">
        <v>3174</v>
      </c>
    </row>
    <row r="21" spans="1:13" s="2955" customFormat="1" ht="12">
      <c r="A21" s="2955" t="s">
        <v>3176</v>
      </c>
      <c r="B21" s="2955" t="s">
        <v>3121</v>
      </c>
      <c r="C21" s="2955" t="s">
        <v>3122</v>
      </c>
      <c r="D21" s="2955">
        <v>53564.5</v>
      </c>
      <c r="E21" s="2955">
        <v>133911.29999999999</v>
      </c>
      <c r="F21" s="2955" t="s">
        <v>3142</v>
      </c>
      <c r="G21" s="2955" t="s">
        <v>3129</v>
      </c>
      <c r="H21" s="2955" t="s">
        <v>3177</v>
      </c>
      <c r="I21" s="2955" t="s">
        <v>1331</v>
      </c>
      <c r="J21" s="2955">
        <v>8918.48</v>
      </c>
      <c r="K21" s="2955">
        <v>666</v>
      </c>
      <c r="L21" s="2955" t="s">
        <v>1331</v>
      </c>
      <c r="M21" s="2955" t="s">
        <v>3178</v>
      </c>
    </row>
    <row r="22" spans="1:13" s="2955" customFormat="1" ht="12">
      <c r="A22" s="2955" t="s">
        <v>3179</v>
      </c>
      <c r="B22" s="2955" t="s">
        <v>3121</v>
      </c>
      <c r="C22" s="2955" t="s">
        <v>3122</v>
      </c>
      <c r="D22" s="2955">
        <v>71165.899999999994</v>
      </c>
      <c r="E22" s="2955">
        <v>213497.7</v>
      </c>
      <c r="F22" s="2955" t="s">
        <v>3147</v>
      </c>
      <c r="G22" s="2955" t="s">
        <v>3129</v>
      </c>
      <c r="H22" s="2955" t="s">
        <v>3177</v>
      </c>
      <c r="I22" s="2955" t="s">
        <v>1331</v>
      </c>
      <c r="J22" s="2955">
        <v>12276.12</v>
      </c>
      <c r="K22" s="2955">
        <v>575</v>
      </c>
      <c r="L22" s="2955" t="s">
        <v>1331</v>
      </c>
      <c r="M22" s="2955" t="s">
        <v>3180</v>
      </c>
    </row>
    <row r="23" spans="1:13" s="2955" customFormat="1" ht="12">
      <c r="A23" s="2955" t="s">
        <v>3181</v>
      </c>
      <c r="B23" s="2955" t="s">
        <v>3121</v>
      </c>
      <c r="C23" s="2955" t="s">
        <v>3122</v>
      </c>
      <c r="D23" s="2955">
        <v>69240.3</v>
      </c>
      <c r="E23" s="2955">
        <v>200796.9</v>
      </c>
      <c r="F23" s="2955" t="s">
        <v>3170</v>
      </c>
      <c r="G23" s="2955" t="s">
        <v>3129</v>
      </c>
      <c r="H23" s="2955" t="s">
        <v>3177</v>
      </c>
      <c r="I23" s="2955" t="s">
        <v>1331</v>
      </c>
      <c r="J23" s="2955">
        <v>11736.22</v>
      </c>
      <c r="K23" s="2955">
        <v>584.48</v>
      </c>
      <c r="L23" s="2955" t="s">
        <v>1331</v>
      </c>
      <c r="M23" s="2955" t="s">
        <v>3180</v>
      </c>
    </row>
    <row r="24" spans="1:13" s="2955" customFormat="1" ht="12">
      <c r="A24" s="2955" t="s">
        <v>3182</v>
      </c>
      <c r="B24" s="2955" t="s">
        <v>3121</v>
      </c>
      <c r="C24" s="2955" t="s">
        <v>3122</v>
      </c>
      <c r="D24" s="2955">
        <v>54818.8</v>
      </c>
      <c r="E24" s="2955">
        <v>82228.2</v>
      </c>
      <c r="F24" s="2955" t="s">
        <v>3183</v>
      </c>
      <c r="G24" s="2955" t="s">
        <v>3129</v>
      </c>
      <c r="H24" s="2955" t="s">
        <v>3177</v>
      </c>
      <c r="I24" s="2955" t="s">
        <v>1331</v>
      </c>
      <c r="J24" s="2955">
        <v>9127.32</v>
      </c>
      <c r="K24" s="2955">
        <v>1110</v>
      </c>
      <c r="L24" s="2955" t="s">
        <v>1331</v>
      </c>
      <c r="M24" s="2955" t="s">
        <v>3178</v>
      </c>
    </row>
    <row r="25" spans="1:13" s="2955" customFormat="1" ht="12">
      <c r="A25" s="2955" t="s">
        <v>3184</v>
      </c>
      <c r="B25" s="2955" t="s">
        <v>3121</v>
      </c>
      <c r="C25" s="2955" t="s">
        <v>3122</v>
      </c>
      <c r="D25" s="2955">
        <v>95247.95</v>
      </c>
      <c r="E25" s="2955">
        <v>190495.9</v>
      </c>
      <c r="F25" s="2955" t="s">
        <v>3185</v>
      </c>
      <c r="G25" s="2955" t="s">
        <v>3124</v>
      </c>
      <c r="H25" s="2955" t="s">
        <v>3186</v>
      </c>
      <c r="I25" s="2955" t="s">
        <v>1331</v>
      </c>
      <c r="J25" s="2955">
        <v>84490.33</v>
      </c>
      <c r="K25" s="2955">
        <v>4435.2700000000004</v>
      </c>
      <c r="L25" s="2955" t="s">
        <v>1331</v>
      </c>
      <c r="M25" s="2955" t="s">
        <v>3187</v>
      </c>
    </row>
    <row r="26" spans="1:13" s="2955" customFormat="1" ht="12">
      <c r="A26" s="2955" t="s">
        <v>3188</v>
      </c>
      <c r="B26" s="2955" t="s">
        <v>3121</v>
      </c>
      <c r="C26" s="2955" t="s">
        <v>3122</v>
      </c>
      <c r="D26" s="2955">
        <v>63532.75</v>
      </c>
      <c r="E26" s="2955">
        <v>177891.7</v>
      </c>
      <c r="F26" s="2955" t="s">
        <v>3136</v>
      </c>
      <c r="G26" s="2955" t="s">
        <v>3129</v>
      </c>
      <c r="H26" s="2955" t="s">
        <v>3189</v>
      </c>
      <c r="I26" s="2955" t="s">
        <v>1331</v>
      </c>
      <c r="J26" s="2955">
        <v>46748.480000000003</v>
      </c>
      <c r="K26" s="2955">
        <v>2627.92</v>
      </c>
      <c r="L26" s="2955" t="s">
        <v>1331</v>
      </c>
      <c r="M26" s="2955" t="s">
        <v>3190</v>
      </c>
    </row>
    <row r="27" spans="1:13" s="2955" customFormat="1" ht="12">
      <c r="A27" s="2955" t="s">
        <v>3191</v>
      </c>
      <c r="B27" s="2955" t="s">
        <v>3121</v>
      </c>
      <c r="C27" s="2955" t="s">
        <v>3122</v>
      </c>
      <c r="D27" s="2955">
        <v>62497.9</v>
      </c>
      <c r="E27" s="2955">
        <v>143745.20000000001</v>
      </c>
      <c r="F27" s="2955" t="s">
        <v>3153</v>
      </c>
      <c r="G27" s="2955" t="s">
        <v>3129</v>
      </c>
      <c r="H27" s="2955" t="s">
        <v>3192</v>
      </c>
      <c r="I27" s="2955" t="s">
        <v>1331</v>
      </c>
      <c r="J27" s="2955">
        <v>12655.82</v>
      </c>
      <c r="K27" s="2955">
        <v>880.42</v>
      </c>
      <c r="L27" s="2955" t="s">
        <v>1331</v>
      </c>
      <c r="M27" s="2955" t="s">
        <v>3193</v>
      </c>
    </row>
    <row r="28" spans="1:13" s="2955" customFormat="1" ht="12">
      <c r="A28" s="2955" t="s">
        <v>3194</v>
      </c>
      <c r="B28" s="2955" t="s">
        <v>3121</v>
      </c>
      <c r="C28" s="2955" t="s">
        <v>3122</v>
      </c>
      <c r="D28" s="2955">
        <v>14542.9</v>
      </c>
      <c r="E28" s="2955">
        <v>21814.35</v>
      </c>
      <c r="F28" s="2955" t="s">
        <v>3183</v>
      </c>
      <c r="G28" s="2955" t="s">
        <v>3129</v>
      </c>
      <c r="H28" s="2955" t="s">
        <v>3192</v>
      </c>
      <c r="I28" s="2955" t="s">
        <v>1331</v>
      </c>
      <c r="J28" s="2955">
        <v>9292.9</v>
      </c>
      <c r="K28" s="2955">
        <v>4260</v>
      </c>
      <c r="L28" s="2955" t="s">
        <v>1331</v>
      </c>
      <c r="M28" s="2955" t="s">
        <v>3195</v>
      </c>
    </row>
    <row r="29" spans="1:13" s="2955" customFormat="1" ht="12">
      <c r="A29" s="2955" t="s">
        <v>3196</v>
      </c>
      <c r="B29" s="2955" t="s">
        <v>3121</v>
      </c>
      <c r="C29" s="2955" t="s">
        <v>3122</v>
      </c>
      <c r="D29" s="2955">
        <v>75917.3</v>
      </c>
      <c r="E29" s="2955">
        <v>129059.4</v>
      </c>
      <c r="F29" s="2955" t="s">
        <v>3197</v>
      </c>
      <c r="G29" s="2955" t="s">
        <v>3129</v>
      </c>
      <c r="H29" s="2955" t="s">
        <v>3192</v>
      </c>
      <c r="I29" s="2955" t="s">
        <v>1331</v>
      </c>
      <c r="J29" s="2955">
        <v>21180.93</v>
      </c>
      <c r="K29" s="2955">
        <v>1641.18</v>
      </c>
      <c r="L29" s="2955" t="s">
        <v>1331</v>
      </c>
      <c r="M29" s="2955" t="s">
        <v>3198</v>
      </c>
    </row>
    <row r="30" spans="1:13" s="2955" customFormat="1" ht="12">
      <c r="A30" s="2955" t="s">
        <v>3199</v>
      </c>
      <c r="B30" s="2955" t="s">
        <v>3121</v>
      </c>
      <c r="C30" s="2955" t="s">
        <v>3122</v>
      </c>
      <c r="D30" s="2955">
        <v>39691.5</v>
      </c>
      <c r="E30" s="2955">
        <v>99228.75</v>
      </c>
      <c r="F30" s="2955" t="s">
        <v>3142</v>
      </c>
      <c r="G30" s="2955" t="s">
        <v>3129</v>
      </c>
      <c r="H30" s="2955" t="s">
        <v>3192</v>
      </c>
      <c r="I30" s="2955" t="s">
        <v>1331</v>
      </c>
      <c r="J30" s="2955">
        <v>8632.89</v>
      </c>
      <c r="K30" s="2955">
        <v>870</v>
      </c>
      <c r="L30" s="2955" t="s">
        <v>1331</v>
      </c>
      <c r="M30" s="2955" t="s">
        <v>3200</v>
      </c>
    </row>
    <row r="31" spans="1:13" s="2955" customFormat="1" ht="12">
      <c r="A31" s="2955" t="s">
        <v>3201</v>
      </c>
      <c r="B31" s="2955" t="s">
        <v>3121</v>
      </c>
      <c r="C31" s="2955" t="s">
        <v>3122</v>
      </c>
      <c r="D31" s="2955">
        <v>38073.5</v>
      </c>
      <c r="E31" s="2955">
        <v>114220.5</v>
      </c>
      <c r="F31" s="2955" t="s">
        <v>3147</v>
      </c>
      <c r="G31" s="2955" t="s">
        <v>3124</v>
      </c>
      <c r="H31" s="2955" t="s">
        <v>3202</v>
      </c>
      <c r="I31" s="2955" t="s">
        <v>1331</v>
      </c>
      <c r="J31" s="2955">
        <v>10336.950000000001</v>
      </c>
      <c r="K31" s="2955">
        <v>905</v>
      </c>
      <c r="L31" s="2955" t="s">
        <v>1331</v>
      </c>
      <c r="M31" s="2955" t="s">
        <v>3156</v>
      </c>
    </row>
    <row r="32" spans="1:13" s="2955" customFormat="1" ht="12">
      <c r="A32" s="2955" t="s">
        <v>3203</v>
      </c>
      <c r="B32" s="2955" t="s">
        <v>3121</v>
      </c>
      <c r="C32" s="2955" t="s">
        <v>3122</v>
      </c>
      <c r="D32" s="2955">
        <v>70667.3</v>
      </c>
      <c r="E32" s="2955">
        <v>106001</v>
      </c>
      <c r="F32" s="2955" t="s">
        <v>3183</v>
      </c>
      <c r="G32" s="2955" t="s">
        <v>3124</v>
      </c>
      <c r="H32" s="2955" t="s">
        <v>3202</v>
      </c>
      <c r="I32" s="2955" t="s">
        <v>1331</v>
      </c>
      <c r="J32" s="2955">
        <v>19716.18</v>
      </c>
      <c r="K32" s="2955">
        <v>1860</v>
      </c>
      <c r="L32" s="2955" t="s">
        <v>1331</v>
      </c>
      <c r="M32" s="2955" t="s">
        <v>3204</v>
      </c>
    </row>
    <row r="33" spans="1:13" s="2955" customFormat="1" ht="12">
      <c r="A33" s="2955" t="s">
        <v>3205</v>
      </c>
      <c r="B33" s="2955" t="s">
        <v>3121</v>
      </c>
      <c r="C33" s="2955" t="s">
        <v>3122</v>
      </c>
      <c r="D33" s="2955">
        <v>9596.2000000000007</v>
      </c>
      <c r="E33" s="2955">
        <v>36273.64</v>
      </c>
      <c r="F33" s="2955" t="s">
        <v>3206</v>
      </c>
      <c r="G33" s="2955" t="s">
        <v>3124</v>
      </c>
      <c r="H33" s="2955" t="s">
        <v>3202</v>
      </c>
      <c r="I33" s="2955" t="s">
        <v>1331</v>
      </c>
      <c r="J33" s="2955">
        <v>4960.97</v>
      </c>
      <c r="K33" s="2955">
        <v>1367.65</v>
      </c>
      <c r="L33" s="2955" t="s">
        <v>1331</v>
      </c>
      <c r="M33" s="2955" t="s">
        <v>3207</v>
      </c>
    </row>
    <row r="34" spans="1:13" s="2955" customFormat="1" ht="12">
      <c r="A34" s="2955" t="s">
        <v>3208</v>
      </c>
      <c r="B34" s="2955" t="s">
        <v>3121</v>
      </c>
      <c r="C34" s="2955" t="s">
        <v>3122</v>
      </c>
      <c r="D34" s="2955">
        <v>37550.400000000001</v>
      </c>
      <c r="E34" s="2955">
        <v>67590.720000000001</v>
      </c>
      <c r="F34" s="2955" t="s">
        <v>3209</v>
      </c>
      <c r="G34" s="2955" t="s">
        <v>3129</v>
      </c>
      <c r="H34" s="2955" t="s">
        <v>3210</v>
      </c>
      <c r="I34" s="2955" t="s">
        <v>1331</v>
      </c>
      <c r="J34" s="2955">
        <v>6928.05</v>
      </c>
      <c r="K34" s="2955">
        <v>1025</v>
      </c>
      <c r="L34" s="2955" t="s">
        <v>1331</v>
      </c>
      <c r="M34" s="2955" t="s">
        <v>3211</v>
      </c>
    </row>
    <row r="35" spans="1:13" s="2955" customFormat="1" ht="12">
      <c r="A35" s="2955" t="s">
        <v>3212</v>
      </c>
      <c r="B35" s="2955" t="s">
        <v>3121</v>
      </c>
      <c r="C35" s="2955" t="s">
        <v>3122</v>
      </c>
      <c r="D35" s="2955">
        <v>2065.1</v>
      </c>
      <c r="E35" s="2955">
        <v>3717.18</v>
      </c>
      <c r="F35" s="2955" t="s">
        <v>3209</v>
      </c>
      <c r="G35" s="2955" t="s">
        <v>3129</v>
      </c>
      <c r="H35" s="2955" t="s">
        <v>3213</v>
      </c>
      <c r="I35" s="2955" t="s">
        <v>1331</v>
      </c>
      <c r="J35" s="2955">
        <v>369</v>
      </c>
      <c r="K35" s="2955">
        <v>992.69</v>
      </c>
      <c r="L35" s="2955" t="s">
        <v>1331</v>
      </c>
      <c r="M35" s="2955" t="s">
        <v>3214</v>
      </c>
    </row>
    <row r="36" spans="1:13" s="2955" customFormat="1" ht="12">
      <c r="A36" s="2955" t="s">
        <v>3215</v>
      </c>
      <c r="B36" s="2955" t="s">
        <v>3121</v>
      </c>
      <c r="C36" s="2955" t="s">
        <v>3122</v>
      </c>
      <c r="D36" s="2955">
        <v>34941</v>
      </c>
      <c r="E36" s="2955">
        <v>62893.8</v>
      </c>
      <c r="F36" s="2955" t="s">
        <v>3209</v>
      </c>
      <c r="G36" s="2955" t="s">
        <v>3124</v>
      </c>
      <c r="H36" s="2955" t="s">
        <v>3216</v>
      </c>
      <c r="I36" s="2955" t="s">
        <v>1331</v>
      </c>
      <c r="J36" s="2955">
        <v>8909.9500000000007</v>
      </c>
      <c r="K36" s="2955">
        <v>1416.67</v>
      </c>
      <c r="L36" s="2955" t="s">
        <v>1331</v>
      </c>
      <c r="M36" s="2955" t="s">
        <v>3217</v>
      </c>
    </row>
    <row r="37" spans="1:13" s="2955" customFormat="1" ht="12">
      <c r="A37" s="2955" t="s">
        <v>3218</v>
      </c>
      <c r="B37" s="2955" t="s">
        <v>3121</v>
      </c>
      <c r="C37" s="2955" t="s">
        <v>3122</v>
      </c>
      <c r="D37" s="2955">
        <v>19260.3</v>
      </c>
      <c r="E37" s="2955">
        <v>81663.67</v>
      </c>
      <c r="F37" s="2955" t="s">
        <v>3219</v>
      </c>
      <c r="G37" s="2955" t="s">
        <v>3124</v>
      </c>
      <c r="H37" s="2955" t="s">
        <v>3220</v>
      </c>
      <c r="I37" s="2955" t="s">
        <v>1331</v>
      </c>
      <c r="J37" s="2955">
        <v>6038.1</v>
      </c>
      <c r="K37" s="2955">
        <v>739.38</v>
      </c>
      <c r="L37" s="2955" t="s">
        <v>1331</v>
      </c>
      <c r="M37" s="2955" t="s">
        <v>3221</v>
      </c>
    </row>
    <row r="38" spans="1:13" s="2955" customFormat="1" ht="12">
      <c r="A38" s="2955" t="s">
        <v>3222</v>
      </c>
      <c r="B38" s="2955" t="s">
        <v>3121</v>
      </c>
      <c r="C38" s="2955" t="s">
        <v>3122</v>
      </c>
      <c r="D38" s="2955">
        <v>88176.1</v>
      </c>
      <c r="E38" s="2955">
        <v>220440.3</v>
      </c>
      <c r="F38" s="2955" t="s">
        <v>3223</v>
      </c>
      <c r="G38" s="2955" t="s">
        <v>3124</v>
      </c>
      <c r="H38" s="2955" t="s">
        <v>3224</v>
      </c>
      <c r="I38" s="2955" t="s">
        <v>1331</v>
      </c>
      <c r="J38" s="2955">
        <v>19046.04</v>
      </c>
      <c r="K38" s="2955">
        <v>864</v>
      </c>
      <c r="L38" s="2955" t="s">
        <v>1331</v>
      </c>
      <c r="M38" s="2955" t="s">
        <v>3154</v>
      </c>
    </row>
    <row r="39" spans="1:13" s="2955" customFormat="1" ht="12">
      <c r="A39" s="2955" t="s">
        <v>3225</v>
      </c>
      <c r="B39" s="2955" t="s">
        <v>3121</v>
      </c>
      <c r="C39" s="2955" t="s">
        <v>3122</v>
      </c>
      <c r="D39" s="2955">
        <v>87681.7</v>
      </c>
      <c r="E39" s="2955">
        <v>254276.9</v>
      </c>
      <c r="F39" s="2955" t="s">
        <v>3226</v>
      </c>
      <c r="G39" s="2955" t="s">
        <v>3124</v>
      </c>
      <c r="H39" s="2955" t="s">
        <v>3224</v>
      </c>
      <c r="I39" s="2955" t="s">
        <v>1331</v>
      </c>
      <c r="J39" s="2955">
        <v>17755.54</v>
      </c>
      <c r="K39" s="2955">
        <v>698.27</v>
      </c>
      <c r="L39" s="2955" t="s">
        <v>1331</v>
      </c>
      <c r="M39" s="2955" t="s">
        <v>3227</v>
      </c>
    </row>
  </sheetData>
  <phoneticPr fontId="1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topLeftCell="J10" workbookViewId="0">
      <selection activeCell="Z35" sqref="Z35"/>
    </sheetView>
  </sheetViews>
  <sheetFormatPr defaultRowHeight="13.5"/>
  <cols>
    <col min="1" max="1" width="9" style="2962"/>
    <col min="2" max="2" width="21.375" style="2962" customWidth="1"/>
    <col min="3" max="3" width="12" style="2962" customWidth="1"/>
    <col min="4" max="4" width="12.5" style="2962" customWidth="1"/>
    <col min="5" max="7" width="9" style="2962"/>
    <col min="9" max="9" width="9" style="2962"/>
    <col min="10" max="10" width="9" style="2975"/>
    <col min="12" max="12" width="9" style="2964"/>
    <col min="17" max="22" width="9" style="2975"/>
    <col min="23" max="23" width="21.875" style="2975" customWidth="1"/>
    <col min="24" max="24" width="0" style="2975" hidden="1" customWidth="1"/>
    <col min="25" max="25" width="9" style="2964"/>
    <col min="26" max="26" width="10" style="2975" customWidth="1"/>
    <col min="27" max="27" width="10.125" style="2964" customWidth="1"/>
    <col min="28" max="32" width="9" style="2975"/>
  </cols>
  <sheetData>
    <row r="1" spans="1:32">
      <c r="A1" s="3354" t="s">
        <v>3281</v>
      </c>
      <c r="B1" s="3355" t="s">
        <v>3289</v>
      </c>
      <c r="C1" s="3354" t="s">
        <v>3282</v>
      </c>
      <c r="D1" s="3354" t="s">
        <v>3283</v>
      </c>
      <c r="K1" s="3352" t="s">
        <v>3353</v>
      </c>
      <c r="L1" s="3352"/>
      <c r="M1" s="3353"/>
      <c r="N1" s="3004"/>
      <c r="O1" s="3004"/>
      <c r="Q1" s="2999" t="s">
        <v>3369</v>
      </c>
      <c r="R1" s="3000"/>
      <c r="S1" s="3000"/>
      <c r="T1" s="3000"/>
      <c r="U1" s="3000"/>
      <c r="V1" s="3003"/>
      <c r="W1" s="3000"/>
      <c r="X1" s="3000"/>
      <c r="Y1" s="3351" t="s">
        <v>3382</v>
      </c>
      <c r="Z1" s="3351"/>
      <c r="AA1" s="3351" t="s">
        <v>3367</v>
      </c>
      <c r="AB1" s="3351"/>
      <c r="AC1" s="3351"/>
      <c r="AD1" s="3351"/>
      <c r="AE1" s="3351"/>
    </row>
    <row r="2" spans="1:32">
      <c r="A2" s="3354"/>
      <c r="B2" s="3355"/>
      <c r="C2" s="3354"/>
      <c r="D2" s="3354"/>
      <c r="E2" s="2961" t="s">
        <v>3285</v>
      </c>
      <c r="F2" s="2961" t="s">
        <v>3286</v>
      </c>
      <c r="G2" s="2961" t="s">
        <v>3287</v>
      </c>
      <c r="H2" s="2961" t="s">
        <v>3316</v>
      </c>
      <c r="I2" s="2961" t="s">
        <v>3327</v>
      </c>
      <c r="J2" s="2974"/>
      <c r="K2" s="2999" t="s">
        <v>3383</v>
      </c>
      <c r="L2" s="2999" t="s">
        <v>3354</v>
      </c>
      <c r="M2" s="2999" t="s">
        <v>3355</v>
      </c>
      <c r="N2" s="3004"/>
      <c r="O2" s="3004"/>
      <c r="P2" s="2974"/>
      <c r="Q2" s="2999" t="s">
        <v>3372</v>
      </c>
      <c r="R2" s="2999" t="s">
        <v>3370</v>
      </c>
      <c r="S2" s="2999" t="s">
        <v>3374</v>
      </c>
      <c r="T2" s="2999" t="s">
        <v>3371</v>
      </c>
      <c r="U2" s="2999" t="s">
        <v>3373</v>
      </c>
      <c r="V2" s="3004"/>
      <c r="W2" s="2999"/>
      <c r="X2" s="2999"/>
      <c r="Y2" s="2999" t="s">
        <v>3375</v>
      </c>
      <c r="Z2" s="2999" t="s">
        <v>3374</v>
      </c>
      <c r="AA2" s="2999" t="s">
        <v>3354</v>
      </c>
      <c r="AB2" s="2999" t="s">
        <v>3368</v>
      </c>
      <c r="AC2" s="2999" t="s">
        <v>3378</v>
      </c>
      <c r="AD2" s="2999" t="s">
        <v>3379</v>
      </c>
      <c r="AE2" s="2999" t="s">
        <v>3380</v>
      </c>
    </row>
    <row r="3" spans="1:32">
      <c r="A3" s="2962">
        <v>1</v>
      </c>
      <c r="B3" s="2961" t="s">
        <v>3290</v>
      </c>
      <c r="C3" s="2977" t="s">
        <v>3284</v>
      </c>
      <c r="D3" s="2962">
        <v>15597.89</v>
      </c>
      <c r="E3" s="2962">
        <f>D3-F3-G3-H3</f>
        <v>14727.57</v>
      </c>
      <c r="F3" s="2962">
        <v>703.08</v>
      </c>
      <c r="G3" s="2962">
        <v>167.24</v>
      </c>
      <c r="H3" s="2962">
        <v>0</v>
      </c>
      <c r="I3" s="2962">
        <v>0</v>
      </c>
      <c r="K3" s="3000">
        <v>14894.44</v>
      </c>
      <c r="L3" s="3001">
        <v>14894.44</v>
      </c>
      <c r="M3" s="3006"/>
      <c r="N3" s="3008"/>
      <c r="O3" s="3008"/>
      <c r="Q3" s="3000">
        <v>15672.53</v>
      </c>
      <c r="R3" s="3000">
        <f>Q3-T3</f>
        <v>14964.460000000001</v>
      </c>
      <c r="S3" s="3000">
        <v>0</v>
      </c>
      <c r="T3" s="3000">
        <v>708.07</v>
      </c>
      <c r="U3" s="3000"/>
      <c r="V3" s="3003"/>
      <c r="W3" s="3010" t="s">
        <v>3284</v>
      </c>
      <c r="X3" s="2999" t="s">
        <v>3376</v>
      </c>
      <c r="Y3" s="3000">
        <f>L3</f>
        <v>14894.44</v>
      </c>
      <c r="Z3" s="3000"/>
      <c r="AA3" s="3000">
        <f t="shared" ref="AA3:AA18" si="0">L3-Y3</f>
        <v>0</v>
      </c>
      <c r="AB3" s="3000"/>
      <c r="AC3" s="3000"/>
      <c r="AD3" s="3000"/>
      <c r="AE3" s="3000"/>
      <c r="AF3" s="2975">
        <f>SUM(AA3:AE3)</f>
        <v>0</v>
      </c>
    </row>
    <row r="4" spans="1:32">
      <c r="A4" s="2962">
        <v>2</v>
      </c>
      <c r="B4" s="2961" t="s">
        <v>3291</v>
      </c>
      <c r="C4" s="2977" t="s">
        <v>3288</v>
      </c>
      <c r="D4" s="2962">
        <v>16538.78</v>
      </c>
      <c r="E4" s="2962">
        <f t="shared" ref="E4:E22" si="1">D4-F4-G4-H4</f>
        <v>15427.98</v>
      </c>
      <c r="F4" s="2962">
        <v>943.56</v>
      </c>
      <c r="G4" s="2962">
        <v>167.24</v>
      </c>
      <c r="H4" s="2962">
        <v>0</v>
      </c>
      <c r="I4" s="2962">
        <v>0</v>
      </c>
      <c r="K4" s="3000">
        <v>15594.8</v>
      </c>
      <c r="L4" s="3001">
        <v>15594.8</v>
      </c>
      <c r="M4" s="3006"/>
      <c r="N4" s="3008"/>
      <c r="O4" s="3008"/>
      <c r="Q4" s="3000">
        <v>16665.52</v>
      </c>
      <c r="R4" s="3000">
        <f>Q4-T4</f>
        <v>15653.02</v>
      </c>
      <c r="S4" s="3000">
        <v>0</v>
      </c>
      <c r="T4" s="3000">
        <v>1012.5</v>
      </c>
      <c r="U4" s="3000"/>
      <c r="V4" s="3003"/>
      <c r="W4" s="3010" t="s">
        <v>3288</v>
      </c>
      <c r="X4" s="2999" t="s">
        <v>3376</v>
      </c>
      <c r="Y4" s="3000">
        <f>L4</f>
        <v>15594.8</v>
      </c>
      <c r="Z4" s="3000"/>
      <c r="AA4" s="3000">
        <f t="shared" si="0"/>
        <v>0</v>
      </c>
      <c r="AB4" s="3000"/>
      <c r="AC4" s="3000"/>
      <c r="AD4" s="3000"/>
      <c r="AE4" s="3000"/>
      <c r="AF4" s="2975">
        <f t="shared" ref="AF4:AF28" si="2">SUM(AA4:AE4)</f>
        <v>0</v>
      </c>
    </row>
    <row r="5" spans="1:32">
      <c r="A5" s="2962">
        <v>3</v>
      </c>
      <c r="B5" s="2961" t="s">
        <v>3292</v>
      </c>
      <c r="C5" s="2977" t="s">
        <v>3293</v>
      </c>
      <c r="D5" s="2962">
        <v>16295.89</v>
      </c>
      <c r="E5" s="2962">
        <f t="shared" si="1"/>
        <v>15598.56</v>
      </c>
      <c r="F5" s="2962">
        <v>697.33</v>
      </c>
      <c r="G5" s="2962">
        <v>0</v>
      </c>
      <c r="H5" s="2962">
        <v>0</v>
      </c>
      <c r="I5" s="2962">
        <v>0</v>
      </c>
      <c r="K5" s="3000">
        <v>15600.52</v>
      </c>
      <c r="L5" s="3001">
        <v>15600.52</v>
      </c>
      <c r="M5" s="3006"/>
      <c r="N5" s="3008"/>
      <c r="O5" s="3008"/>
      <c r="Q5" s="3000">
        <v>16375.45</v>
      </c>
      <c r="R5" s="3000">
        <f>Q5-U5</f>
        <v>15672.2</v>
      </c>
      <c r="S5" s="3000">
        <v>0</v>
      </c>
      <c r="T5" s="3000">
        <v>0</v>
      </c>
      <c r="U5" s="3000">
        <v>703.25</v>
      </c>
      <c r="V5" s="3003"/>
      <c r="W5" s="3010" t="s">
        <v>3293</v>
      </c>
      <c r="X5" s="2999" t="s">
        <v>3376</v>
      </c>
      <c r="Y5" s="3000">
        <f>L5</f>
        <v>15600.52</v>
      </c>
      <c r="Z5" s="3000"/>
      <c r="AA5" s="3000">
        <f t="shared" si="0"/>
        <v>0</v>
      </c>
      <c r="AB5" s="3000"/>
      <c r="AC5" s="3000"/>
      <c r="AD5" s="3000"/>
      <c r="AE5" s="3000"/>
      <c r="AF5" s="2975">
        <f t="shared" si="2"/>
        <v>0</v>
      </c>
    </row>
    <row r="6" spans="1:32">
      <c r="A6" s="2962">
        <v>4</v>
      </c>
      <c r="B6" s="2961" t="s">
        <v>3294</v>
      </c>
      <c r="C6" s="2977" t="s">
        <v>3295</v>
      </c>
      <c r="D6" s="2962">
        <v>16164.65</v>
      </c>
      <c r="E6" s="2962">
        <f t="shared" si="1"/>
        <v>15218.66</v>
      </c>
      <c r="F6" s="2962">
        <v>945.99</v>
      </c>
      <c r="G6" s="2962">
        <v>0</v>
      </c>
      <c r="H6" s="2962">
        <v>0</v>
      </c>
      <c r="I6" s="2962">
        <v>0</v>
      </c>
      <c r="K6" s="3000">
        <v>15233.63</v>
      </c>
      <c r="L6" s="3001">
        <v>14701.16</v>
      </c>
      <c r="M6" s="3006">
        <v>532.47</v>
      </c>
      <c r="N6" s="3008"/>
      <c r="O6" s="3008"/>
      <c r="Q6" s="3000">
        <v>16218.4</v>
      </c>
      <c r="R6" s="3000">
        <v>14662.6</v>
      </c>
      <c r="S6" s="3000">
        <v>549.85</v>
      </c>
      <c r="T6" s="3000">
        <v>0</v>
      </c>
      <c r="U6" s="3000">
        <v>1005.95</v>
      </c>
      <c r="V6" s="3003"/>
      <c r="W6" s="3010" t="s">
        <v>3295</v>
      </c>
      <c r="X6" s="2999" t="s">
        <v>3376</v>
      </c>
      <c r="Y6" s="3000">
        <f>L6</f>
        <v>14701.16</v>
      </c>
      <c r="Z6" s="3000">
        <f>M6</f>
        <v>532.47</v>
      </c>
      <c r="AA6" s="3000">
        <f t="shared" si="0"/>
        <v>0</v>
      </c>
      <c r="AB6" s="3000">
        <f>M6-Z6</f>
        <v>0</v>
      </c>
      <c r="AC6" s="3000"/>
      <c r="AD6" s="3000"/>
      <c r="AE6" s="3000"/>
      <c r="AF6" s="2975">
        <f t="shared" si="2"/>
        <v>0</v>
      </c>
    </row>
    <row r="7" spans="1:32">
      <c r="A7" s="2962">
        <v>5</v>
      </c>
      <c r="B7" s="2961" t="s">
        <v>3312</v>
      </c>
      <c r="C7" s="2977" t="s">
        <v>3296</v>
      </c>
      <c r="D7" s="2962">
        <v>11142.82</v>
      </c>
      <c r="E7" s="2962">
        <f t="shared" si="1"/>
        <v>10563.27</v>
      </c>
      <c r="F7" s="2962">
        <v>496</v>
      </c>
      <c r="G7" s="2962">
        <v>83.55</v>
      </c>
      <c r="H7" s="2962">
        <v>0</v>
      </c>
      <c r="I7" s="2962">
        <v>0</v>
      </c>
      <c r="K7" s="3000">
        <v>10648.67</v>
      </c>
      <c r="L7" s="3001">
        <v>10648.67</v>
      </c>
      <c r="M7" s="3006"/>
      <c r="N7" s="3008"/>
      <c r="O7" s="3008"/>
      <c r="Q7" s="3000"/>
      <c r="R7" s="3000"/>
      <c r="S7" s="3000"/>
      <c r="T7" s="3000"/>
      <c r="U7" s="3000"/>
      <c r="V7" s="3003"/>
      <c r="W7" s="3010" t="s">
        <v>3296</v>
      </c>
      <c r="X7" s="2999" t="s">
        <v>3376</v>
      </c>
      <c r="Y7" s="3000">
        <f>L7</f>
        <v>10648.67</v>
      </c>
      <c r="Z7" s="3000"/>
      <c r="AA7" s="3000">
        <f t="shared" si="0"/>
        <v>0</v>
      </c>
      <c r="AB7" s="3000"/>
      <c r="AC7" s="3000"/>
      <c r="AD7" s="3000"/>
      <c r="AE7" s="3000"/>
      <c r="AF7" s="2975">
        <f t="shared" si="2"/>
        <v>0</v>
      </c>
    </row>
    <row r="8" spans="1:32">
      <c r="A8" s="2962">
        <v>6</v>
      </c>
      <c r="B8" s="2961" t="s">
        <v>3313</v>
      </c>
      <c r="C8" s="2961" t="s">
        <v>3297</v>
      </c>
      <c r="D8" s="2962">
        <v>22057.91</v>
      </c>
      <c r="E8" s="2962">
        <f t="shared" si="1"/>
        <v>20424.32</v>
      </c>
      <c r="F8" s="2962">
        <v>1633.59</v>
      </c>
      <c r="G8" s="2962">
        <v>0</v>
      </c>
      <c r="H8" s="2962">
        <v>0</v>
      </c>
      <c r="I8" s="2962">
        <v>0</v>
      </c>
      <c r="K8" s="3000">
        <v>20462.77</v>
      </c>
      <c r="L8" s="3001">
        <v>20462.77</v>
      </c>
      <c r="M8" s="3006"/>
      <c r="N8" s="3008"/>
      <c r="O8" s="3008"/>
      <c r="Q8" s="3000"/>
      <c r="R8" s="3000"/>
      <c r="S8" s="3000"/>
      <c r="T8" s="3000"/>
      <c r="U8" s="3000"/>
      <c r="V8" s="3003"/>
      <c r="W8" s="3005" t="s">
        <v>3297</v>
      </c>
      <c r="X8" s="3000"/>
      <c r="Y8" s="3000">
        <v>19648.54</v>
      </c>
      <c r="Z8" s="3000"/>
      <c r="AA8" s="3000">
        <f t="shared" si="0"/>
        <v>814.22999999999956</v>
      </c>
      <c r="AB8" s="3000"/>
      <c r="AC8" s="3000"/>
      <c r="AD8" s="3000"/>
      <c r="AE8" s="3000"/>
      <c r="AF8" s="2975">
        <f t="shared" si="2"/>
        <v>814.22999999999956</v>
      </c>
    </row>
    <row r="9" spans="1:32">
      <c r="A9" s="2962">
        <v>7</v>
      </c>
      <c r="B9" s="2961" t="s">
        <v>3314</v>
      </c>
      <c r="C9" s="2961" t="s">
        <v>3298</v>
      </c>
      <c r="D9" s="2962">
        <v>22327.59</v>
      </c>
      <c r="E9" s="2962">
        <f t="shared" si="1"/>
        <v>20623.57</v>
      </c>
      <c r="F9" s="2962">
        <v>1704.02</v>
      </c>
      <c r="G9" s="2962">
        <v>0</v>
      </c>
      <c r="H9" s="2962">
        <v>0</v>
      </c>
      <c r="I9" s="2962">
        <v>0</v>
      </c>
      <c r="K9" s="3000">
        <v>20666.3</v>
      </c>
      <c r="L9" s="3001">
        <v>20666.3</v>
      </c>
      <c r="M9" s="3006"/>
      <c r="N9" s="3008"/>
      <c r="O9" s="3008"/>
      <c r="Q9" s="3000"/>
      <c r="R9" s="3000"/>
      <c r="S9" s="3000"/>
      <c r="T9" s="3000"/>
      <c r="U9" s="3000"/>
      <c r="V9" s="3003"/>
      <c r="W9" s="3005" t="s">
        <v>3298</v>
      </c>
      <c r="X9" s="2999" t="s">
        <v>3376</v>
      </c>
      <c r="Y9" s="3000">
        <f>L9</f>
        <v>20666.3</v>
      </c>
      <c r="Z9" s="3000"/>
      <c r="AA9" s="3000">
        <f t="shared" si="0"/>
        <v>0</v>
      </c>
      <c r="AB9" s="3000"/>
      <c r="AC9" s="3000"/>
      <c r="AD9" s="3000"/>
      <c r="AE9" s="3000"/>
      <c r="AF9" s="2975">
        <f t="shared" si="2"/>
        <v>0</v>
      </c>
    </row>
    <row r="10" spans="1:32">
      <c r="A10" s="2962">
        <v>8</v>
      </c>
      <c r="B10" s="2961" t="s">
        <v>3315</v>
      </c>
      <c r="C10" s="2977" t="s">
        <v>3299</v>
      </c>
      <c r="D10" s="2962">
        <v>23471.1</v>
      </c>
      <c r="E10" s="2962">
        <f t="shared" si="1"/>
        <v>22387.55</v>
      </c>
      <c r="F10" s="2962">
        <v>886.46</v>
      </c>
      <c r="G10" s="2962">
        <v>0</v>
      </c>
      <c r="H10" s="2962">
        <v>197.09</v>
      </c>
      <c r="I10" s="2962">
        <v>0</v>
      </c>
      <c r="K10" s="3000">
        <v>22619.43</v>
      </c>
      <c r="L10" s="3001">
        <v>21347.21</v>
      </c>
      <c r="M10" s="3001">
        <v>1272.22</v>
      </c>
      <c r="N10" s="3009"/>
      <c r="O10" s="3009"/>
      <c r="P10" s="2998"/>
      <c r="Q10" s="3001">
        <f>R10+S10+T10</f>
        <v>23281.660000000003</v>
      </c>
      <c r="R10" s="3001">
        <v>21136.58</v>
      </c>
      <c r="S10" s="3001">
        <v>1274.56</v>
      </c>
      <c r="T10" s="3001">
        <v>870.52</v>
      </c>
      <c r="U10" s="3000"/>
      <c r="V10" s="3003"/>
      <c r="W10" s="3010" t="s">
        <v>3299</v>
      </c>
      <c r="X10" s="3000"/>
      <c r="Y10" s="3000">
        <v>21217.98</v>
      </c>
      <c r="Z10" s="3000">
        <v>1272.22</v>
      </c>
      <c r="AA10" s="3000">
        <f t="shared" si="0"/>
        <v>129.22999999999956</v>
      </c>
      <c r="AB10" s="3000">
        <f>M10-Z10</f>
        <v>0</v>
      </c>
      <c r="AC10" s="3000"/>
      <c r="AD10" s="3000"/>
      <c r="AE10" s="3000"/>
      <c r="AF10" s="2975">
        <f t="shared" si="2"/>
        <v>129.22999999999956</v>
      </c>
    </row>
    <row r="11" spans="1:32">
      <c r="A11" s="2962">
        <v>9</v>
      </c>
      <c r="B11" s="2961" t="s">
        <v>3317</v>
      </c>
      <c r="C11" s="2977" t="s">
        <v>3300</v>
      </c>
      <c r="D11" s="2962">
        <v>12753.67</v>
      </c>
      <c r="E11" s="2962">
        <f t="shared" si="1"/>
        <v>12225.24</v>
      </c>
      <c r="F11" s="2962">
        <v>435.36</v>
      </c>
      <c r="G11" s="2962">
        <v>0</v>
      </c>
      <c r="H11" s="2962">
        <v>93.07</v>
      </c>
      <c r="I11" s="2962">
        <v>0</v>
      </c>
      <c r="K11" s="3000">
        <v>12345.15</v>
      </c>
      <c r="L11" s="3001">
        <v>11323.48</v>
      </c>
      <c r="M11" s="3001">
        <v>1021.67</v>
      </c>
      <c r="N11" s="3009"/>
      <c r="O11" s="3009"/>
      <c r="P11" s="2998"/>
      <c r="Q11" s="3001">
        <f>R11+S11+T11</f>
        <v>12688.000000000002</v>
      </c>
      <c r="R11" s="3001">
        <v>11239.61</v>
      </c>
      <c r="S11" s="3001">
        <f>928.09+107.35</f>
        <v>1035.44</v>
      </c>
      <c r="T11" s="3001">
        <v>412.95</v>
      </c>
      <c r="U11" s="3000"/>
      <c r="V11" s="3003"/>
      <c r="W11" s="3010" t="s">
        <v>3300</v>
      </c>
      <c r="X11" s="2999" t="s">
        <v>3376</v>
      </c>
      <c r="Y11" s="3000">
        <f>L11</f>
        <v>11323.48</v>
      </c>
      <c r="Z11" s="3000">
        <v>931.71</v>
      </c>
      <c r="AA11" s="3000">
        <f t="shared" si="0"/>
        <v>0</v>
      </c>
      <c r="AB11" s="3000">
        <f>M11-Z11</f>
        <v>89.959999999999923</v>
      </c>
      <c r="AC11" s="3000"/>
      <c r="AD11" s="3000"/>
      <c r="AE11" s="3000"/>
      <c r="AF11" s="2975">
        <f t="shared" si="2"/>
        <v>89.959999999999923</v>
      </c>
    </row>
    <row r="12" spans="1:32">
      <c r="A12" s="2962">
        <v>10</v>
      </c>
      <c r="B12" s="2961" t="s">
        <v>3318</v>
      </c>
      <c r="C12" s="2961" t="s">
        <v>3301</v>
      </c>
      <c r="D12" s="2962">
        <v>25179.08</v>
      </c>
      <c r="E12" s="2962">
        <f t="shared" si="1"/>
        <v>23420.070000000003</v>
      </c>
      <c r="F12" s="2962">
        <v>1759.01</v>
      </c>
      <c r="G12" s="2962">
        <v>0</v>
      </c>
      <c r="H12" s="2962">
        <v>0</v>
      </c>
      <c r="I12" s="2962">
        <v>0</v>
      </c>
      <c r="K12" s="3000">
        <v>23431.89</v>
      </c>
      <c r="L12" s="3001">
        <v>23431.89</v>
      </c>
      <c r="M12" s="3006"/>
      <c r="N12" s="3008"/>
      <c r="O12" s="3008"/>
      <c r="Q12" s="3000"/>
      <c r="R12" s="3000"/>
      <c r="S12" s="3000"/>
      <c r="T12" s="3000"/>
      <c r="U12" s="3000"/>
      <c r="V12" s="3003"/>
      <c r="W12" s="3005" t="s">
        <v>3301</v>
      </c>
      <c r="X12" s="3000"/>
      <c r="Y12" s="3000">
        <v>22578.14</v>
      </c>
      <c r="Z12" s="3000"/>
      <c r="AA12" s="3000">
        <f t="shared" si="0"/>
        <v>853.75</v>
      </c>
      <c r="AB12" s="3000"/>
      <c r="AC12" s="3000"/>
      <c r="AD12" s="3000"/>
      <c r="AE12" s="3000"/>
      <c r="AF12" s="2975">
        <f t="shared" si="2"/>
        <v>853.75</v>
      </c>
    </row>
    <row r="13" spans="1:32">
      <c r="A13" s="2962">
        <v>11</v>
      </c>
      <c r="B13" s="2961" t="s">
        <v>3319</v>
      </c>
      <c r="C13" s="2977" t="s">
        <v>3302</v>
      </c>
      <c r="D13" s="2962">
        <v>25069.24</v>
      </c>
      <c r="E13" s="2962">
        <f t="shared" si="1"/>
        <v>23158.5</v>
      </c>
      <c r="F13" s="2962">
        <v>1736.29</v>
      </c>
      <c r="G13" s="2962">
        <v>174.45</v>
      </c>
      <c r="H13" s="2962">
        <v>0</v>
      </c>
      <c r="I13" s="2962">
        <v>0</v>
      </c>
      <c r="K13" s="3000">
        <v>23410.959999999999</v>
      </c>
      <c r="L13" s="3001">
        <v>23410.959999999999</v>
      </c>
      <c r="M13" s="3006"/>
      <c r="N13" s="3008"/>
      <c r="O13" s="3008"/>
      <c r="Q13" s="3000"/>
      <c r="R13" s="3000"/>
      <c r="S13" s="3000"/>
      <c r="T13" s="3000"/>
      <c r="U13" s="3000"/>
      <c r="V13" s="3003"/>
      <c r="W13" s="3010" t="s">
        <v>3302</v>
      </c>
      <c r="X13" s="3000"/>
      <c r="Y13" s="3000">
        <v>22456.28</v>
      </c>
      <c r="Z13" s="3000"/>
      <c r="AA13" s="3000">
        <f t="shared" si="0"/>
        <v>954.68000000000029</v>
      </c>
      <c r="AB13" s="3000"/>
      <c r="AC13" s="3000"/>
      <c r="AD13" s="3000"/>
      <c r="AE13" s="3000"/>
      <c r="AF13" s="2975">
        <f t="shared" si="2"/>
        <v>954.68000000000029</v>
      </c>
    </row>
    <row r="14" spans="1:32">
      <c r="A14" s="2962">
        <v>12</v>
      </c>
      <c r="B14" s="2961" t="s">
        <v>3320</v>
      </c>
      <c r="C14" s="2977" t="s">
        <v>3303</v>
      </c>
      <c r="D14" s="2962">
        <v>12042.64</v>
      </c>
      <c r="E14" s="2962">
        <f t="shared" si="1"/>
        <v>11458.779999999999</v>
      </c>
      <c r="F14" s="2962">
        <v>496</v>
      </c>
      <c r="G14" s="2962">
        <v>87.86</v>
      </c>
      <c r="H14" s="2962">
        <v>0</v>
      </c>
      <c r="I14" s="2962">
        <v>0</v>
      </c>
      <c r="K14" s="3000">
        <v>11567.28</v>
      </c>
      <c r="L14" s="3001">
        <v>11567.28</v>
      </c>
      <c r="M14" s="3006"/>
      <c r="N14" s="3008"/>
      <c r="O14" s="3008"/>
      <c r="Q14" s="3000"/>
      <c r="R14" s="3000"/>
      <c r="S14" s="3000"/>
      <c r="T14" s="3000"/>
      <c r="U14" s="3000"/>
      <c r="V14" s="3003"/>
      <c r="W14" s="3010" t="s">
        <v>3303</v>
      </c>
      <c r="X14" s="2999" t="s">
        <v>3377</v>
      </c>
      <c r="Y14" s="3000">
        <f>L14</f>
        <v>11567.28</v>
      </c>
      <c r="Z14" s="3000"/>
      <c r="AA14" s="3000">
        <f t="shared" si="0"/>
        <v>0</v>
      </c>
      <c r="AB14" s="3000"/>
      <c r="AC14" s="3000"/>
      <c r="AD14" s="3000"/>
      <c r="AE14" s="3000"/>
      <c r="AF14" s="2975">
        <f t="shared" si="2"/>
        <v>0</v>
      </c>
    </row>
    <row r="15" spans="1:32">
      <c r="A15" s="2962">
        <v>13</v>
      </c>
      <c r="B15" s="2961" t="s">
        <v>3321</v>
      </c>
      <c r="C15" s="2977" t="s">
        <v>3304</v>
      </c>
      <c r="D15" s="2962">
        <v>12656.94</v>
      </c>
      <c r="E15" s="2962">
        <f t="shared" si="1"/>
        <v>12036.960000000001</v>
      </c>
      <c r="F15" s="2962">
        <v>535.16</v>
      </c>
      <c r="G15" s="2962">
        <v>84.82</v>
      </c>
      <c r="H15" s="2962">
        <v>0</v>
      </c>
      <c r="I15" s="2962">
        <v>0</v>
      </c>
      <c r="K15" s="3000">
        <v>12143.82</v>
      </c>
      <c r="L15" s="3001">
        <v>12143.82</v>
      </c>
      <c r="M15" s="3006"/>
      <c r="N15" s="3008"/>
      <c r="O15" s="3008"/>
      <c r="Q15" s="3000"/>
      <c r="R15" s="3000"/>
      <c r="S15" s="3000"/>
      <c r="T15" s="3000"/>
      <c r="U15" s="3000"/>
      <c r="V15" s="3003"/>
      <c r="W15" s="3010" t="s">
        <v>3304</v>
      </c>
      <c r="X15" s="3000"/>
      <c r="Y15" s="3000">
        <v>11422.11</v>
      </c>
      <c r="Z15" s="3000"/>
      <c r="AA15" s="3000">
        <f t="shared" si="0"/>
        <v>721.70999999999913</v>
      </c>
      <c r="AB15" s="3000"/>
      <c r="AC15" s="3000"/>
      <c r="AD15" s="3000"/>
      <c r="AE15" s="3000"/>
      <c r="AF15" s="2975">
        <f t="shared" si="2"/>
        <v>721.70999999999913</v>
      </c>
    </row>
    <row r="16" spans="1:32">
      <c r="A16" s="2962">
        <v>14</v>
      </c>
      <c r="B16" s="2961" t="s">
        <v>3322</v>
      </c>
      <c r="C16" s="2976" t="s">
        <v>3305</v>
      </c>
      <c r="D16" s="2962">
        <v>22012.68</v>
      </c>
      <c r="E16" s="2962">
        <f t="shared" si="1"/>
        <v>20119.73</v>
      </c>
      <c r="F16" s="2962">
        <v>1892.95</v>
      </c>
      <c r="G16" s="2962">
        <v>0</v>
      </c>
      <c r="H16" s="2962">
        <v>0</v>
      </c>
      <c r="I16" s="2962">
        <v>0</v>
      </c>
      <c r="K16" s="3000">
        <v>20119.689999999999</v>
      </c>
      <c r="L16" s="3001">
        <v>20119.689999999999</v>
      </c>
      <c r="M16" s="3006"/>
      <c r="N16" s="3008"/>
      <c r="O16" s="3008"/>
      <c r="Q16" s="3000"/>
      <c r="R16" s="3000"/>
      <c r="S16" s="3000"/>
      <c r="T16" s="3000"/>
      <c r="U16" s="3000"/>
      <c r="V16" s="3003"/>
      <c r="W16" s="3005" t="s">
        <v>3305</v>
      </c>
      <c r="X16" s="3000"/>
      <c r="Y16" s="3000">
        <v>18468.03</v>
      </c>
      <c r="Z16" s="3000"/>
      <c r="AA16" s="3000">
        <f t="shared" si="0"/>
        <v>1651.6599999999999</v>
      </c>
      <c r="AB16" s="3000"/>
      <c r="AC16" s="3000"/>
      <c r="AD16" s="3000"/>
      <c r="AE16" s="3000"/>
      <c r="AF16" s="2975">
        <f t="shared" si="2"/>
        <v>1651.6599999999999</v>
      </c>
    </row>
    <row r="17" spans="1:32">
      <c r="A17" s="2962">
        <v>15</v>
      </c>
      <c r="B17" s="2961" t="s">
        <v>3323</v>
      </c>
      <c r="C17" s="2976" t="s">
        <v>3306</v>
      </c>
      <c r="D17" s="2962">
        <v>21967.25</v>
      </c>
      <c r="E17" s="2962">
        <f t="shared" si="1"/>
        <v>20074.400000000001</v>
      </c>
      <c r="F17" s="2962">
        <v>1892.85</v>
      </c>
      <c r="G17" s="2962">
        <v>0</v>
      </c>
      <c r="H17" s="2962">
        <v>0</v>
      </c>
      <c r="I17" s="2962">
        <v>0</v>
      </c>
      <c r="K17" s="3000">
        <v>20074.400000000001</v>
      </c>
      <c r="L17" s="3001">
        <v>20074.400000000001</v>
      </c>
      <c r="M17" s="3006"/>
      <c r="N17" s="3008"/>
      <c r="O17" s="3008"/>
      <c r="Q17" s="3000"/>
      <c r="R17" s="3000"/>
      <c r="S17" s="3000"/>
      <c r="T17" s="3000"/>
      <c r="U17" s="3000"/>
      <c r="V17" s="3003"/>
      <c r="W17" s="3005" t="s">
        <v>3306</v>
      </c>
      <c r="X17" s="3000"/>
      <c r="Y17" s="3000">
        <v>18633.61</v>
      </c>
      <c r="Z17" s="3000"/>
      <c r="AA17" s="3000">
        <f t="shared" si="0"/>
        <v>1440.7900000000009</v>
      </c>
      <c r="AB17" s="3000"/>
      <c r="AC17" s="3000"/>
      <c r="AD17" s="3000"/>
      <c r="AE17" s="3000"/>
      <c r="AF17" s="2975">
        <f t="shared" si="2"/>
        <v>1440.7900000000009</v>
      </c>
    </row>
    <row r="18" spans="1:32">
      <c r="A18" s="2962">
        <v>16</v>
      </c>
      <c r="B18" s="2961" t="s">
        <v>3324</v>
      </c>
      <c r="C18" s="2976" t="s">
        <v>3307</v>
      </c>
      <c r="D18" s="2962">
        <v>12780.36</v>
      </c>
      <c r="E18" s="2962">
        <f t="shared" si="1"/>
        <v>11794.800000000001</v>
      </c>
      <c r="F18" s="2962">
        <v>985.56</v>
      </c>
      <c r="G18" s="2962">
        <v>0</v>
      </c>
      <c r="H18" s="2962">
        <v>0</v>
      </c>
      <c r="I18" s="2962">
        <v>0</v>
      </c>
      <c r="K18" s="3000">
        <v>11794.8</v>
      </c>
      <c r="L18" s="3001">
        <v>11794.8</v>
      </c>
      <c r="M18" s="3006"/>
      <c r="N18" s="3008"/>
      <c r="O18" s="3008"/>
      <c r="Q18" s="3000"/>
      <c r="R18" s="3000"/>
      <c r="S18" s="3000"/>
      <c r="T18" s="3000"/>
      <c r="U18" s="3000"/>
      <c r="V18" s="3003"/>
      <c r="W18" s="3005" t="s">
        <v>3307</v>
      </c>
      <c r="X18" s="3000"/>
      <c r="Y18" s="3000">
        <v>11667.37</v>
      </c>
      <c r="Z18" s="3000"/>
      <c r="AA18" s="3000">
        <f t="shared" si="0"/>
        <v>127.42999999999847</v>
      </c>
      <c r="AB18" s="3000"/>
      <c r="AC18" s="3000"/>
      <c r="AD18" s="3000"/>
      <c r="AE18" s="3000"/>
      <c r="AF18" s="2975">
        <f t="shared" si="2"/>
        <v>127.42999999999847</v>
      </c>
    </row>
    <row r="19" spans="1:32">
      <c r="A19" s="2962">
        <v>17</v>
      </c>
      <c r="B19" s="2961" t="s">
        <v>3325</v>
      </c>
      <c r="C19" s="2961" t="s">
        <v>3308</v>
      </c>
      <c r="D19" s="2962">
        <v>18855.95</v>
      </c>
      <c r="E19" s="2962">
        <f t="shared" si="1"/>
        <v>17619.03</v>
      </c>
      <c r="F19" s="2962">
        <v>1236.92</v>
      </c>
      <c r="G19" s="2962">
        <v>0</v>
      </c>
      <c r="H19" s="2962">
        <v>0</v>
      </c>
      <c r="I19" s="2962">
        <v>0</v>
      </c>
      <c r="K19" s="3002"/>
      <c r="L19" s="3001"/>
      <c r="M19" s="3006"/>
      <c r="N19" s="3008"/>
      <c r="O19" s="3008"/>
      <c r="Q19" s="3000"/>
      <c r="R19" s="3000"/>
      <c r="S19" s="3000"/>
      <c r="T19" s="3000"/>
      <c r="U19" s="3000"/>
      <c r="V19" s="3003"/>
      <c r="W19" s="3005" t="s">
        <v>3308</v>
      </c>
      <c r="X19" s="3000"/>
      <c r="Y19" s="3000">
        <v>0</v>
      </c>
      <c r="Z19" s="3000"/>
      <c r="AA19" s="3000">
        <f>E19</f>
        <v>17619.03</v>
      </c>
      <c r="AB19" s="3000">
        <f>I20</f>
        <v>4131.41</v>
      </c>
      <c r="AC19" s="3000"/>
      <c r="AD19" s="3000"/>
      <c r="AE19" s="3000"/>
      <c r="AF19" s="2975">
        <f t="shared" si="2"/>
        <v>21750.44</v>
      </c>
    </row>
    <row r="20" spans="1:32">
      <c r="A20" s="2962">
        <v>18</v>
      </c>
      <c r="B20" s="2961" t="s">
        <v>3326</v>
      </c>
      <c r="C20" s="2976" t="s">
        <v>3309</v>
      </c>
      <c r="D20" s="2962">
        <v>27217.06</v>
      </c>
      <c r="E20" s="2962">
        <f>D20-F20-G20-H20-I20</f>
        <v>21281.34</v>
      </c>
      <c r="F20" s="2962">
        <v>1804.31</v>
      </c>
      <c r="G20" s="2962">
        <v>0</v>
      </c>
      <c r="H20" s="2962">
        <v>0</v>
      </c>
      <c r="I20" s="2962">
        <v>4131.41</v>
      </c>
      <c r="K20" s="3002"/>
      <c r="L20" s="3001"/>
      <c r="M20" s="3006"/>
      <c r="N20" s="3008"/>
      <c r="O20" s="3008"/>
      <c r="Q20" s="3000"/>
      <c r="R20" s="3000"/>
      <c r="S20" s="3000"/>
      <c r="T20" s="3000"/>
      <c r="U20" s="3000"/>
      <c r="V20" s="3003"/>
      <c r="W20" s="3005" t="s">
        <v>3309</v>
      </c>
      <c r="X20" s="3000"/>
      <c r="Y20" s="3000">
        <v>0</v>
      </c>
      <c r="Z20" s="3000"/>
      <c r="AA20" s="3000">
        <f>E20</f>
        <v>21281.34</v>
      </c>
      <c r="AB20" s="3000">
        <f>I21</f>
        <v>7090.6</v>
      </c>
      <c r="AC20" s="3000"/>
      <c r="AD20" s="3000"/>
      <c r="AE20" s="3000"/>
      <c r="AF20" s="2975">
        <f t="shared" si="2"/>
        <v>28371.940000000002</v>
      </c>
    </row>
    <row r="21" spans="1:32">
      <c r="A21" s="2962">
        <v>19</v>
      </c>
      <c r="B21" s="2961" t="s">
        <v>3328</v>
      </c>
      <c r="C21" s="2976" t="s">
        <v>3310</v>
      </c>
      <c r="D21" s="2962">
        <v>31335</v>
      </c>
      <c r="E21" s="2962">
        <f>D21-F21-G21-H21-I21</f>
        <v>21300.660000000003</v>
      </c>
      <c r="F21" s="2962">
        <v>2943.74</v>
      </c>
      <c r="G21" s="2962">
        <v>0</v>
      </c>
      <c r="H21" s="2962">
        <v>0</v>
      </c>
      <c r="I21" s="2962">
        <v>7090.6</v>
      </c>
      <c r="K21" s="3002"/>
      <c r="L21" s="3001"/>
      <c r="M21" s="3006"/>
      <c r="N21" s="3008"/>
      <c r="O21" s="3008"/>
      <c r="Q21" s="3000"/>
      <c r="R21" s="3000"/>
      <c r="S21" s="3000"/>
      <c r="T21" s="3000"/>
      <c r="U21" s="3000"/>
      <c r="V21" s="3003"/>
      <c r="W21" s="3005" t="s">
        <v>3310</v>
      </c>
      <c r="X21" s="3000"/>
      <c r="Y21" s="3000">
        <v>0</v>
      </c>
      <c r="Z21" s="3000"/>
      <c r="AA21" s="3000">
        <f>E21</f>
        <v>21300.660000000003</v>
      </c>
      <c r="AB21" s="3000"/>
      <c r="AC21" s="3000"/>
      <c r="AD21" s="3000"/>
      <c r="AE21" s="3000"/>
      <c r="AF21" s="2975">
        <f t="shared" si="2"/>
        <v>21300.660000000003</v>
      </c>
    </row>
    <row r="22" spans="1:32">
      <c r="A22" s="2962">
        <v>20</v>
      </c>
      <c r="B22" s="2961" t="s">
        <v>3325</v>
      </c>
      <c r="C22" s="2961" t="s">
        <v>3311</v>
      </c>
      <c r="D22" s="2962">
        <v>29463.33</v>
      </c>
      <c r="E22" s="2962">
        <f t="shared" si="1"/>
        <v>26969.7</v>
      </c>
      <c r="F22" s="2962">
        <v>2493.63</v>
      </c>
      <c r="G22" s="2962">
        <v>0</v>
      </c>
      <c r="H22" s="2962">
        <v>0</v>
      </c>
      <c r="I22" s="2962">
        <v>0</v>
      </c>
      <c r="K22" s="3002"/>
      <c r="L22" s="3001"/>
      <c r="M22" s="3006"/>
      <c r="N22" s="3008"/>
      <c r="O22" s="3008"/>
      <c r="Q22" s="3000"/>
      <c r="R22" s="3000"/>
      <c r="S22" s="3000"/>
      <c r="T22" s="3000"/>
      <c r="U22" s="3000"/>
      <c r="V22" s="3003"/>
      <c r="W22" s="3005" t="s">
        <v>3311</v>
      </c>
      <c r="X22" s="3000"/>
      <c r="Y22" s="3000">
        <v>0</v>
      </c>
      <c r="Z22" s="3000"/>
      <c r="AA22" s="3000">
        <f>E22</f>
        <v>26969.7</v>
      </c>
      <c r="AB22" s="3000"/>
      <c r="AC22" s="3000"/>
      <c r="AD22" s="3000"/>
      <c r="AE22" s="3000"/>
      <c r="AF22" s="2975">
        <f t="shared" si="2"/>
        <v>26969.7</v>
      </c>
    </row>
    <row r="23" spans="1:32">
      <c r="A23" s="2962">
        <v>21</v>
      </c>
      <c r="B23" s="2961" t="s">
        <v>3330</v>
      </c>
      <c r="C23" s="2977" t="s">
        <v>3329</v>
      </c>
      <c r="D23" s="2962">
        <v>3392.12</v>
      </c>
      <c r="E23" s="2962">
        <v>0</v>
      </c>
      <c r="F23" s="2962">
        <v>0</v>
      </c>
      <c r="G23" s="2962">
        <v>0</v>
      </c>
      <c r="H23" s="2962">
        <v>38.28</v>
      </c>
      <c r="I23" s="2962">
        <f>D23-H23</f>
        <v>3353.8399999999997</v>
      </c>
      <c r="K23" s="3002">
        <v>3416.18</v>
      </c>
      <c r="L23" s="3001"/>
      <c r="M23" s="3006">
        <v>3416.18</v>
      </c>
      <c r="N23" s="3008"/>
      <c r="O23" s="3008"/>
      <c r="Q23" s="3000">
        <f>1335.37+1121.3+922.61</f>
        <v>3379.28</v>
      </c>
      <c r="R23" s="3000"/>
      <c r="S23" s="3000"/>
      <c r="T23" s="3000"/>
      <c r="U23" s="3000"/>
      <c r="V23" s="3003"/>
      <c r="W23" s="3010" t="s">
        <v>3329</v>
      </c>
      <c r="X23" s="3000"/>
      <c r="Y23" s="3000"/>
      <c r="Z23" s="3000"/>
      <c r="AA23" s="3000"/>
      <c r="AB23" s="3000">
        <f>Q23</f>
        <v>3379.28</v>
      </c>
      <c r="AC23" s="3000"/>
      <c r="AD23" s="3000"/>
      <c r="AE23" s="3000"/>
      <c r="AF23" s="2975">
        <f t="shared" si="2"/>
        <v>3379.28</v>
      </c>
    </row>
    <row r="24" spans="1:32">
      <c r="A24" s="2962">
        <v>22</v>
      </c>
      <c r="B24" s="2961" t="s">
        <v>3331</v>
      </c>
      <c r="C24" s="2961" t="s">
        <v>3332</v>
      </c>
      <c r="D24" s="2962">
        <v>6964.5</v>
      </c>
      <c r="W24" s="3005" t="s">
        <v>3332</v>
      </c>
      <c r="X24" s="3000"/>
      <c r="Y24" s="3000"/>
      <c r="Z24" s="3000"/>
      <c r="AA24" s="3000"/>
      <c r="AB24" s="3000"/>
      <c r="AC24" s="3000">
        <f>D24</f>
        <v>6964.5</v>
      </c>
      <c r="AD24" s="3000"/>
      <c r="AE24" s="3000"/>
      <c r="AF24" s="2975">
        <f t="shared" si="2"/>
        <v>6964.5</v>
      </c>
    </row>
    <row r="25" spans="1:32">
      <c r="A25" s="2962">
        <v>23</v>
      </c>
      <c r="B25" s="2961" t="s">
        <v>3333</v>
      </c>
      <c r="C25" s="2961" t="s">
        <v>3335</v>
      </c>
      <c r="D25" s="2962">
        <v>36265.440000000002</v>
      </c>
      <c r="L25" s="3007"/>
      <c r="M25" s="2951"/>
      <c r="N25" s="2951"/>
      <c r="O25" s="2951"/>
      <c r="W25" s="3005" t="s">
        <v>3335</v>
      </c>
      <c r="X25" s="3000"/>
      <c r="Y25" s="3000"/>
      <c r="Z25" s="3000"/>
      <c r="AA25" s="3000"/>
      <c r="AB25" s="3000"/>
      <c r="AC25" s="3000">
        <f>D25</f>
        <v>36265.440000000002</v>
      </c>
      <c r="AD25" s="3000"/>
      <c r="AE25" s="3000"/>
      <c r="AF25" s="2975">
        <f t="shared" si="2"/>
        <v>36265.440000000002</v>
      </c>
    </row>
    <row r="26" spans="1:32">
      <c r="A26" s="2962">
        <v>24</v>
      </c>
      <c r="B26" s="2961" t="s">
        <v>3334</v>
      </c>
      <c r="C26" s="2961" t="s">
        <v>3336</v>
      </c>
      <c r="D26" s="2962">
        <v>3873.74</v>
      </c>
      <c r="W26" s="3005" t="s">
        <v>3336</v>
      </c>
      <c r="X26" s="3000"/>
      <c r="Y26" s="3000"/>
      <c r="Z26" s="3000"/>
      <c r="AA26" s="3000"/>
      <c r="AB26" s="3000"/>
      <c r="AC26" s="3000">
        <f>D26</f>
        <v>3873.74</v>
      </c>
      <c r="AD26" s="3000"/>
      <c r="AE26" s="3000"/>
      <c r="AF26" s="2975">
        <f t="shared" si="2"/>
        <v>3873.74</v>
      </c>
    </row>
    <row r="27" spans="1:32">
      <c r="A27" s="2962">
        <v>25</v>
      </c>
      <c r="B27" s="2961" t="s">
        <v>3337</v>
      </c>
      <c r="C27" s="2977" t="s">
        <v>3338</v>
      </c>
      <c r="D27" s="2962">
        <v>19678.349999999999</v>
      </c>
      <c r="K27">
        <f>SUM(L3:L18)+E19+E20+E21+E22</f>
        <v>354952.92</v>
      </c>
      <c r="W27" s="3010" t="s">
        <v>3338</v>
      </c>
      <c r="X27" s="3000"/>
      <c r="Y27" s="3000"/>
      <c r="Z27" s="3000"/>
      <c r="AA27" s="3000"/>
      <c r="AB27" s="3000"/>
      <c r="AC27" s="3000"/>
      <c r="AD27" s="3000">
        <f>D27</f>
        <v>19678.349999999999</v>
      </c>
      <c r="AE27" s="3000"/>
      <c r="AF27" s="2975">
        <f t="shared" si="2"/>
        <v>19678.349999999999</v>
      </c>
    </row>
    <row r="28" spans="1:32">
      <c r="A28" s="2962">
        <v>26</v>
      </c>
      <c r="B28" s="2961" t="s">
        <v>3339</v>
      </c>
      <c r="C28" s="2961" t="s">
        <v>3340</v>
      </c>
      <c r="D28" s="2962">
        <v>2574.6999999999998</v>
      </c>
      <c r="K28">
        <f>SUM(L3:L18)</f>
        <v>267782.19</v>
      </c>
      <c r="L28" s="3014">
        <v>0.9</v>
      </c>
      <c r="M28">
        <f>(K28*L28+K29*L29)/K27</f>
        <v>0.69125366682432143</v>
      </c>
      <c r="W28" s="3005" t="s">
        <v>3340</v>
      </c>
      <c r="X28" s="3000"/>
      <c r="Y28" s="3000"/>
      <c r="Z28" s="3000"/>
      <c r="AA28" s="3000"/>
      <c r="AB28" s="3000"/>
      <c r="AC28" s="3000"/>
      <c r="AD28" s="3000"/>
      <c r="AE28" s="3000">
        <f>D28</f>
        <v>2574.6999999999998</v>
      </c>
      <c r="AF28" s="2975">
        <f t="shared" si="2"/>
        <v>2574.6999999999998</v>
      </c>
    </row>
    <row r="29" spans="1:32">
      <c r="A29" s="3354" t="s">
        <v>3341</v>
      </c>
      <c r="B29" s="3356"/>
      <c r="C29" s="3356"/>
      <c r="D29" s="2962">
        <f>SUM(D3:D28)</f>
        <v>467678.68</v>
      </c>
      <c r="K29">
        <f>E19+E20+E21+E22</f>
        <v>87170.73</v>
      </c>
      <c r="L29" s="3014">
        <v>0.05</v>
      </c>
      <c r="W29" s="2999" t="s">
        <v>3381</v>
      </c>
      <c r="X29" s="3000"/>
      <c r="Y29" s="3000">
        <f>SUM(Y3:Y28)</f>
        <v>261088.71000000002</v>
      </c>
      <c r="Z29" s="3000">
        <f>SUM(Z3:Z28)</f>
        <v>2736.4</v>
      </c>
      <c r="AA29" s="3000">
        <f>SUM(AA3:AA28)</f>
        <v>93864.209999999992</v>
      </c>
      <c r="AB29" s="3000">
        <f>SUM(AB3:AB28)</f>
        <v>14691.250000000002</v>
      </c>
      <c r="AC29" s="3000">
        <f>SUM(AC3:AC28)</f>
        <v>47103.68</v>
      </c>
      <c r="AD29" s="3000">
        <f>AD27</f>
        <v>19678.349999999999</v>
      </c>
      <c r="AE29" s="3000">
        <f>AE28</f>
        <v>2574.6999999999998</v>
      </c>
    </row>
    <row r="30" spans="1:32">
      <c r="A30" s="3354" t="s">
        <v>3342</v>
      </c>
      <c r="B30" s="3354"/>
      <c r="C30" s="3354"/>
      <c r="D30" s="2962">
        <f>SUM(E3:E22)+I23</f>
        <v>359784.53</v>
      </c>
    </row>
    <row r="31" spans="1:32">
      <c r="W31" s="3015" t="s">
        <v>3457</v>
      </c>
      <c r="X31" s="3016"/>
      <c r="Y31" s="3016">
        <f>63408.37+61995.08</f>
        <v>125403.45000000001</v>
      </c>
      <c r="Z31" s="3016"/>
      <c r="AA31" s="3016"/>
    </row>
    <row r="32" spans="1:32">
      <c r="C32" s="2978"/>
      <c r="D32" s="2963" t="s">
        <v>3356</v>
      </c>
      <c r="W32" s="3015" t="s">
        <v>3458</v>
      </c>
      <c r="X32" s="3016"/>
      <c r="Y32" s="3016">
        <f>SUM(K3:K18)+E19+E20+E21+E22+I20+I21+D28+AB23</f>
        <v>374955.26999999996</v>
      </c>
      <c r="Z32" s="3016"/>
      <c r="AA32" s="3016"/>
    </row>
    <row r="33" spans="3:27">
      <c r="C33" s="2979"/>
      <c r="D33" s="2963" t="s">
        <v>3357</v>
      </c>
      <c r="W33" s="3015" t="s">
        <v>3459</v>
      </c>
      <c r="X33" s="3016"/>
      <c r="Y33" s="3015" t="s">
        <v>3460</v>
      </c>
      <c r="Z33" s="3016">
        <f>AA10+AB11+AA13+AA15+AB23</f>
        <v>5274.8599999999988</v>
      </c>
      <c r="AA33" s="3356">
        <f>Z33+Z34</f>
        <v>158233.84</v>
      </c>
    </row>
    <row r="34" spans="3:27">
      <c r="W34" s="3016"/>
      <c r="X34" s="3016"/>
      <c r="Y34" s="3015" t="s">
        <v>3461</v>
      </c>
      <c r="Z34" s="3016">
        <f>AA8+AA12+SUM(AA16:AA22)+AB19+AB20+AC24+AC25+AC26+AE28</f>
        <v>152958.98000000001</v>
      </c>
      <c r="AA34" s="3356"/>
    </row>
    <row r="35" spans="3:27">
      <c r="W35" s="3015" t="s">
        <v>3462</v>
      </c>
      <c r="X35" s="3016"/>
      <c r="Y35" s="3015" t="s">
        <v>3463</v>
      </c>
      <c r="Z35" s="3016">
        <f>ROUND(Z33/Y32*Y31,2)</f>
        <v>1764.17</v>
      </c>
      <c r="AA35" s="3356">
        <f>Z35+Z36</f>
        <v>52921.159999999996</v>
      </c>
    </row>
    <row r="36" spans="3:27">
      <c r="W36" s="3016"/>
      <c r="X36" s="3016"/>
      <c r="Y36" s="3015" t="s">
        <v>3461</v>
      </c>
      <c r="Z36" s="3016">
        <f>ROUND(Z34/Y32*Y31,2)</f>
        <v>51156.99</v>
      </c>
      <c r="AA36" s="3356"/>
    </row>
  </sheetData>
  <mergeCells count="11">
    <mergeCell ref="AA33:AA34"/>
    <mergeCell ref="AA35:AA36"/>
    <mergeCell ref="Y1:Z1"/>
    <mergeCell ref="AA1:AE1"/>
    <mergeCell ref="K1:M1"/>
    <mergeCell ref="A30:C30"/>
    <mergeCell ref="D1:D2"/>
    <mergeCell ref="C1:C2"/>
    <mergeCell ref="A1:A2"/>
    <mergeCell ref="B1:B2"/>
    <mergeCell ref="A29:C29"/>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2" t="str">
        <f>IF(项目基本情况!B9="房地产市场价值","估价结果一览表","结果表-2")</f>
        <v>结果表-2</v>
      </c>
      <c r="B1" s="3042"/>
      <c r="C1" s="3042"/>
      <c r="D1" s="3042"/>
      <c r="E1" s="3042"/>
      <c r="F1" s="3042"/>
      <c r="G1" s="3042"/>
      <c r="H1" s="3042"/>
      <c r="I1" s="3042"/>
    </row>
    <row r="2" spans="1:9" ht="30" customHeight="1" thickTop="1">
      <c r="A2" s="3043" t="s">
        <v>1641</v>
      </c>
      <c r="B2" s="3043" t="s">
        <v>1642</v>
      </c>
      <c r="C2" s="3043" t="s">
        <v>1643</v>
      </c>
      <c r="D2" s="3043" t="str">
        <f>'结果表（住宅）'!D116</f>
        <v>出让国有建设用地使用权价值</v>
      </c>
      <c r="E2" s="3043"/>
      <c r="F2" s="3043" t="str">
        <f>'结果表（住宅）'!F116</f>
        <v>在建建筑物价值</v>
      </c>
      <c r="G2" s="3043"/>
      <c r="H2" s="3043" t="str">
        <f>IF(项目基本情况!B9="房地产市场价值","房地产市场价值","房地产价值")</f>
        <v>房地产价值</v>
      </c>
      <c r="I2" s="3043"/>
    </row>
    <row r="3" spans="1:9" ht="15">
      <c r="A3" s="3037"/>
      <c r="B3" s="3037"/>
      <c r="C3" s="3037"/>
      <c r="D3" s="1047" t="s">
        <v>1638</v>
      </c>
      <c r="E3" s="1047" t="s">
        <v>1644</v>
      </c>
      <c r="F3" s="1047" t="s">
        <v>1638</v>
      </c>
      <c r="G3" s="1047" t="s">
        <v>1639</v>
      </c>
      <c r="H3" s="1047" t="s">
        <v>1638</v>
      </c>
      <c r="I3" s="1047" t="s">
        <v>1639</v>
      </c>
    </row>
    <row r="4" spans="1:9" ht="30">
      <c r="A4" s="1976" t="str">
        <f>项目基本情况!S2</f>
        <v>河南省开封市龙亭区晋安路以北，三大街以西房地产</v>
      </c>
      <c r="B4" s="1047">
        <f>项目基本情况!C17</f>
        <v>5274.8599999999988</v>
      </c>
      <c r="C4" s="1047">
        <f>项目基本情况!C18</f>
        <v>1764.17</v>
      </c>
      <c r="D4" s="1047" t="e">
        <f ca="1">'结果表（住宅）'!D118</f>
        <v>#REF!</v>
      </c>
      <c r="E4" s="1047" t="e">
        <f ca="1">'结果表（住宅）'!E118</f>
        <v>#REF!</v>
      </c>
      <c r="F4" s="1047" t="e">
        <f ca="1">'结果表（住宅）'!F118</f>
        <v>#REF!</v>
      </c>
      <c r="G4" s="1047" t="e">
        <f ca="1">'结果表（住宅）'!G118</f>
        <v>#REF!</v>
      </c>
      <c r="H4" s="1047">
        <f ca="1">'结果表（住宅）'!H118</f>
        <v>1770</v>
      </c>
      <c r="I4" s="1047">
        <f ca="1">'结果表（住宅）'!I118</f>
        <v>3356</v>
      </c>
    </row>
    <row r="5" spans="1:9" ht="30" customHeight="1">
      <c r="A5" s="3037" t="s">
        <v>1640</v>
      </c>
      <c r="B5" s="3037"/>
      <c r="C5" s="3037"/>
      <c r="D5" s="3038" t="e">
        <f ca="1">'结果表（住宅）'!D119</f>
        <v>#REF!</v>
      </c>
      <c r="E5" s="3038"/>
      <c r="F5" s="3038" t="e">
        <f ca="1">'结果表（住宅）'!F119</f>
        <v>#REF!</v>
      </c>
      <c r="G5" s="3038"/>
      <c r="H5" s="3038" t="str">
        <f ca="1">'结果表（住宅）'!H119</f>
        <v>壹仟柒佰柒拾万元整</v>
      </c>
      <c r="I5" s="3038"/>
    </row>
    <row r="6" spans="1:9" ht="15.75">
      <c r="A6" s="3036" t="str">
        <f>'结果表（住宅）'!A120</f>
        <v>估价师知悉的法定优先受偿款</v>
      </c>
      <c r="B6" s="3036"/>
      <c r="C6" s="3036"/>
      <c r="D6" s="3036">
        <f>'结果表（住宅）'!D120</f>
        <v>0</v>
      </c>
      <c r="E6" s="3036"/>
      <c r="F6" s="3036"/>
      <c r="G6" s="3036"/>
      <c r="H6" s="3036"/>
      <c r="I6" s="3036"/>
    </row>
    <row r="7" spans="1:9" ht="15">
      <c r="A7" s="3037" t="s">
        <v>1640</v>
      </c>
      <c r="B7" s="3037"/>
      <c r="C7" s="3037"/>
      <c r="D7" s="3039" t="str">
        <f>'结果表（住宅）'!D121</f>
        <v>零元整</v>
      </c>
      <c r="E7" s="3040"/>
      <c r="F7" s="3040"/>
      <c r="G7" s="3040"/>
      <c r="H7" s="3040"/>
      <c r="I7" s="3041"/>
    </row>
    <row r="8" spans="1:9" ht="15.75">
      <c r="A8" s="3036" t="str">
        <f>'结果表（住宅）'!A122</f>
        <v>房地产抵押价值</v>
      </c>
      <c r="B8" s="3036"/>
      <c r="C8" s="3036"/>
      <c r="D8" s="3036">
        <f ca="1">'结果表（住宅）'!D122</f>
        <v>1770</v>
      </c>
      <c r="E8" s="3036"/>
      <c r="F8" s="3036"/>
      <c r="G8" s="3036"/>
      <c r="H8" s="3036"/>
      <c r="I8" s="3036"/>
    </row>
    <row r="9" spans="1:9" ht="15">
      <c r="A9" s="3037" t="s">
        <v>1640</v>
      </c>
      <c r="B9" s="3037"/>
      <c r="C9" s="3037"/>
      <c r="D9" s="3038" t="str">
        <f ca="1">'结果表（住宅）'!D123</f>
        <v>壹仟柒佰柒拾万元整</v>
      </c>
      <c r="E9" s="3038"/>
      <c r="F9" s="3038"/>
      <c r="G9" s="3038"/>
      <c r="H9" s="3038"/>
      <c r="I9" s="3038"/>
    </row>
    <row r="10" spans="1:9" ht="15.75">
      <c r="A10" s="3036" t="str">
        <f>'结果表（住宅）'!A124</f>
        <v/>
      </c>
      <c r="B10" s="3036"/>
      <c r="C10" s="3036"/>
      <c r="D10" s="3036" t="str">
        <f>'结果表（住宅）'!D124</f>
        <v>——</v>
      </c>
      <c r="E10" s="3036"/>
      <c r="F10" s="3036"/>
      <c r="G10" s="3036"/>
      <c r="H10" s="3036"/>
      <c r="I10" s="3036"/>
    </row>
    <row r="11" spans="1:9" ht="15">
      <c r="A11" s="3037" t="s">
        <v>1640</v>
      </c>
      <c r="B11" s="3037"/>
      <c r="C11" s="3037"/>
      <c r="D11" s="3038" t="e">
        <f>'结果表（住宅）'!D125</f>
        <v>#VALUE!</v>
      </c>
      <c r="E11" s="3038"/>
      <c r="F11" s="3038"/>
      <c r="G11" s="3038"/>
      <c r="H11" s="3038"/>
      <c r="I11" s="3038"/>
    </row>
    <row r="12" spans="1:9" ht="15.75">
      <c r="A12" s="3036" t="str">
        <f>'结果表（住宅）'!A126</f>
        <v/>
      </c>
      <c r="B12" s="3036"/>
      <c r="C12" s="3036"/>
      <c r="D12" s="3036" t="str">
        <f>'结果表（住宅）'!D126</f>
        <v>——</v>
      </c>
      <c r="E12" s="3036"/>
      <c r="F12" s="3036"/>
      <c r="G12" s="3036"/>
      <c r="H12" s="3036"/>
      <c r="I12" s="3036"/>
    </row>
    <row r="13" spans="1:9" ht="15.75" thickBot="1">
      <c r="A13" s="3033" t="s">
        <v>1640</v>
      </c>
      <c r="B13" s="3033"/>
      <c r="C13" s="3033"/>
      <c r="D13" s="3034" t="e">
        <f>'结果表（住宅）'!D127</f>
        <v>#VALUE!</v>
      </c>
      <c r="E13" s="3034"/>
      <c r="F13" s="3034"/>
      <c r="G13" s="3034"/>
      <c r="H13" s="3034"/>
      <c r="I13" s="3034"/>
    </row>
    <row r="14" spans="1:9" ht="15" thickTop="1">
      <c r="A14" s="3035" t="s">
        <v>1645</v>
      </c>
      <c r="B14" s="3035"/>
      <c r="C14" s="3035"/>
      <c r="D14" s="3035"/>
      <c r="E14" s="3035"/>
      <c r="F14" s="3035"/>
      <c r="G14" s="3035"/>
      <c r="H14" s="3035"/>
      <c r="I14" s="303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0" t="s">
        <v>1662</v>
      </c>
      <c r="B1" s="3050"/>
      <c r="C1" s="3050"/>
      <c r="D1" s="3050"/>
    </row>
    <row r="2" spans="1:4" ht="18">
      <c r="A2" s="3051" t="s">
        <v>1646</v>
      </c>
      <c r="B2" s="3051"/>
      <c r="C2" s="3051"/>
      <c r="D2" s="3051"/>
    </row>
    <row r="3" spans="1:4" ht="18.75">
      <c r="A3" s="1980" t="s">
        <v>1647</v>
      </c>
      <c r="B3" s="1980" t="s">
        <v>1648</v>
      </c>
      <c r="C3" s="1980" t="s">
        <v>1649</v>
      </c>
      <c r="D3" s="1980" t="s">
        <v>1650</v>
      </c>
    </row>
    <row r="4" spans="1:4" ht="56.25" customHeight="1">
      <c r="A4" s="1981" t="str">
        <f>项目基本情况!B4</f>
        <v>郑燚</v>
      </c>
      <c r="B4" s="1982">
        <f ca="1">项目基本情况!C4</f>
        <v>1120070131</v>
      </c>
      <c r="C4" s="1983"/>
      <c r="D4" s="1984" t="s">
        <v>1651</v>
      </c>
    </row>
    <row r="5" spans="1:4" ht="56.25" customHeight="1">
      <c r="A5" s="1981" t="str">
        <f>项目基本情况!D4</f>
        <v>王鹏</v>
      </c>
      <c r="B5" s="1982">
        <f ca="1">项目基本情况!E4</f>
        <v>1120050019</v>
      </c>
      <c r="C5" s="1985"/>
      <c r="D5" s="1984" t="s">
        <v>1651</v>
      </c>
    </row>
    <row r="6" spans="1:4" ht="18">
      <c r="A6" s="3051" t="s">
        <v>1652</v>
      </c>
      <c r="B6" s="3051"/>
      <c r="C6" s="3051"/>
      <c r="D6" s="305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2" t="s">
        <v>1655</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4" t="str">
        <f>IF(项目基本情况!B8="抵押","4.本次评估估价师所知悉的法定优先受偿款情况说明如下：","——")</f>
        <v>4.本次评估估价师所知悉的法定优先受偿款情况说明如下：</v>
      </c>
      <c r="B14" s="3049"/>
      <c r="C14" s="3049"/>
      <c r="D14" s="3049"/>
    </row>
    <row r="15" spans="1:4" ht="42" customHeight="1">
      <c r="A15" s="3044" t="str">
        <f>IF(项目基本情况!B8="抵押","（1）"&amp;CONCATENATE(项目基本情况!L20,项目基本情况!L21,项目基本情况!L22),"——")</f>
        <v>（1）根据估价对象《不动产权证书》复印件、，截至价值时点，估价对象抵押权未见登记。</v>
      </c>
      <c r="B15" s="3044"/>
      <c r="C15" s="3044"/>
      <c r="D15" s="3044"/>
    </row>
    <row r="16" spans="1:4" ht="30" customHeight="1">
      <c r="A16" s="3046" t="s">
        <v>1656</v>
      </c>
      <c r="B16" s="3046"/>
      <c r="C16" s="3046"/>
      <c r="D16" s="3046"/>
    </row>
    <row r="17" spans="1:4" ht="144" customHeight="1">
      <c r="A17" s="3046" t="s">
        <v>1657</v>
      </c>
      <c r="B17" s="3046"/>
      <c r="C17" s="3046"/>
      <c r="D17" s="3046"/>
    </row>
    <row r="18" spans="1:4" ht="15.75" customHeight="1">
      <c r="A18" s="3044" t="str">
        <f>IF(项目基本情况!B8="抵押",'结果表（住宅）'!K120,"——")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7"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7"/>
      <c r="C21" s="3047"/>
      <c r="D21" s="3047"/>
    </row>
    <row r="22" spans="1:4" ht="18.75" customHeight="1">
      <c r="A22" s="3048" t="s">
        <v>1658</v>
      </c>
      <c r="B22" s="3048"/>
      <c r="C22" s="3048"/>
      <c r="D22" s="304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45">
        <v>42551</v>
      </c>
      <c r="D31" s="30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58" t="s">
        <v>1669</v>
      </c>
      <c r="B15" s="3053" t="s">
        <v>136</v>
      </c>
      <c r="C15" s="3054"/>
    </row>
    <row r="16" spans="1:7" ht="13.5">
      <c r="A16" s="3059"/>
      <c r="B16" s="3053" t="s">
        <v>69</v>
      </c>
      <c r="C16" s="3054"/>
    </row>
    <row r="17" spans="1:3" ht="13.5">
      <c r="A17" s="3059"/>
      <c r="B17" s="3056" t="s">
        <v>1670</v>
      </c>
      <c r="C17" s="2003" t="s">
        <v>1669</v>
      </c>
    </row>
    <row r="18" spans="1:3" ht="13.5">
      <c r="A18" s="3059"/>
      <c r="B18" s="3056"/>
      <c r="C18" s="2003" t="s">
        <v>1671</v>
      </c>
    </row>
    <row r="19" spans="1:3" ht="13.5">
      <c r="A19" s="3059"/>
      <c r="B19" s="3056"/>
      <c r="C19" s="2003" t="s">
        <v>1672</v>
      </c>
    </row>
    <row r="20" spans="1:3" ht="13.5">
      <c r="A20" s="3060"/>
      <c r="B20" s="3055" t="s">
        <v>1673</v>
      </c>
      <c r="C20" s="3054"/>
    </row>
    <row r="21" spans="1:3" ht="13.5">
      <c r="A21" s="2004" t="s">
        <v>1674</v>
      </c>
      <c r="B21" s="2005"/>
      <c r="C21" s="2006"/>
    </row>
    <row r="22" spans="1:3" ht="13.5">
      <c r="A22" s="3057" t="s">
        <v>1675</v>
      </c>
      <c r="B22" s="3055" t="s">
        <v>1676</v>
      </c>
      <c r="C22" s="3054"/>
    </row>
    <row r="23" spans="1:3" ht="13.5">
      <c r="A23" s="3057"/>
      <c r="B23" s="3055" t="s">
        <v>1677</v>
      </c>
      <c r="C23" s="3054"/>
    </row>
    <row r="24" spans="1:3" ht="13.5">
      <c r="A24" s="3057"/>
      <c r="B24" s="3055" t="s">
        <v>1678</v>
      </c>
      <c r="C24" s="3054"/>
    </row>
    <row r="25" spans="1:3" ht="13.5">
      <c r="A25" s="3057"/>
      <c r="B25" s="3056" t="s">
        <v>1679</v>
      </c>
      <c r="C25" s="2003" t="s">
        <v>1680</v>
      </c>
    </row>
    <row r="26" spans="1:3" ht="13.5">
      <c r="A26" s="3057"/>
      <c r="B26" s="3056"/>
      <c r="C26" s="2003" t="s">
        <v>1681</v>
      </c>
    </row>
    <row r="27" spans="1:3" ht="13.5">
      <c r="A27" s="3057"/>
      <c r="B27" s="3056"/>
      <c r="C27" s="2003" t="s">
        <v>1682</v>
      </c>
    </row>
    <row r="28" spans="1:3" ht="13.5">
      <c r="A28" s="3057"/>
      <c r="B28" s="3056"/>
      <c r="C28" s="2003" t="s">
        <v>1683</v>
      </c>
    </row>
    <row r="29" spans="1:3" ht="13.5">
      <c r="A29" s="3057"/>
      <c r="B29" s="3056"/>
      <c r="C29" s="2003" t="s">
        <v>1684</v>
      </c>
    </row>
    <row r="30" spans="1:3" ht="13.5">
      <c r="A30" s="3057"/>
      <c r="B30" s="3056"/>
      <c r="C30" s="2003" t="s">
        <v>1685</v>
      </c>
    </row>
    <row r="31" spans="1:3" ht="13.5">
      <c r="A31" s="3057"/>
      <c r="B31" s="3056"/>
      <c r="C31" s="2003" t="s">
        <v>1686</v>
      </c>
    </row>
    <row r="32" spans="1:3" ht="13.5">
      <c r="A32" s="3057"/>
      <c r="B32" s="3056"/>
      <c r="C32" s="2003" t="s">
        <v>1687</v>
      </c>
    </row>
    <row r="33" spans="1:3" ht="13.5">
      <c r="A33" s="3057"/>
      <c r="B33" s="305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43321</v>
      </c>
      <c r="C2" s="1022" t="s">
        <v>826</v>
      </c>
      <c r="D2" s="1022"/>
    </row>
    <row r="3" spans="1:6" ht="24" customHeight="1">
      <c r="A3" s="1023" t="s">
        <v>827</v>
      </c>
      <c r="B3" s="1024" t="s">
        <v>828</v>
      </c>
      <c r="C3" s="2344" t="s">
        <v>829</v>
      </c>
      <c r="D3" s="2347" t="s">
        <v>830</v>
      </c>
      <c r="E3" s="1025" t="s">
        <v>831</v>
      </c>
      <c r="F3" s="1024" t="s">
        <v>829</v>
      </c>
    </row>
    <row r="4" spans="1:6" ht="24" customHeight="1">
      <c r="A4" s="1705" t="s">
        <v>832</v>
      </c>
      <c r="B4" s="1025">
        <f ca="1">IF(C4&lt;B2,"已过期",1119970066)</f>
        <v>1119970066</v>
      </c>
      <c r="C4" s="2345">
        <v>43849</v>
      </c>
      <c r="D4" s="2348" t="s">
        <v>832</v>
      </c>
      <c r="E4" s="1025">
        <f ca="1">IF(F4&lt;B2,"已过期",96010014)</f>
        <v>96010014</v>
      </c>
      <c r="F4" s="1033">
        <v>47118</v>
      </c>
    </row>
    <row r="5" spans="1:6" ht="24" customHeight="1">
      <c r="A5" s="1705" t="s">
        <v>833</v>
      </c>
      <c r="B5" s="1025">
        <f ca="1">IF(C5&lt;B2,"已过期",1119970074)</f>
        <v>1119970074</v>
      </c>
      <c r="C5" s="2345">
        <v>43849</v>
      </c>
      <c r="D5" s="2348" t="s">
        <v>833</v>
      </c>
      <c r="E5" s="1025">
        <f ca="1">IF(F5&lt;B2,"已过期",2002110027)</f>
        <v>2002110027</v>
      </c>
      <c r="F5" s="1033">
        <v>46752</v>
      </c>
    </row>
    <row r="6" spans="1:6" ht="24" customHeight="1">
      <c r="A6" s="1705" t="s">
        <v>834</v>
      </c>
      <c r="B6" s="1025">
        <f ca="1">IF(C6&lt;B2,"已过期",1119970111)</f>
        <v>1119970111</v>
      </c>
      <c r="C6" s="2345">
        <v>43849</v>
      </c>
      <c r="D6" s="2348" t="s">
        <v>834</v>
      </c>
      <c r="E6" s="1025">
        <f ca="1">IF(F6&lt;B2,"已过期",94010078)</f>
        <v>94010078</v>
      </c>
      <c r="F6" s="1033">
        <v>46387</v>
      </c>
    </row>
    <row r="7" spans="1:6" ht="24" customHeight="1">
      <c r="A7" s="1705" t="s">
        <v>835</v>
      </c>
      <c r="B7" s="1025">
        <f ca="1">IF(C7&lt;B2,"已过期",1120050019)</f>
        <v>1120050019</v>
      </c>
      <c r="C7" s="2345">
        <v>43359</v>
      </c>
      <c r="D7" s="2348" t="s">
        <v>835</v>
      </c>
      <c r="E7" s="1025">
        <f ca="1">IF(F7&lt;B2,"已过期",2002110030)</f>
        <v>2002110030</v>
      </c>
      <c r="F7" s="1033">
        <v>46387</v>
      </c>
    </row>
    <row r="8" spans="1:6" ht="24" customHeight="1">
      <c r="A8" s="1705" t="s">
        <v>836</v>
      </c>
      <c r="B8" s="1025">
        <f ca="1">IF(C8&lt;B2,"已过期",1120000080)</f>
        <v>1120000080</v>
      </c>
      <c r="C8" s="2345">
        <v>43849</v>
      </c>
      <c r="D8" s="2348" t="s">
        <v>836</v>
      </c>
      <c r="E8" s="1025">
        <f ca="1">IF(F8&lt;B2,"已过期",2000110082)</f>
        <v>2000110082</v>
      </c>
      <c r="F8" s="1033">
        <v>46387</v>
      </c>
    </row>
    <row r="9" spans="1:6" ht="24" customHeight="1">
      <c r="A9" s="1705" t="s">
        <v>837</v>
      </c>
      <c r="B9" s="1025">
        <f ca="1">IF(C9&lt;B2,"已过期",1419970001)</f>
        <v>1419970001</v>
      </c>
      <c r="C9" s="2345">
        <v>43867</v>
      </c>
      <c r="D9" s="2348" t="s">
        <v>837</v>
      </c>
      <c r="E9" s="1025">
        <f ca="1">IF(F9&lt;B2,"已过期",2002110125)</f>
        <v>2002110125</v>
      </c>
      <c r="F9" s="1033">
        <v>47118</v>
      </c>
    </row>
    <row r="10" spans="1:6" ht="24" customHeight="1">
      <c r="A10" s="1705" t="s">
        <v>838</v>
      </c>
      <c r="B10" s="1025">
        <f ca="1">IF(C10&lt;B2,"已过期",1120060040)</f>
        <v>1120060040</v>
      </c>
      <c r="C10" s="2345">
        <v>43483</v>
      </c>
      <c r="D10" s="2348" t="s">
        <v>838</v>
      </c>
      <c r="E10" s="1025">
        <f ca="1">IF(F10&lt;B2,"已过期",2004110096)</f>
        <v>2004110096</v>
      </c>
      <c r="F10" s="1033">
        <v>47118</v>
      </c>
    </row>
    <row r="11" spans="1:6" ht="24" customHeight="1">
      <c r="A11" s="1705" t="s">
        <v>839</v>
      </c>
      <c r="B11" s="1025">
        <f ca="1">IF(C11&lt;B2,"已过期",1120100036)</f>
        <v>1120100036</v>
      </c>
      <c r="C11" s="2345">
        <v>43622</v>
      </c>
      <c r="D11" s="2348" t="s">
        <v>839</v>
      </c>
      <c r="E11" s="1025">
        <f ca="1">IF(F11&lt;B2,"已过期",2010110070)</f>
        <v>2010110070</v>
      </c>
      <c r="F11" s="1033">
        <v>47907</v>
      </c>
    </row>
    <row r="12" spans="1:6" ht="24" customHeight="1">
      <c r="A12" s="1705" t="s">
        <v>3035</v>
      </c>
      <c r="B12" s="1025">
        <v>1120110054</v>
      </c>
      <c r="C12" s="2936">
        <v>43937</v>
      </c>
      <c r="D12" s="1705" t="s">
        <v>3035</v>
      </c>
      <c r="E12" s="1025">
        <v>2008110060</v>
      </c>
      <c r="F12" s="1033">
        <v>47177</v>
      </c>
    </row>
    <row r="13" spans="1:6" ht="24" customHeight="1">
      <c r="A13" s="1705" t="s">
        <v>840</v>
      </c>
      <c r="B13" s="1025">
        <f ca="1">IF(C13&lt;B2,"已过期",1120070131)</f>
        <v>1120070131</v>
      </c>
      <c r="C13" s="2345">
        <v>43814</v>
      </c>
      <c r="D13" s="2348" t="s">
        <v>840</v>
      </c>
      <c r="E13" s="1025">
        <v>2014110011</v>
      </c>
      <c r="F13" s="1033">
        <v>49302</v>
      </c>
    </row>
    <row r="14" spans="1:6" ht="24" customHeight="1">
      <c r="A14" s="1705" t="s">
        <v>841</v>
      </c>
      <c r="B14" s="1025">
        <f ca="1">IF(C14&lt;B2,"已过期",1120130020)</f>
        <v>1120130020</v>
      </c>
      <c r="C14" s="2345">
        <v>43622</v>
      </c>
      <c r="D14" s="2348"/>
      <c r="E14" s="1025"/>
      <c r="F14" s="1025"/>
    </row>
    <row r="15" spans="1:6" ht="24" customHeight="1">
      <c r="A15" s="1706" t="s">
        <v>1149</v>
      </c>
      <c r="B15" s="1025">
        <v>1120070085</v>
      </c>
      <c r="C15" s="2345">
        <v>43814</v>
      </c>
      <c r="D15" s="2349" t="s">
        <v>1149</v>
      </c>
      <c r="E15" s="1025">
        <v>2004110128</v>
      </c>
      <c r="F15" s="1026">
        <v>47118</v>
      </c>
    </row>
    <row r="16" spans="1:6" ht="24" customHeight="1">
      <c r="A16" s="1705" t="s">
        <v>842</v>
      </c>
      <c r="B16" s="1025">
        <f ca="1">IF(C16&lt;B2,"已过期",1120140022)</f>
        <v>1120140022</v>
      </c>
      <c r="C16" s="2345">
        <v>44029</v>
      </c>
      <c r="D16" s="2348" t="s">
        <v>842</v>
      </c>
      <c r="E16" s="1025">
        <f ca="1">IF(F16&lt;B2,"已过期",2008110059)</f>
        <v>2008110059</v>
      </c>
      <c r="F16" s="1033">
        <v>47177</v>
      </c>
    </row>
    <row r="17" spans="1:7" ht="24" customHeight="1">
      <c r="A17" s="1705"/>
      <c r="B17" s="1025"/>
      <c r="C17" s="2345"/>
      <c r="D17" s="2348"/>
      <c r="E17" s="1025"/>
      <c r="F17" s="1033"/>
    </row>
    <row r="18" spans="1:7" ht="24" customHeight="1">
      <c r="A18" s="1705"/>
      <c r="B18" s="1025"/>
      <c r="C18" s="2345"/>
      <c r="D18" s="2348"/>
      <c r="E18" s="1025"/>
      <c r="F18" s="1033"/>
    </row>
    <row r="19" spans="1:7" ht="24" customHeight="1">
      <c r="A19" s="1705"/>
      <c r="B19" s="1025"/>
      <c r="C19" s="2345"/>
      <c r="D19" s="2348"/>
      <c r="E19" s="1025"/>
      <c r="F19" s="1025"/>
    </row>
    <row r="20" spans="1:7" ht="24" customHeight="1">
      <c r="A20" s="1705"/>
      <c r="B20" s="1025"/>
      <c r="C20" s="2345"/>
      <c r="D20" s="2348"/>
      <c r="E20" s="1025"/>
      <c r="F20" s="1025"/>
    </row>
    <row r="21" spans="1:7" ht="24" customHeight="1">
      <c r="A21" s="1705"/>
      <c r="B21" s="1025"/>
      <c r="C21" s="2345"/>
      <c r="D21" s="2348" t="s">
        <v>843</v>
      </c>
      <c r="E21" s="1025">
        <f ca="1">IF(F21&lt;B2,"已过期",2011110090)</f>
        <v>2011110090</v>
      </c>
      <c r="F21" s="1033">
        <v>48302</v>
      </c>
    </row>
    <row r="22" spans="1:7" ht="24" customHeight="1">
      <c r="A22" s="1705" t="s">
        <v>844</v>
      </c>
      <c r="B22" s="1025">
        <f ca="1">IF(C22&lt;B2,"已过期",1120020033)</f>
        <v>1120020033</v>
      </c>
      <c r="C22" s="2936">
        <v>44339</v>
      </c>
      <c r="D22" s="2348" t="s">
        <v>844</v>
      </c>
      <c r="E22" s="1025">
        <f ca="1">IF(F22&lt;B2,"已过期",2000110137)</f>
        <v>2000110137</v>
      </c>
      <c r="F22" s="1033">
        <v>46387</v>
      </c>
    </row>
    <row r="23" spans="1:7" ht="24" customHeight="1">
      <c r="A23" s="1705" t="s">
        <v>845</v>
      </c>
      <c r="B23" s="1025">
        <f ca="1">IF(C23&lt;B2,"已过期",1120130048)</f>
        <v>1120130048</v>
      </c>
      <c r="C23" s="2345">
        <v>43686</v>
      </c>
      <c r="D23" s="2348"/>
      <c r="E23" s="1025"/>
      <c r="F23" s="1025"/>
    </row>
    <row r="24" spans="1:7" s="1027" customFormat="1" ht="24" customHeight="1">
      <c r="A24" s="1706" t="s">
        <v>1333</v>
      </c>
      <c r="B24" s="1706" t="s">
        <v>1333</v>
      </c>
      <c r="C24" s="2346" t="s">
        <v>1333</v>
      </c>
      <c r="D24" s="2349" t="s">
        <v>1333</v>
      </c>
      <c r="E24" s="1706" t="s">
        <v>1333</v>
      </c>
      <c r="F24" s="1706" t="s">
        <v>1333</v>
      </c>
    </row>
    <row r="25" spans="1:7" ht="24" customHeight="1">
      <c r="A25" s="3061" t="s">
        <v>846</v>
      </c>
      <c r="B25" s="3061"/>
      <c r="C25" s="3061"/>
      <c r="D25" s="3061"/>
      <c r="E25" s="3061"/>
      <c r="F25" s="3061"/>
      <c r="G25" s="3061"/>
    </row>
    <row r="26" spans="1:7" s="1028" customFormat="1" ht="24" customHeight="1">
      <c r="A26" s="3062" t="s">
        <v>847</v>
      </c>
      <c r="B26" s="3062"/>
      <c r="C26" s="3063"/>
      <c r="D26" s="3064" t="s">
        <v>848</v>
      </c>
      <c r="E26" s="3062"/>
      <c r="F26" s="3062"/>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成本法</vt:lpstr>
      <vt:lpstr>成本法 (元)</vt:lpstr>
      <vt:lpstr>土地比较法-住宅、综合</vt:lpstr>
      <vt:lpstr>假设开发法</vt:lpstr>
      <vt:lpstr>收益法 (元)</vt:lpstr>
      <vt:lpstr>收益法（汇总）</vt:lpstr>
      <vt:lpstr>酒店收入计算</vt:lpstr>
      <vt:lpstr>比较法-住宅</vt:lpstr>
      <vt:lpstr>收益法（住宅）</vt:lpstr>
      <vt:lpstr>结果表 (商业)</vt:lpstr>
      <vt:lpstr>比较法-商业</vt:lpstr>
      <vt:lpstr>收益法 (商业)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土地检索数据</vt:lpstr>
      <vt:lpstr>抵押物清单</vt:lpstr>
      <vt:lpstr>估价师及机构信息!Print_Area</vt:lpstr>
      <vt:lpstr>'收益法 (商业)'!Print_Area</vt:lpstr>
      <vt:lpstr>'收益法 (元)'!Print_Area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2018-08-09T01:20:28Z</dcterms:modified>
</cp:coreProperties>
</file>