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<sst xmlns="http://schemas.openxmlformats.org/spreadsheetml/2006/main" count="7848" uniqueCount="2760">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</sst>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1" formatCode="_ * #,##0_ ;_ * \-#,##0_ ;_ * &quot;-&quot;_ ;_ @_ "/>
    <numFmt numFmtId="44" formatCode="_ &quot;￥&quot;* #,##0.00_ ;_ &quot;￥&quot;* \-#,##0.00_ ;_ &quot;￥&quot;* &quot;-&quot;??_ ;_ @_ "/>
    <numFmt numFmtId="177" formatCode="[DBNum1][$-804]yyyy&quot;年&quot;m&quot;月&quot;d&quot;日&quot;;@"/>
    <numFmt numFmtId="178" formatCode="0.00_);[Red]\(0.00\)"/>
    <numFmt numFmtId="42" formatCode="_ &quot;￥&quot;* #,##0_ ;_ &quot;￥&quot;* \-#,##0_ ;_ &quot;￥&quot;* &quot;-&quot;_ ;_ @_ "/>
    <numFmt numFmtId="43" formatCode="_ * #,##0.00_ ;_ * \-#,##0.00_ ;_ * &quot;-&quot;??_ ;_ @_ "/>
    <numFmt numFmtId="179" formatCode="0.0_);[Red]\(0.0\)"/>
    <numFmt numFmtId="180" formatCode="0.0%"/>
    <numFmt numFmtId="181" formatCode="0_ "/>
    <numFmt numFmtId="182" formatCode="yyyy/m/d;@"/>
    <numFmt numFmtId="183" formatCode="0.00_ "/>
    <numFmt numFmtId="184" formatCode="0_);[Red]\(0\)"/>
    <numFmt numFmtId="185" formatCode="0.000_ "/>
    <numFmt numFmtId="186" formatCode="0.0_ "/>
    <numFmt numFmtId="187" formatCode="0.0000%"/>
    <numFmt numFmtId="188" formatCode="0;_쐀"/>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0006"/>
      <name val="宋体"/>
      <charset val="0"/>
      <scheme val="minor"/>
    </font>
    <font>
      <sz val="12"/>
      <color theme="1"/>
      <name val="楷体_GB2312"/>
      <charset val="134"/>
    </font>
    <font>
      <sz val="11"/>
      <color theme="0"/>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rgb="FFFFC7CE"/>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rgb="FFFFEB9C"/>
        <bgColor indexed="64"/>
      </patternFill>
    </fill>
    <fill>
      <patternFill patternType="solid">
        <fgColor theme="9"/>
        <bgColor indexed="64"/>
      </patternFill>
    </fill>
    <fill>
      <patternFill patternType="solid">
        <fgColor theme="8"/>
        <bgColor indexed="64"/>
      </patternFill>
    </fill>
    <fill>
      <patternFill patternType="solid">
        <fgColor theme="7" tint="0.599993896298105"/>
        <bgColor indexed="64"/>
      </patternFill>
    </fill>
    <fill>
      <patternFill patternType="solid">
        <fgColor rgb="FFFFFFCC"/>
        <bgColor indexed="64"/>
      </patternFill>
    </fill>
    <fill>
      <patternFill patternType="solid">
        <fgColor theme="7"/>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4"/>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4" borderId="0" applyNumberFormat="0" applyBorder="0" applyAlignment="0" applyProtection="0">
      <alignment vertical="center"/>
    </xf>
    <xf numFmtId="0" fontId="154"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4" borderId="178" applyNumberFormat="0" applyFont="0" applyAlignment="0" applyProtection="0">
      <alignment vertical="center"/>
    </xf>
    <xf numFmtId="0" fontId="0" fillId="0" borderId="0"/>
    <xf numFmtId="0" fontId="153" fillId="37"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2" fillId="0" borderId="0">
      <alignment vertical="center"/>
    </xf>
    <xf numFmtId="0" fontId="163" fillId="0" borderId="179" applyNumberFormat="0" applyFill="0" applyAlignment="0" applyProtection="0">
      <alignment vertical="center"/>
    </xf>
    <xf numFmtId="0" fontId="164" fillId="0" borderId="179" applyNumberFormat="0" applyFill="0" applyAlignment="0" applyProtection="0">
      <alignment vertical="center"/>
    </xf>
    <xf numFmtId="0" fontId="153" fillId="42" borderId="0" applyNumberFormat="0" applyBorder="0" applyAlignment="0" applyProtection="0">
      <alignment vertical="center"/>
    </xf>
    <xf numFmtId="0" fontId="159" fillId="0" borderId="180" applyNumberFormat="0" applyFill="0" applyAlignment="0" applyProtection="0">
      <alignment vertical="center"/>
    </xf>
    <xf numFmtId="0" fontId="153" fillId="11" borderId="0" applyNumberFormat="0" applyBorder="0" applyAlignment="0" applyProtection="0">
      <alignment vertical="center"/>
    </xf>
    <xf numFmtId="0" fontId="165" fillId="43" borderId="181" applyNumberFormat="0" applyAlignment="0" applyProtection="0">
      <alignment vertical="center"/>
    </xf>
    <xf numFmtId="0" fontId="167" fillId="43" borderId="176" applyNumberFormat="0" applyAlignment="0" applyProtection="0">
      <alignment vertical="center"/>
    </xf>
    <xf numFmtId="0" fontId="168" fillId="44" borderId="183" applyNumberFormat="0" applyAlignment="0" applyProtection="0">
      <alignment vertical="center"/>
    </xf>
    <xf numFmtId="0" fontId="155" fillId="0" borderId="177" applyNumberFormat="0" applyFill="0" applyAlignment="0" applyProtection="0">
      <alignment vertical="center"/>
    </xf>
    <xf numFmtId="0" fontId="152" fillId="0" borderId="0">
      <alignment vertical="center"/>
    </xf>
    <xf numFmtId="0" fontId="150" fillId="27" borderId="0" applyNumberFormat="0" applyBorder="0" applyAlignment="0" applyProtection="0">
      <alignment vertical="center"/>
    </xf>
    <xf numFmtId="0" fontId="153" fillId="29" borderId="0" applyNumberFormat="0" applyBorder="0" applyAlignment="0" applyProtection="0">
      <alignment vertical="center"/>
    </xf>
    <xf numFmtId="0" fontId="166" fillId="0" borderId="182" applyNumberFormat="0" applyFill="0" applyAlignment="0" applyProtection="0">
      <alignment vertical="center"/>
    </xf>
    <xf numFmtId="0" fontId="169" fillId="45" borderId="0" applyNumberFormat="0" applyBorder="0" applyAlignment="0" applyProtection="0">
      <alignment vertical="center"/>
    </xf>
    <xf numFmtId="0" fontId="0" fillId="0" borderId="0">
      <alignment vertical="center"/>
    </xf>
    <xf numFmtId="0" fontId="0" fillId="0" borderId="0">
      <alignment vertical="center"/>
    </xf>
    <xf numFmtId="0" fontId="157" fillId="30" borderId="0" applyNumberFormat="0" applyBorder="0" applyAlignment="0" applyProtection="0">
      <alignment vertical="center"/>
    </xf>
    <xf numFmtId="0" fontId="152" fillId="0" borderId="0">
      <alignment vertical="center"/>
    </xf>
    <xf numFmtId="0" fontId="150" fillId="28" borderId="0" applyNumberFormat="0" applyBorder="0" applyAlignment="0" applyProtection="0">
      <alignment vertical="center"/>
    </xf>
    <xf numFmtId="0" fontId="153" fillId="46" borderId="0" applyNumberFormat="0" applyBorder="0" applyAlignment="0" applyProtection="0">
      <alignment vertical="center"/>
    </xf>
    <xf numFmtId="0" fontId="150" fillId="22" borderId="0" applyNumberFormat="0" applyBorder="0" applyAlignment="0" applyProtection="0">
      <alignment vertical="center"/>
    </xf>
    <xf numFmtId="0" fontId="150" fillId="25" borderId="0" applyNumberFormat="0" applyBorder="0" applyAlignment="0" applyProtection="0">
      <alignment vertical="center"/>
    </xf>
    <xf numFmtId="0" fontId="150" fillId="36" borderId="0" applyNumberFormat="0" applyBorder="0" applyAlignment="0" applyProtection="0">
      <alignment vertical="center"/>
    </xf>
    <xf numFmtId="0" fontId="150" fillId="41" borderId="0" applyNumberFormat="0" applyBorder="0" applyAlignment="0" applyProtection="0">
      <alignment vertical="center"/>
    </xf>
    <xf numFmtId="0" fontId="153" fillId="38" borderId="0" applyNumberFormat="0" applyBorder="0" applyAlignment="0" applyProtection="0">
      <alignment vertical="center"/>
    </xf>
    <xf numFmtId="0" fontId="0" fillId="0" borderId="0">
      <alignment vertical="center"/>
    </xf>
    <xf numFmtId="0" fontId="153" fillId="35" borderId="0" applyNumberFormat="0" applyBorder="0" applyAlignment="0" applyProtection="0">
      <alignment vertical="center"/>
    </xf>
    <xf numFmtId="0" fontId="150" fillId="47" borderId="0" applyNumberFormat="0" applyBorder="0" applyAlignment="0" applyProtection="0">
      <alignment vertical="center"/>
    </xf>
    <xf numFmtId="0" fontId="150" fillId="33" borderId="0" applyNumberFormat="0" applyBorder="0" applyAlignment="0" applyProtection="0">
      <alignment vertical="center"/>
    </xf>
    <xf numFmtId="0" fontId="153" fillId="32" borderId="0" applyNumberFormat="0" applyBorder="0" applyAlignment="0" applyProtection="0">
      <alignment vertical="center"/>
    </xf>
    <xf numFmtId="0" fontId="0" fillId="0" borderId="0">
      <alignment vertical="center"/>
    </xf>
    <xf numFmtId="0" fontId="150" fillId="15" borderId="0" applyNumberFormat="0" applyBorder="0" applyAlignment="0" applyProtection="0">
      <alignment vertical="center"/>
    </xf>
    <xf numFmtId="0" fontId="153" fillId="9" borderId="0" applyNumberFormat="0" applyBorder="0" applyAlignment="0" applyProtection="0">
      <alignment vertical="center"/>
    </xf>
    <xf numFmtId="0" fontId="153" fillId="31" borderId="0" applyNumberFormat="0" applyBorder="0" applyAlignment="0" applyProtection="0">
      <alignment vertical="center"/>
    </xf>
    <xf numFmtId="0" fontId="150" fillId="40" borderId="0" applyNumberFormat="0" applyBorder="0" applyAlignment="0" applyProtection="0">
      <alignment vertical="center"/>
    </xf>
    <xf numFmtId="0" fontId="153" fillId="3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2"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0" fontId="19"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0"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73" fillId="2" borderId="38" xfId="0" applyNumberFormat="1" applyFont="1" applyFill="1" applyBorder="1" applyAlignment="1" applyProtection="1">
      <alignment horizontal="center" vertical="center"/>
    </xf>
    <xf numFmtId="180"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9" fontId="73" fillId="2" borderId="0" xfId="0" applyNumberFormat="1" applyFont="1" applyFill="1" applyBorder="1" applyAlignment="1" applyProtection="1">
      <alignment horizontal="center" vertical="center"/>
      <protection locked="0"/>
    </xf>
    <xf numFmtId="180"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0"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79" fontId="81" fillId="7" borderId="0" xfId="0" applyNumberFormat="1" applyFont="1" applyFill="1" applyAlignment="1" applyProtection="1">
      <alignment horizontal="center" vertical="center"/>
      <protection locked="0"/>
    </xf>
    <xf numFmtId="180"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73" fillId="2" borderId="142" xfId="0" applyNumberFormat="1" applyFont="1" applyFill="1" applyBorder="1" applyAlignment="1" applyProtection="1">
      <alignment horizontal="center" vertical="center"/>
    </xf>
    <xf numFmtId="180"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73" fillId="2" borderId="142" xfId="0" applyNumberFormat="1" applyFont="1" applyFill="1" applyBorder="1" applyAlignment="1" applyProtection="1">
      <alignment horizontal="center" vertical="center"/>
      <protection locked="0"/>
    </xf>
    <xf numFmtId="180"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0" fontId="63" fillId="2" borderId="0" xfId="0" applyNumberFormat="1" applyFont="1" applyFill="1" applyBorder="1" applyAlignment="1" applyProtection="1">
      <alignment vertical="center" wrapText="1"/>
      <protection locked="0"/>
    </xf>
    <xf numFmtId="18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0"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0"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0"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0"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0" fontId="25" fillId="0" borderId="155" xfId="61" applyNumberFormat="1" applyFont="1" applyFill="1" applyBorder="1" applyAlignment="1" applyProtection="1">
      <alignment horizontal="right" vertical="center"/>
      <protection locked="0"/>
    </xf>
    <xf numFmtId="180"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0"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0" fontId="25" fillId="2" borderId="155" xfId="61" applyNumberFormat="1" applyFont="1" applyFill="1" applyBorder="1" applyAlignment="1">
      <alignment horizontal="right" vertical="center"/>
    </xf>
    <xf numFmtId="180"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0" fontId="25" fillId="0" borderId="13" xfId="61" applyNumberFormat="1" applyFont="1" applyFill="1" applyBorder="1" applyAlignment="1" applyProtection="1">
      <alignment horizontal="left" vertical="center"/>
      <protection locked="0"/>
    </xf>
    <xf numFmtId="180" fontId="25" fillId="0" borderId="155" xfId="61" applyNumberFormat="1" applyFont="1" applyFill="1" applyBorder="1" applyAlignment="1" applyProtection="1">
      <alignment horizontal="left" vertical="center"/>
      <protection locked="0"/>
    </xf>
    <xf numFmtId="180"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0"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7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0"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0"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0"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0"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0"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0"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0" fontId="63" fillId="0" borderId="7" xfId="0" applyNumberFormat="1" applyFont="1" applyFill="1" applyBorder="1" applyAlignment="1" applyProtection="1">
      <alignment vertical="center"/>
      <protection locked="0"/>
    </xf>
    <xf numFmtId="180" fontId="71" fillId="0" borderId="7" xfId="0" applyNumberFormat="1" applyFont="1" applyBorder="1" applyAlignment="1" applyProtection="1">
      <alignment vertical="center"/>
      <protection locked="0"/>
    </xf>
    <xf numFmtId="180"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78" fontId="85" fillId="2" borderId="7" xfId="0" applyNumberFormat="1"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178" fontId="85" fillId="2" borderId="8" xfId="0" applyNumberFormat="1" applyFont="1" applyFill="1" applyBorder="1" applyAlignment="1" applyProtection="1">
      <alignment vertical="center"/>
    </xf>
    <xf numFmtId="178"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3"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4" fontId="128" fillId="0" borderId="7" xfId="62" applyNumberFormat="1" applyFont="1" applyFill="1" applyBorder="1" applyAlignment="1">
      <alignment horizontal="left" vertical="center"/>
    </xf>
    <xf numFmtId="194"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7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3" customWidth="1"/>
    <col min="2" max="2" width="81" style="3694" customWidth="1"/>
    <col min="3" max="16384" width="9" style="3695"/>
  </cols>
  <sheetData>
    <row r="1" s="3690" customFormat="1" ht="16.35" spans="1:2">
      <c r="A1" s="3696" t="s">
        <v>0</v>
      </c>
      <c r="B1" s="3697" t="s">
        <v>1</v>
      </c>
    </row>
    <row r="2" s="3691" customFormat="1" ht="16.3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6.35" spans="1:2">
      <c r="A5" s="3702" t="s">
        <v>5</v>
      </c>
      <c r="B5" s="3703" t="str">
        <f>'预评函-封皮'!B49</f>
        <v>康正预评字号</v>
      </c>
    </row>
    <row r="6" s="3691" customFormat="1" ht="16.3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估价对象为北京市房地产，为所有。根据《国有土地使用证》[]，估价对象（分摊）出让国有建设用地使用权面积为0平方米，建筑面积为249.73平方米。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估价对象为北京市房地产,属开发建设的，该项目尚在开发建设中。根据《国有土地使用证》[]，估价对象（分摊）出让国有建设用地使用权面积为0平方米，规划建筑面积为249.73平方米。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2023年2月14日</v>
      </c>
    </row>
    <row r="13" s="3692" customFormat="1" spans="1:2">
      <c r="A13" s="3700" t="s">
        <v>13</v>
      </c>
      <c r="B13" s="3701"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6.35" spans="1:2">
      <c r="A18" s="3702" t="s">
        <v>18</v>
      </c>
      <c r="B18" s="3703" t="str">
        <f>'预评函-1'!A24</f>
        <v>本次评估采用的主估价方法为比较法和收益法。</v>
      </c>
    </row>
    <row r="19" s="3691" customFormat="1" ht="16.3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569</v>
      </c>
    </row>
    <row r="21" s="3692" customFormat="1" spans="1:2">
      <c r="A21" s="3700" t="s">
        <v>21</v>
      </c>
      <c r="B21" s="3701">
        <f ca="1">'预评函-2'!D7</f>
        <v>22778</v>
      </c>
    </row>
    <row r="22" s="3692" customFormat="1" spans="1:2">
      <c r="A22" s="3700" t="s">
        <v>22</v>
      </c>
      <c r="B22" s="3701" t="str">
        <f ca="1">'预评函-2'!D6</f>
        <v>伍佰陆拾玖万元整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569</v>
      </c>
    </row>
    <row r="31" s="3692" customFormat="1" spans="1:2">
      <c r="A31" s="3700" t="s">
        <v>31</v>
      </c>
      <c r="B31" s="3701">
        <f ca="1">'预评函-2'!D15</f>
        <v>22778</v>
      </c>
    </row>
    <row r="32" s="3692" customFormat="1" spans="1:2">
      <c r="A32" s="3700" t="s">
        <v>32</v>
      </c>
      <c r="B32" s="3701" t="str">
        <f ca="1">'预评函-2'!D14</f>
        <v>伍佰陆拾玖万元整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1.2" spans="1:2">
      <c r="A42" s="3700" t="s">
        <v>42</v>
      </c>
      <c r="B42" s="3701" t="str">
        <f>'预评函-3'!B2</f>
        <v>建筑面积</v>
      </c>
    </row>
    <row r="43" s="3692" customFormat="1" spans="1:2">
      <c r="A43" s="3700" t="s">
        <v>43</v>
      </c>
      <c r="B43" s="3701">
        <f>'预评函-3'!B4</f>
        <v>249.73</v>
      </c>
    </row>
    <row r="44" s="3692" customFormat="1" ht="31.2"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6.35" spans="1:2">
      <c r="A57" s="3702" t="s">
        <v>57</v>
      </c>
      <c r="B57" s="3703" t="str">
        <f>'预评函-3'!A6</f>
        <v>估价师知悉的法定优先受偿款</v>
      </c>
    </row>
    <row r="58" s="3691" customFormat="1" ht="16.3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6.35" spans="1:2">
      <c r="A69" s="3702" t="s">
        <v>69</v>
      </c>
      <c r="B69" s="3704">
        <f>'预评函-4'!C31</f>
        <v>42551</v>
      </c>
    </row>
    <row r="70" ht="16.35" spans="1:2">
      <c r="A70" s="3705" t="s">
        <v>70</v>
      </c>
      <c r="B70" s="3706">
        <f>'预评函-4'!A4</f>
        <v>0</v>
      </c>
    </row>
    <row r="71" spans="1:2">
      <c r="A71" s="3700" t="s">
        <v>71</v>
      </c>
      <c r="B71" s="3701">
        <f ca="1">'预评函-4'!B4</f>
        <v>0</v>
      </c>
    </row>
    <row r="72" spans="1:2">
      <c r="A72" s="3700" t="s">
        <v>72</v>
      </c>
      <c r="B72" s="3707">
        <f>'预评函-4'!A5</f>
        <v>0</v>
      </c>
    </row>
    <row r="73" s="3690" customFormat="1" ht="16.35" spans="1:2">
      <c r="A73" s="3702" t="s">
        <v>73</v>
      </c>
      <c r="B73" s="3703">
        <f ca="1">'预评函-4'!B5</f>
        <v>0</v>
      </c>
    </row>
    <row r="74" ht="16.3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3" customWidth="1"/>
    <col min="2" max="2" width="23.2222222222222" style="3534" customWidth="1"/>
    <col min="3" max="3" width="13" style="3535" customWidth="1"/>
    <col min="4" max="4" width="5.77777777777778" style="3536" customWidth="1"/>
    <col min="5" max="5" width="7.11111111111111" style="3536" customWidth="1"/>
    <col min="6" max="6" width="10.6666666666667" style="3536" customWidth="1"/>
    <col min="7" max="7" width="7.44444444444444" style="3536" customWidth="1"/>
    <col min="8" max="8" width="11.8888888888889" style="3535" customWidth="1"/>
    <col min="9" max="9" width="11.6666666666667" style="3535" customWidth="1"/>
    <col min="10" max="10" width="9" style="3535" customWidth="1"/>
    <col min="11" max="19" width="9" style="3536" customWidth="1"/>
    <col min="20" max="23" width="9" style="3535" customWidth="1"/>
    <col min="24" max="24" width="21.1111111111111" style="3534" customWidth="1"/>
    <col min="25" max="16384" width="9" style="3534"/>
  </cols>
  <sheetData>
    <row r="1" s="3532" customFormat="1" ht="43.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1"/>
    <col min="8" max="8" width="5.55555555555556" style="3481" customWidth="1"/>
    <col min="9" max="13" width="9.44444444444444" style="3482" customWidth="1"/>
    <col min="14" max="18" width="9.44444444444444" style="3481" customWidth="1"/>
    <col min="19" max="16384" width="15.2222222222222"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44971</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3.84</v>
      </c>
      <c r="D5" s="3491">
        <f>IF(ISERROR(ROUND(POWER(1+E5,A5-C5)*(POWER(1+E5,C5)-1)/(POWER(1+E5,A5)-1),3)),0,ROUND(POWER(1+E5,A5-C5)*(POWER(1+E5,C5)-1)/(POWER(1+E5,A5)-1),4))</f>
        <v>0.1766</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13.85</v>
      </c>
      <c r="D6" s="3491">
        <f>IF(ISERROR(ROUND(POWER(1+E6,A6-C6)*(POWER(1+E6,C6)-1)/(POWER(1+E6,A6)-1),3)),0,ROUND(POWER(1+E6,A6-C6)*(POWER(1+E6,C6)-1)/(POWER(1+E6,A6)-1),4))</f>
        <v>0.4878</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33.86</v>
      </c>
      <c r="D7" s="3491">
        <f>IF(ISERROR(ROUND(POWER(1+E7,A7-C7)*(POWER(1+E7,C7)-1)/(POWER(1+E7,A7)-1),3)),0,ROUND(POWER(1+E7,A7-C7)*(POWER(1+E7,C7)-1)/(POWER(1+E7,A7)-1),4))</f>
        <v>0.7854</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5.15" spans="1:6">
      <c r="A18" s="3497" t="s">
        <v>368</v>
      </c>
      <c r="B18" s="560">
        <f>ROUND(B17*F11/F12,2)</f>
        <v>5541.87</v>
      </c>
      <c r="C18" s="560">
        <f>ROUND(F11/F12,4)</f>
        <v>1.1522</v>
      </c>
      <c r="D18" s="3498"/>
      <c r="E18" s="3498"/>
      <c r="F18" s="3499"/>
    </row>
    <row r="19" ht="15.15"/>
    <row r="20" s="3480" customFormat="1" ht="15.1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5.1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8" customWidth="1"/>
    <col min="10" max="10" width="10" style="3131" customWidth="1"/>
    <col min="11" max="11" width="10" style="3325" customWidth="1"/>
    <col min="12" max="13" width="10" style="3326" customWidth="1"/>
    <col min="14" max="14" width="10" style="3131" customWidth="1"/>
    <col min="15" max="15" width="10" style="1001" customWidth="1"/>
    <col min="16" max="17" width="10" style="3131"/>
    <col min="18" max="18" width="10" style="3131" customWidth="1"/>
    <col min="19" max="30" width="10" style="3131"/>
    <col min="31" max="16384" width="10" style="2932"/>
  </cols>
  <sheetData>
    <row r="1" ht="13.9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2"/>
      <c r="K1" s="3445"/>
      <c r="L1" s="3446"/>
      <c r="M1" s="3446"/>
      <c r="N1" s="3373"/>
      <c r="O1" s="3236"/>
      <c r="P1" s="3373"/>
      <c r="Q1" s="3373"/>
      <c r="R1" s="3373"/>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30" t="s">
        <v>426</v>
      </c>
      <c r="B2" s="3331"/>
      <c r="C2" s="3332"/>
      <c r="D2" s="3333"/>
      <c r="E2" s="3334"/>
      <c r="F2" s="3334"/>
      <c r="G2" s="3335"/>
      <c r="H2" s="3335"/>
      <c r="I2" s="3335"/>
      <c r="J2" s="2882"/>
      <c r="K2" s="3445"/>
      <c r="L2" s="3446"/>
      <c r="M2" s="3446"/>
      <c r="N2" s="3373"/>
      <c r="O2" s="3236"/>
      <c r="P2" s="3373"/>
      <c r="Q2" s="3373"/>
      <c r="R2" s="3373"/>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6"/>
      <c r="C3" s="3337" t="s">
        <v>428</v>
      </c>
      <c r="D3" s="3336">
        <v>44971</v>
      </c>
      <c r="E3" s="3335"/>
      <c r="F3" s="3335"/>
      <c r="G3" s="3335"/>
      <c r="H3" s="3335"/>
      <c r="I3" s="3335"/>
      <c r="J3" s="2882"/>
      <c r="K3" s="3445"/>
      <c r="L3" s="3446"/>
      <c r="M3" s="3446"/>
      <c r="N3" s="3373"/>
      <c r="O3" s="3236"/>
      <c r="P3" s="3373"/>
      <c r="Q3" s="3373"/>
      <c r="R3" s="3373"/>
      <c r="S3" s="2933"/>
      <c r="T3" s="2932"/>
      <c r="U3" s="2932"/>
      <c r="V3" s="2932"/>
      <c r="W3" s="2932"/>
      <c r="X3" s="2932"/>
      <c r="Y3" s="2932"/>
      <c r="Z3" s="2932"/>
      <c r="AA3" s="2932"/>
      <c r="AB3" s="2932"/>
    </row>
    <row r="4" spans="1:28">
      <c r="A4" s="2150"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6"/>
      <c r="K4" s="3447" t="str">
        <f ca="1">CONCATENATE(B4,"（注册号：",C4,")、",D4,"（注册号：",E4,")")</f>
        <v>（注册号：0)、（注册号：0)</v>
      </c>
      <c r="L4" s="3446"/>
      <c r="M4" s="3446"/>
      <c r="N4" s="3373"/>
      <c r="O4" s="3236"/>
      <c r="P4" s="3373"/>
      <c r="Q4" s="3373"/>
      <c r="R4" s="3373"/>
      <c r="S4" s="2933"/>
      <c r="T4" s="2932"/>
      <c r="U4" s="2932"/>
      <c r="V4" s="2932"/>
      <c r="W4" s="2932"/>
      <c r="X4" s="2932"/>
      <c r="Y4" s="2932"/>
      <c r="Z4" s="2932"/>
      <c r="AA4" s="2932"/>
      <c r="AB4" s="2932"/>
    </row>
    <row r="5" ht="13.95" spans="1:28">
      <c r="A5" s="3341" t="s">
        <v>430</v>
      </c>
      <c r="B5" s="3342"/>
      <c r="C5" s="3343"/>
      <c r="D5" s="3344"/>
      <c r="E5" s="3037"/>
      <c r="F5" s="3037"/>
      <c r="G5" s="3037"/>
      <c r="H5" s="3037"/>
      <c r="I5" s="3037"/>
      <c r="J5" s="2916"/>
      <c r="K5" s="3447" t="str">
        <f ca="1">IF(F4="——","",IF(H4="——",F4&amp;"（注册号："&amp;G4&amp;")",CONCATENATE(F4,"（注册号：",G4,")、",H4,"（注册号：",I4,")")))</f>
        <v>（注册号：0)、（注册号：0)</v>
      </c>
      <c r="L5" s="3446"/>
      <c r="M5" s="3446"/>
      <c r="N5" s="3373"/>
      <c r="O5" s="3236"/>
      <c r="P5" s="3373"/>
      <c r="Q5" s="3373"/>
      <c r="R5" s="3373"/>
      <c r="S5" s="2932"/>
      <c r="T5" s="2932"/>
      <c r="U5" s="2932"/>
      <c r="V5" s="2932"/>
      <c r="W5" s="2932"/>
      <c r="X5" s="2932"/>
      <c r="Y5" s="2932"/>
      <c r="Z5" s="2932"/>
      <c r="AA5" s="2932"/>
      <c r="AB5" s="2932"/>
    </row>
    <row r="6" spans="1:18">
      <c r="A6" s="3345" t="s">
        <v>431</v>
      </c>
      <c r="B6" s="3346"/>
      <c r="C6" s="3347"/>
      <c r="D6" s="3348"/>
      <c r="E6" s="3334"/>
      <c r="F6" s="3037"/>
      <c r="G6" s="3037"/>
      <c r="H6" s="3037"/>
      <c r="I6" s="3037"/>
      <c r="J6" s="2916"/>
      <c r="K6" s="3448" t="str">
        <f>IF(COUNTIF(B6,"*上海银行*"),"上海银行","")</f>
        <v/>
      </c>
      <c r="L6" s="3449"/>
      <c r="M6" s="3449"/>
      <c r="N6" s="2916"/>
      <c r="O6" s="3450"/>
      <c r="P6" s="2916"/>
      <c r="Q6" s="2916"/>
      <c r="R6" s="2916"/>
    </row>
    <row r="7" spans="1:18">
      <c r="A7" s="3345" t="s">
        <v>432</v>
      </c>
      <c r="B7" s="3349"/>
      <c r="C7" s="3347"/>
      <c r="D7" s="3348"/>
      <c r="E7" s="3334"/>
      <c r="F7" s="3037"/>
      <c r="G7" s="3037"/>
      <c r="H7" s="3037"/>
      <c r="I7" s="3037"/>
      <c r="J7" s="2916"/>
      <c r="K7" s="3451"/>
      <c r="L7" s="3449"/>
      <c r="M7" s="3449"/>
      <c r="N7" s="2916"/>
      <c r="O7" s="3450"/>
      <c r="P7" s="2916"/>
      <c r="Q7" s="2916"/>
      <c r="R7" s="2916"/>
    </row>
    <row r="8" spans="1:18">
      <c r="A8" s="3350" t="s">
        <v>433</v>
      </c>
      <c r="B8" s="3351" t="s">
        <v>325</v>
      </c>
      <c r="C8" s="3352"/>
      <c r="D8" s="3353" t="s">
        <v>434</v>
      </c>
      <c r="E8" s="3354" t="s">
        <v>330</v>
      </c>
      <c r="F8" s="3355"/>
      <c r="G8" s="3335"/>
      <c r="H8" s="3335"/>
      <c r="I8" s="3335"/>
      <c r="J8" s="2916"/>
      <c r="K8" s="3452"/>
      <c r="L8" s="3449"/>
      <c r="M8" s="3449"/>
      <c r="N8" s="2916"/>
      <c r="O8" s="3450"/>
      <c r="P8" s="2916"/>
      <c r="Q8" s="2916"/>
      <c r="R8" s="2916"/>
    </row>
    <row r="9" ht="13.95" spans="1:18">
      <c r="A9" s="3356" t="s">
        <v>435</v>
      </c>
      <c r="B9" s="3357" t="s">
        <v>330</v>
      </c>
      <c r="C9" s="3358"/>
      <c r="D9" s="3359"/>
      <c r="E9" s="3357"/>
      <c r="F9" s="3360"/>
      <c r="G9" s="3361"/>
      <c r="H9" s="3361"/>
      <c r="I9" s="3361"/>
      <c r="J9" s="2916"/>
      <c r="K9" s="3451"/>
      <c r="L9" s="3449"/>
      <c r="M9" s="3449"/>
      <c r="N9" s="2916"/>
      <c r="O9" s="3450"/>
      <c r="P9" s="2916"/>
      <c r="Q9" s="2916"/>
      <c r="R9" s="2916"/>
    </row>
    <row r="10" ht="13.95" spans="1:18">
      <c r="A10" s="3362" t="s">
        <v>436</v>
      </c>
      <c r="B10" s="3363" t="s">
        <v>437</v>
      </c>
      <c r="C10" s="3364"/>
      <c r="D10" s="3344"/>
      <c r="E10" s="3365" t="s">
        <v>438</v>
      </c>
      <c r="F10" s="3366"/>
      <c r="G10" s="3367"/>
      <c r="H10" s="3368"/>
      <c r="I10" s="3453"/>
      <c r="J10" s="2916"/>
      <c r="K10" s="3451"/>
      <c r="L10" s="3449"/>
      <c r="M10" s="3449"/>
      <c r="N10" s="2916"/>
      <c r="O10" s="3450"/>
      <c r="P10" s="2916"/>
      <c r="Q10" s="2916"/>
      <c r="R10" s="2916"/>
    </row>
    <row r="11" spans="1:18">
      <c r="A11" s="3369" t="s">
        <v>439</v>
      </c>
      <c r="B11" s="3370" t="s">
        <v>440</v>
      </c>
      <c r="C11" s="3371"/>
      <c r="D11" s="3372"/>
      <c r="E11" s="3373"/>
      <c r="F11" s="3373"/>
      <c r="G11" s="3373"/>
      <c r="H11" s="3373"/>
      <c r="I11" s="3373"/>
      <c r="J11" s="3454"/>
      <c r="K11" s="3455"/>
      <c r="L11" s="3449"/>
      <c r="M11" s="3449"/>
      <c r="N11" s="2916"/>
      <c r="O11" s="3450"/>
      <c r="P11" s="2916"/>
      <c r="Q11" s="2916"/>
      <c r="R11" s="2916"/>
    </row>
    <row r="12" spans="1:30">
      <c r="A12" s="3374" t="s">
        <v>441</v>
      </c>
      <c r="B12" s="2169" t="s">
        <v>442</v>
      </c>
      <c r="C12" s="3375" t="s">
        <v>443</v>
      </c>
      <c r="D12" s="3375" t="s">
        <v>444</v>
      </c>
      <c r="E12" s="3375" t="s">
        <v>445</v>
      </c>
      <c r="F12" s="3375" t="s">
        <v>446</v>
      </c>
      <c r="G12" s="3375" t="s">
        <v>447</v>
      </c>
      <c r="H12" s="3375" t="s">
        <v>448</v>
      </c>
      <c r="I12" s="3456" t="s">
        <v>280</v>
      </c>
      <c r="J12" s="3457"/>
      <c r="K12" s="3449"/>
      <c r="L12" s="3449"/>
      <c r="M12" s="2916"/>
      <c r="N12" s="3450"/>
      <c r="O12" s="2916"/>
      <c r="P12" s="2916"/>
      <c r="Q12" s="2916"/>
      <c r="AD12" s="2932"/>
    </row>
    <row r="13" spans="1:30">
      <c r="A13" s="3376" t="s">
        <v>449</v>
      </c>
      <c r="B13" s="3377" t="s">
        <v>450</v>
      </c>
      <c r="C13" s="3378"/>
      <c r="D13" s="3378"/>
      <c r="E13" s="3378">
        <v>58040</v>
      </c>
      <c r="F13" s="3378"/>
      <c r="G13" s="3378"/>
      <c r="H13" s="3378"/>
      <c r="I13" s="3378"/>
      <c r="J13" s="3457"/>
      <c r="K13" s="3449"/>
      <c r="L13" s="3449"/>
      <c r="M13" s="2916"/>
      <c r="N13" s="3450"/>
      <c r="O13" s="2916"/>
      <c r="P13" s="2916"/>
      <c r="Q13" s="2916"/>
      <c r="AD13" s="2932"/>
    </row>
    <row r="14" spans="1:30">
      <c r="A14" s="2155"/>
      <c r="B14" s="3377" t="s">
        <v>451</v>
      </c>
      <c r="C14" s="3379"/>
      <c r="D14" s="3379"/>
      <c r="E14" s="3379">
        <v>50</v>
      </c>
      <c r="F14" s="3379"/>
      <c r="G14" s="3379"/>
      <c r="H14" s="3379"/>
      <c r="I14" s="3379"/>
      <c r="J14" s="3458"/>
      <c r="K14" s="3449"/>
      <c r="L14" s="3449"/>
      <c r="M14" s="2916"/>
      <c r="N14" s="3450"/>
      <c r="O14" s="2916"/>
      <c r="P14" s="2916"/>
      <c r="Q14" s="2916"/>
      <c r="AD14" s="2932"/>
    </row>
    <row r="15" spans="1:30">
      <c r="A15" s="2162"/>
      <c r="B15" s="3380" t="s">
        <v>452</v>
      </c>
      <c r="C15" s="3381" t="str">
        <f>IF(A13="出让",IF(C13="","",ROUNDDOWN(MIN((C13-$D$3)/365,C14),2)),C14)</f>
        <v/>
      </c>
      <c r="D15" s="3381" t="str">
        <f>IF(A13="出让",IF(D13="","",ROUNDDOWN(MIN((D13-$D$3)/365,D14),2)),D14)</f>
        <v/>
      </c>
      <c r="E15" s="3381">
        <f>IF(A13="出让",IF(E13="","",ROUNDDOWN(MIN((E13-$D$3)/365,E14),2)),E14)</f>
        <v>35.8</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7"/>
      <c r="N15" s="3460"/>
      <c r="O15" s="2917"/>
      <c r="P15" s="2916"/>
      <c r="Q15" s="2916"/>
      <c r="AD15" s="2932"/>
    </row>
    <row r="16" spans="1:18">
      <c r="A16" s="3365" t="s">
        <v>453</v>
      </c>
      <c r="B16" s="3382"/>
      <c r="C16" s="3383"/>
      <c r="D16" s="3384"/>
      <c r="E16" s="3385" t="s">
        <v>454</v>
      </c>
      <c r="F16" s="3386"/>
      <c r="G16" s="3387"/>
      <c r="H16" s="3387"/>
      <c r="I16" s="3461"/>
      <c r="J16" s="2916"/>
      <c r="K16" s="3462"/>
      <c r="L16" s="3460"/>
      <c r="M16" s="3460"/>
      <c r="N16" s="2917"/>
      <c r="O16" s="3460"/>
      <c r="P16" s="2917"/>
      <c r="Q16" s="2916"/>
      <c r="R16" s="2916"/>
    </row>
    <row r="17" spans="1:22">
      <c r="A17" s="2139" t="s">
        <v>455</v>
      </c>
      <c r="B17" s="2126" t="s">
        <v>456</v>
      </c>
      <c r="C17" s="1064">
        <f>'数据-汇总表'!E3</f>
        <v>249.73</v>
      </c>
      <c r="D17" s="2182" t="s">
        <v>457</v>
      </c>
      <c r="E17" s="3388" t="s">
        <v>458</v>
      </c>
      <c r="F17" s="3389"/>
      <c r="G17" s="3389"/>
      <c r="H17" s="3389"/>
      <c r="I17" s="3463"/>
      <c r="J17" s="2916"/>
      <c r="K17" s="3464"/>
      <c r="L17" s="3460"/>
      <c r="M17" s="3460"/>
      <c r="N17" s="2917"/>
      <c r="O17" s="3460"/>
      <c r="P17" s="2917"/>
      <c r="Q17" s="2916"/>
      <c r="R17" s="2916"/>
      <c r="S17" s="2916"/>
      <c r="T17" s="2916"/>
      <c r="U17" s="2916"/>
      <c r="V17" s="2916"/>
    </row>
    <row r="18" ht="24.75" spans="1:22">
      <c r="A18" s="3390" t="s">
        <v>459</v>
      </c>
      <c r="B18" s="2150" t="s">
        <v>460</v>
      </c>
      <c r="C18" s="3391">
        <f>'数据-汇总表'!D3</f>
        <v>0</v>
      </c>
      <c r="D18" s="2175" t="s">
        <v>457</v>
      </c>
      <c r="E18" s="3392" t="s">
        <v>461</v>
      </c>
      <c r="F18" s="3393"/>
      <c r="G18" s="3393"/>
      <c r="H18" s="3393"/>
      <c r="I18" s="3465"/>
      <c r="J18" s="2916"/>
      <c r="K18" s="3464"/>
      <c r="L18" s="3460"/>
      <c r="M18" s="3460"/>
      <c r="N18" s="2917"/>
      <c r="O18" s="3460"/>
      <c r="P18" s="2917"/>
      <c r="Q18" s="2916"/>
      <c r="R18" s="2916"/>
      <c r="S18" s="2916"/>
      <c r="T18" s="2916"/>
      <c r="U18" s="2916"/>
      <c r="V18" s="2916"/>
    </row>
    <row r="19" ht="37.5" spans="1:22">
      <c r="A19" s="2192" t="s">
        <v>462</v>
      </c>
      <c r="B19" s="2131" t="s">
        <v>463</v>
      </c>
      <c r="C19" s="3394"/>
      <c r="D19" s="3395" t="s">
        <v>464</v>
      </c>
      <c r="E19" s="3396"/>
      <c r="F19" s="3397" t="str">
        <f>IF(AND(C19="是",E19="否"),"是否提供他项权证或相关说明","")</f>
        <v/>
      </c>
      <c r="G19" s="3398"/>
      <c r="H19" s="3037"/>
      <c r="I19" s="3037"/>
      <c r="J19" s="2916"/>
      <c r="K19" s="3451"/>
      <c r="L19" s="3449"/>
      <c r="M19" s="3449"/>
      <c r="N19" s="2917"/>
      <c r="O19" s="3460"/>
      <c r="P19" s="2917"/>
      <c r="Q19" s="2916"/>
      <c r="R19" s="2916"/>
      <c r="S19" s="2916"/>
      <c r="T19" s="2916"/>
      <c r="U19" s="2916"/>
      <c r="V19" s="2916"/>
    </row>
    <row r="20" spans="1:28">
      <c r="A20" s="3399" t="s">
        <v>465</v>
      </c>
      <c r="B20" s="3400" t="s">
        <v>466</v>
      </c>
      <c r="C20" s="3401"/>
      <c r="D20" s="3402" t="s">
        <v>467</v>
      </c>
      <c r="E20" s="3403"/>
      <c r="F20" s="3404" t="s">
        <v>468</v>
      </c>
      <c r="G20" s="3037"/>
      <c r="H20" s="3037"/>
      <c r="I20" s="3037"/>
      <c r="J20" s="2916"/>
      <c r="K20" s="3247"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2"/>
      <c r="X20" s="2932"/>
      <c r="Y20" s="2932"/>
      <c r="Z20" s="2932"/>
      <c r="AA20" s="2932"/>
      <c r="AB20" s="2932"/>
    </row>
    <row r="21" ht="36.75" spans="1:28">
      <c r="A21" s="3399"/>
      <c r="B21" s="3405" t="s">
        <v>470</v>
      </c>
      <c r="C21" s="3406" t="s">
        <v>471</v>
      </c>
      <c r="D21" s="3407" t="s">
        <v>472</v>
      </c>
      <c r="E21" s="3408" t="s">
        <v>471</v>
      </c>
      <c r="F21" s="3409"/>
      <c r="G21" s="3037"/>
      <c r="H21" s="3037"/>
      <c r="I21" s="3037"/>
      <c r="J21" s="2916"/>
      <c r="K21" s="3247"/>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2"/>
      <c r="X21" s="2932"/>
      <c r="Y21" s="2932"/>
      <c r="Z21" s="2932"/>
      <c r="AA21" s="2932"/>
      <c r="AB21" s="2932"/>
    </row>
    <row r="22" ht="36.75" spans="1:28">
      <c r="A22" s="3399"/>
      <c r="B22" s="3410" t="s">
        <v>473</v>
      </c>
      <c r="C22" s="3406" t="s">
        <v>474</v>
      </c>
      <c r="D22" s="3335"/>
      <c r="E22" s="3335"/>
      <c r="F22" s="3335"/>
      <c r="G22" s="3037"/>
      <c r="H22" s="3037"/>
      <c r="I22" s="3037"/>
      <c r="J22" s="2916"/>
      <c r="K22" s="3247"/>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2"/>
      <c r="X22" s="2932"/>
      <c r="Y22" s="2932"/>
      <c r="Z22" s="2932"/>
      <c r="AA22" s="2932"/>
      <c r="AB22" s="2932"/>
    </row>
    <row r="23" spans="1:22">
      <c r="A23" s="3411" t="s">
        <v>475</v>
      </c>
      <c r="B23" s="2907" t="s">
        <v>476</v>
      </c>
      <c r="C23" s="3412"/>
      <c r="D23" s="3413" t="s">
        <v>476</v>
      </c>
      <c r="E23" s="3414"/>
      <c r="F23" s="3335"/>
      <c r="G23" s="3037"/>
      <c r="H23" s="3037"/>
      <c r="I23" s="3037"/>
      <c r="J23" s="2916"/>
      <c r="K23" s="3468"/>
      <c r="L23" s="2291"/>
      <c r="M23" s="3449"/>
      <c r="N23" s="2917"/>
      <c r="O23" s="3460"/>
      <c r="P23" s="2917"/>
      <c r="Q23" s="2916"/>
      <c r="R23" s="2916"/>
      <c r="S23" s="2916"/>
      <c r="T23" s="2916"/>
      <c r="U23" s="2916"/>
      <c r="V23" s="2916"/>
    </row>
    <row r="24" spans="1:22">
      <c r="A24" s="3411"/>
      <c r="B24" s="2907" t="s">
        <v>477</v>
      </c>
      <c r="C24" s="3415"/>
      <c r="D24" s="3411" t="s">
        <v>477</v>
      </c>
      <c r="E24" s="3416"/>
      <c r="F24" s="3335"/>
      <c r="G24" s="3037"/>
      <c r="H24" s="3037"/>
      <c r="I24" s="3037"/>
      <c r="J24" s="2916"/>
      <c r="K24" s="3468"/>
      <c r="L24" s="2291"/>
      <c r="M24" s="3449"/>
      <c r="N24" s="2917"/>
      <c r="O24" s="3460"/>
      <c r="P24" s="2917"/>
      <c r="Q24" s="2916"/>
      <c r="R24" s="2916"/>
      <c r="S24" s="2916"/>
      <c r="T24" s="2916"/>
      <c r="U24" s="2916"/>
      <c r="V24" s="2916"/>
    </row>
    <row r="25" spans="1:22">
      <c r="A25" s="3411"/>
      <c r="B25" s="2907" t="s">
        <v>478</v>
      </c>
      <c r="C25" s="3415"/>
      <c r="D25" s="3411" t="s">
        <v>478</v>
      </c>
      <c r="E25" s="3416"/>
      <c r="F25" s="3335"/>
      <c r="G25" s="3037"/>
      <c r="H25" s="3037"/>
      <c r="I25" s="3037"/>
      <c r="J25" s="2916"/>
      <c r="K25" s="3451"/>
      <c r="L25" s="3449"/>
      <c r="M25" s="3449"/>
      <c r="N25" s="2917"/>
      <c r="O25" s="3460"/>
      <c r="P25" s="2917"/>
      <c r="Q25" s="2916"/>
      <c r="R25" s="2916"/>
      <c r="S25" s="2916"/>
      <c r="T25" s="2916"/>
      <c r="U25" s="2916"/>
      <c r="V25" s="2916"/>
    </row>
    <row r="26" ht="13.95" spans="1:22">
      <c r="A26" s="3417"/>
      <c r="B26" s="3418" t="s">
        <v>479</v>
      </c>
      <c r="C26" s="3419"/>
      <c r="D26" s="3417" t="s">
        <v>479</v>
      </c>
      <c r="E26" s="3420"/>
      <c r="F26" s="3361"/>
      <c r="G26" s="3361"/>
      <c r="H26" s="3361"/>
      <c r="I26" s="3361"/>
      <c r="J26" s="2916"/>
      <c r="K26" s="3451"/>
      <c r="L26" s="3449"/>
      <c r="M26" s="3449"/>
      <c r="N26" s="2917"/>
      <c r="O26" s="3460"/>
      <c r="P26" s="2917"/>
      <c r="Q26" s="2916"/>
      <c r="R26" s="2916"/>
      <c r="S26" s="2916"/>
      <c r="T26" s="2916"/>
      <c r="U26" s="2916"/>
      <c r="V26" s="2916"/>
    </row>
    <row r="27" ht="13.95" spans="1:22">
      <c r="A27" s="2155" t="s">
        <v>480</v>
      </c>
      <c r="B27" s="2162" t="s">
        <v>481</v>
      </c>
      <c r="C27" s="3421"/>
      <c r="D27" s="3422"/>
      <c r="E27" s="3037"/>
      <c r="F27" s="3037"/>
      <c r="G27" s="3037"/>
      <c r="H27" s="3037"/>
      <c r="I27" s="3037"/>
      <c r="J27" s="2916"/>
      <c r="K27" s="3462"/>
      <c r="L27" s="3460"/>
      <c r="M27" s="3460"/>
      <c r="N27" s="2917"/>
      <c r="O27" s="3460"/>
      <c r="P27" s="2917"/>
      <c r="Q27" s="2916"/>
      <c r="R27" s="2916"/>
      <c r="S27" s="2916"/>
      <c r="T27" s="2916"/>
      <c r="U27" s="2916"/>
      <c r="V27" s="2916"/>
    </row>
    <row r="28" spans="1:22">
      <c r="A28" s="2155"/>
      <c r="B28" s="2126" t="s">
        <v>482</v>
      </c>
      <c r="C28" s="3423"/>
      <c r="D28" s="3424"/>
      <c r="E28" s="3037"/>
      <c r="F28" s="3037"/>
      <c r="G28" s="3037"/>
      <c r="H28" s="3037"/>
      <c r="I28" s="3037"/>
      <c r="J28" s="2916"/>
      <c r="K28" s="3451"/>
      <c r="L28" s="3449"/>
      <c r="M28" s="3449"/>
      <c r="N28" s="2916"/>
      <c r="O28" s="3450"/>
      <c r="P28" s="2916"/>
      <c r="Q28" s="2916"/>
      <c r="R28" s="2916"/>
      <c r="S28" s="2916"/>
      <c r="T28" s="2916"/>
      <c r="U28" s="2916"/>
      <c r="V28" s="2916"/>
    </row>
    <row r="29" spans="1:22">
      <c r="A29" s="2155"/>
      <c r="B29" s="2126" t="s">
        <v>483</v>
      </c>
      <c r="C29" s="3425"/>
      <c r="D29" s="3426"/>
      <c r="E29" s="3037"/>
      <c r="F29" s="3037"/>
      <c r="G29" s="3037"/>
      <c r="H29" s="3037"/>
      <c r="I29" s="3037"/>
      <c r="J29" s="2916"/>
      <c r="K29" s="3451"/>
      <c r="L29" s="3449"/>
      <c r="M29" s="3449"/>
      <c r="N29" s="2916"/>
      <c r="O29" s="3450"/>
      <c r="P29" s="2916"/>
      <c r="Q29" s="2916"/>
      <c r="R29" s="2916"/>
      <c r="S29" s="2916"/>
      <c r="T29" s="2916"/>
      <c r="U29" s="2916"/>
      <c r="V29" s="2916"/>
    </row>
    <row r="30" spans="1:22">
      <c r="A30" s="2162"/>
      <c r="B30" s="2126" t="s">
        <v>484</v>
      </c>
      <c r="C30" s="3427"/>
      <c r="D30" s="3428"/>
      <c r="E30" s="3037"/>
      <c r="F30" s="3037"/>
      <c r="G30" s="3037"/>
      <c r="H30" s="3037"/>
      <c r="I30" s="3037"/>
      <c r="J30" s="2916"/>
      <c r="K30" s="3451"/>
      <c r="L30" s="3449"/>
      <c r="M30" s="3449"/>
      <c r="N30" s="2916"/>
      <c r="O30" s="3450"/>
      <c r="P30" s="2916"/>
      <c r="Q30" s="2916"/>
      <c r="R30" s="2916"/>
      <c r="S30" s="2916"/>
      <c r="T30" s="2916"/>
      <c r="U30" s="2916"/>
      <c r="V30" s="2916"/>
    </row>
    <row r="31" spans="1:22">
      <c r="A31" s="3429" t="s">
        <v>485</v>
      </c>
      <c r="B31" s="3430"/>
      <c r="C31" s="2282" t="str">
        <f>IF(B31="现房","成新及维护状况正常否",IF(B31="在建","工程状态是否正常",IF(B31="土地","是否闲置","-")))</f>
        <v>-</v>
      </c>
      <c r="D31" s="2384"/>
      <c r="E31" s="3431"/>
      <c r="F31" s="3037"/>
      <c r="G31" s="3037"/>
      <c r="H31" s="3037"/>
      <c r="I31" s="3037"/>
      <c r="J31" s="2916"/>
      <c r="K31" s="3448"/>
      <c r="L31" s="3449"/>
      <c r="M31" s="3449"/>
      <c r="N31" s="2916"/>
      <c r="O31" s="3450"/>
      <c r="P31" s="2916"/>
      <c r="Q31" s="2916"/>
      <c r="R31" s="2916"/>
      <c r="S31" s="2916"/>
      <c r="T31" s="2916"/>
      <c r="U31" s="2916"/>
      <c r="V31" s="2916"/>
    </row>
    <row r="32" spans="1:22">
      <c r="A32" s="2618"/>
      <c r="B32" s="3430"/>
      <c r="C32" s="2282" t="str">
        <f>IF(B32="现房","成新及维护状况是否正常",IF(B32="在建","工程状态是否正常",IF(B32="土地","是否闲置","-")))</f>
        <v>-</v>
      </c>
      <c r="D32" s="2384"/>
      <c r="E32" s="3431"/>
      <c r="F32" s="3037"/>
      <c r="G32" s="3037"/>
      <c r="H32" s="3037"/>
      <c r="I32" s="3037"/>
      <c r="J32" s="2916"/>
      <c r="K32" s="3451"/>
      <c r="L32" s="3449"/>
      <c r="M32" s="3449"/>
      <c r="N32" s="2916"/>
      <c r="O32" s="3450"/>
      <c r="P32" s="2916"/>
      <c r="Q32" s="2916"/>
      <c r="R32" s="2916"/>
      <c r="S32" s="2916"/>
      <c r="T32" s="2916"/>
      <c r="U32" s="2916"/>
      <c r="V32" s="2916"/>
    </row>
    <row r="33" spans="1:22">
      <c r="A33" s="2618"/>
      <c r="B33" s="3432"/>
      <c r="C33" s="2617" t="str">
        <f>IF(B33="现房","成新及维护状况是否正常",IF(B33="在建","工程状态是否正常",IF(B33="土地","是否闲置","-")))</f>
        <v>-</v>
      </c>
      <c r="D33" s="2137"/>
      <c r="E33" s="3433"/>
      <c r="F33" s="3037"/>
      <c r="G33" s="3037"/>
      <c r="H33" s="3037"/>
      <c r="I33" s="3037"/>
      <c r="J33" s="2916"/>
      <c r="K33" s="3451"/>
      <c r="L33" s="3449"/>
      <c r="M33" s="3449"/>
      <c r="N33" s="2916"/>
      <c r="O33" s="3450"/>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4"/>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5"/>
      <c r="B36" s="1122" t="s">
        <v>444</v>
      </c>
      <c r="C36" s="1122" t="s">
        <v>445</v>
      </c>
      <c r="D36" s="1122" t="s">
        <v>443</v>
      </c>
      <c r="E36" s="1122" t="s">
        <v>448</v>
      </c>
      <c r="F36" s="3436" t="s">
        <v>280</v>
      </c>
      <c r="G36" s="3037"/>
      <c r="H36" s="3037"/>
      <c r="I36" s="3037"/>
      <c r="J36" s="2916"/>
      <c r="K36" s="3451"/>
      <c r="L36" s="3449"/>
      <c r="M36" s="3449"/>
      <c r="N36" s="2916"/>
      <c r="O36" s="3450"/>
      <c r="P36" s="2916"/>
      <c r="Q36" s="2916"/>
      <c r="R36" s="2916"/>
      <c r="S36" s="2916"/>
      <c r="T36" s="2916"/>
      <c r="U36" s="2916"/>
      <c r="V36" s="2916"/>
    </row>
    <row r="37" spans="1:22">
      <c r="A37" s="3437" t="s">
        <v>496</v>
      </c>
      <c r="B37" s="3438"/>
      <c r="C37" s="3438" t="s">
        <v>273</v>
      </c>
      <c r="D37" s="3438"/>
      <c r="E37" s="3438"/>
      <c r="F37" s="3438"/>
      <c r="G37" s="3037"/>
      <c r="H37" s="3037"/>
      <c r="I37" s="3037"/>
      <c r="J37" s="2916"/>
      <c r="K37" s="3451"/>
      <c r="L37" s="3449"/>
      <c r="M37" s="3449"/>
      <c r="N37" s="2916"/>
      <c r="O37" s="3450"/>
      <c r="P37" s="2916"/>
      <c r="Q37" s="2916"/>
      <c r="R37" s="2916"/>
      <c r="S37" s="2916"/>
      <c r="T37" s="2916"/>
      <c r="U37" s="2916"/>
      <c r="V37" s="2916"/>
    </row>
    <row r="38" ht="13.95" spans="1:22">
      <c r="A38" s="3439" t="s">
        <v>497</v>
      </c>
      <c r="B38" s="3440"/>
      <c r="C38" s="3440" t="s">
        <v>498</v>
      </c>
      <c r="D38" s="3440"/>
      <c r="E38" s="3440"/>
      <c r="F38" s="3440"/>
      <c r="G38" s="3361"/>
      <c r="H38" s="3361"/>
      <c r="I38" s="3361"/>
      <c r="J38" s="2916"/>
      <c r="K38" s="3451"/>
      <c r="L38" s="3449"/>
      <c r="M38" s="3449"/>
      <c r="N38" s="2916"/>
      <c r="O38" s="3450"/>
      <c r="P38" s="2916"/>
      <c r="Q38" s="2916"/>
      <c r="R38" s="2916"/>
      <c r="S38" s="2916"/>
      <c r="T38" s="2916"/>
      <c r="U38" s="2916"/>
      <c r="V38" s="2916"/>
    </row>
    <row r="39" s="3324" customFormat="1" ht="14.7"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3"/>
      <c r="J40" s="2917"/>
      <c r="K40" s="3448"/>
      <c r="L40" s="3460"/>
      <c r="M40" s="3460"/>
      <c r="N40" s="2917"/>
      <c r="O40" s="3460"/>
      <c r="P40" s="2916"/>
      <c r="Q40" s="2916"/>
      <c r="R40" s="2916"/>
      <c r="S40" s="2916"/>
      <c r="T40" s="2916"/>
      <c r="U40" s="2916"/>
      <c r="V40" s="2916"/>
    </row>
    <row r="41" spans="1:22">
      <c r="A41" s="3443" t="s">
        <v>500</v>
      </c>
      <c r="B41" s="2507"/>
      <c r="C41" s="2384"/>
      <c r="D41" s="3373"/>
      <c r="E41" s="3373"/>
      <c r="F41" s="3373"/>
      <c r="G41" s="3373"/>
      <c r="H41" s="3373"/>
      <c r="I41" s="3236"/>
      <c r="J41" s="2916"/>
      <c r="K41" s="3451"/>
      <c r="L41" s="3449"/>
      <c r="M41" s="3449"/>
      <c r="N41" s="2916"/>
      <c r="O41" s="3450"/>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72" t="s">
        <v>510</v>
      </c>
      <c r="K42" s="3473" t="s">
        <v>511</v>
      </c>
      <c r="L42" s="3473" t="s">
        <v>512</v>
      </c>
      <c r="M42" s="3473" t="s">
        <v>513</v>
      </c>
      <c r="N42" s="3474" t="s">
        <v>514</v>
      </c>
      <c r="O42" s="3474" t="s">
        <v>515</v>
      </c>
      <c r="P42" s="3474" t="s">
        <v>516</v>
      </c>
      <c r="Q42" s="3479" t="s">
        <v>517</v>
      </c>
      <c r="R42" s="3479" t="s">
        <v>518</v>
      </c>
      <c r="S42" s="2916"/>
      <c r="T42" s="2916"/>
      <c r="U42" s="2916"/>
      <c r="V42" s="2916"/>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6"/>
      <c r="T43" s="2916"/>
      <c r="U43" s="2916"/>
      <c r="V43" s="2916"/>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6"/>
      <c r="T44" s="2916"/>
      <c r="U44" s="2916"/>
      <c r="V44" s="2916"/>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6"/>
      <c r="T45" s="2916"/>
      <c r="U45" s="2916"/>
      <c r="V45" s="2916"/>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6"/>
      <c r="T46" s="2916"/>
      <c r="U46" s="2916"/>
      <c r="V46" s="2916"/>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6"/>
      <c r="T47" s="2916"/>
      <c r="U47" s="2916"/>
      <c r="V47" s="2916"/>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6"/>
      <c r="T48" s="2916"/>
      <c r="U48" s="2916"/>
      <c r="V48" s="2916"/>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6"/>
      <c r="T49" s="2916"/>
      <c r="U49" s="2916"/>
      <c r="V49" s="2916"/>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6"/>
      <c r="T50" s="2916"/>
      <c r="U50" s="2916"/>
      <c r="V50" s="2916"/>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8888888888889" defaultRowHeight="13.8"/>
  <cols>
    <col min="1" max="1" width="10.6666666666667" style="3233" customWidth="1"/>
    <col min="2" max="2" width="11" style="3233" customWidth="1"/>
    <col min="3" max="3" width="10.3333333333333" style="3233" customWidth="1"/>
    <col min="4" max="4" width="9.11111111111111" style="3233" customWidth="1"/>
    <col min="5" max="6" width="10" style="3231" customWidth="1"/>
    <col min="7" max="8" width="10" style="3233" customWidth="1"/>
    <col min="9" max="9" width="10.6666666666667" style="3233" customWidth="1"/>
    <col min="10" max="10" width="9.44444444444444" style="3233" customWidth="1"/>
    <col min="11" max="11" width="11" style="3233" customWidth="1"/>
    <col min="12" max="14" width="9.44444444444444" style="3233" customWidth="1"/>
    <col min="15" max="15" width="9.88888888888889" style="3233" customWidth="1"/>
    <col min="16" max="16" width="9.77777777777778" style="3233" customWidth="1"/>
    <col min="17" max="17" width="9.33333333333333" style="3233" customWidth="1"/>
    <col min="18" max="18" width="9.22222222222222" style="3233" customWidth="1"/>
    <col min="19" max="19" width="10.8888888888889" style="3233" customWidth="1"/>
    <col min="20" max="21" width="10.7777777777778" style="3233" customWidth="1"/>
    <col min="22" max="22" width="10.8888888888889" style="3233" customWidth="1"/>
    <col min="23" max="27" width="10.7777777777778" style="3233" customWidth="1"/>
    <col min="28" max="28" width="10.8888888888889" style="3233" customWidth="1"/>
    <col min="29" max="29" width="11" style="3233" customWidth="1"/>
    <col min="30" max="30" width="10" style="3233" customWidth="1"/>
    <col min="31" max="31" width="9.77777777777778" style="3233" customWidth="1"/>
    <col min="32" max="46" width="9.44444444444444" style="3233" customWidth="1"/>
    <col min="47" max="47" width="18.1111111111111" style="3233" customWidth="1"/>
    <col min="48" max="50" width="9.77777777777778" style="3233" customWidth="1"/>
    <col min="51" max="55" width="10.4444444444444" style="3233" customWidth="1"/>
    <col min="56" max="56" width="9.44444444444444" style="3233" customWidth="1"/>
    <col min="57" max="63" width="9.11111111111111" style="3233" customWidth="1"/>
    <col min="64" max="64" width="9.44444444444444" style="3233" customWidth="1"/>
    <col min="65" max="65" width="9.11111111111111" style="3233" customWidth="1"/>
    <col min="66" max="66" width="9.44444444444444" style="3233" customWidth="1"/>
    <col min="67" max="69" width="9.11111111111111" style="3233" customWidth="1"/>
    <col min="70" max="70" width="9.44444444444444" style="3233" customWidth="1"/>
    <col min="71" max="71" width="9" style="3233" customWidth="1"/>
    <col min="72" max="72" width="9.11111111111111" style="3233" customWidth="1"/>
    <col min="73" max="16384" width="8.88888888888889" style="3233"/>
  </cols>
  <sheetData>
    <row r="1" ht="20.4"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64" t="s">
        <v>460</v>
      </c>
      <c r="B2" s="1064" t="s">
        <v>456</v>
      </c>
      <c r="C2" s="1064" t="s">
        <v>521</v>
      </c>
      <c r="D2" s="3236"/>
      <c r="E2" s="2591"/>
      <c r="F2" s="2643"/>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64"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2" spans="1:72">
      <c r="A3" s="3237"/>
      <c r="B3" s="3238">
        <f>IF(C3="否",G5-AT5,G5)</f>
        <v>249.73</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9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2" spans="1:72">
      <c r="A5" s="2282" t="s">
        <v>526</v>
      </c>
      <c r="B5" s="2503"/>
      <c r="C5" s="2503"/>
      <c r="D5" s="2657"/>
      <c r="E5" s="3243" t="s">
        <v>124</v>
      </c>
      <c r="F5" s="3243">
        <f>SUM(F13:F587)</f>
        <v>0</v>
      </c>
      <c r="G5" s="3243">
        <f>SUM(G13:G587)</f>
        <v>249.73</v>
      </c>
      <c r="H5" s="3243">
        <f t="shared" ref="H5:AT5" si="0">SUM(H13:H656)</f>
        <v>249.73</v>
      </c>
      <c r="I5" s="3243">
        <f t="shared" si="0"/>
        <v>249.73</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2"/>
      <c r="AV5" s="2282" t="s">
        <v>526</v>
      </c>
      <c r="AW5" s="2503"/>
      <c r="AX5" s="2503"/>
      <c r="AY5" s="3302" t="s">
        <v>124</v>
      </c>
      <c r="AZ5" s="3303">
        <f t="shared" ref="AZ5:BT5" si="1">SUM(AZ13:AZ656)</f>
        <v>249.73</v>
      </c>
      <c r="BA5" s="3303">
        <f t="shared" si="1"/>
        <v>249.73</v>
      </c>
      <c r="BB5" s="3303">
        <f t="shared" si="1"/>
        <v>249.73</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2" spans="1:72">
      <c r="A6" s="2282"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82"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5.2" spans="1:72">
      <c r="A7" s="3247" t="s">
        <v>528</v>
      </c>
      <c r="B7" s="3247" t="s">
        <v>529</v>
      </c>
      <c r="C7" s="3247" t="s">
        <v>502</v>
      </c>
      <c r="D7" s="3247" t="s">
        <v>530</v>
      </c>
      <c r="E7" s="3247" t="s">
        <v>527</v>
      </c>
      <c r="F7" s="3247" t="s">
        <v>531</v>
      </c>
      <c r="G7" s="2617"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7"/>
      <c r="AU7" s="3248" t="s">
        <v>533</v>
      </c>
      <c r="AV7" s="3289" t="s">
        <v>528</v>
      </c>
      <c r="AW7" s="2643" t="s">
        <v>529</v>
      </c>
      <c r="AX7" s="3289" t="s">
        <v>502</v>
      </c>
      <c r="AY7" s="2503"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5" customFormat="1" ht="24" spans="1:72">
      <c r="A8" s="3249"/>
      <c r="B8" s="3249"/>
      <c r="C8" s="3249"/>
      <c r="D8" s="3249"/>
      <c r="E8" s="3249"/>
      <c r="F8" s="3249"/>
      <c r="G8" s="3250" t="s">
        <v>535</v>
      </c>
      <c r="H8" s="3251" t="s">
        <v>536</v>
      </c>
      <c r="I8" s="3269"/>
      <c r="J8" s="1063"/>
      <c r="K8" s="1063"/>
      <c r="L8" s="1063"/>
      <c r="M8" s="1063"/>
      <c r="N8" s="1063"/>
      <c r="O8" s="1063"/>
      <c r="P8" s="1063"/>
      <c r="Q8" s="1063"/>
      <c r="R8" s="1063"/>
      <c r="S8" s="1063"/>
      <c r="T8" s="1063"/>
      <c r="U8" s="1063"/>
      <c r="V8" s="3276"/>
      <c r="W8" s="1063"/>
      <c r="X8" s="1063"/>
      <c r="Y8" s="1063"/>
      <c r="Z8" s="1063"/>
      <c r="AA8" s="3276"/>
      <c r="AB8" s="3278"/>
      <c r="AC8" s="2433" t="s">
        <v>537</v>
      </c>
      <c r="AD8" s="3279"/>
      <c r="AE8" s="3280"/>
      <c r="AF8" s="1063"/>
      <c r="AG8" s="1063"/>
      <c r="AH8" s="1063"/>
      <c r="AI8" s="1063"/>
      <c r="AJ8" s="1063"/>
      <c r="AK8" s="1063"/>
      <c r="AL8" s="1063"/>
      <c r="AM8" s="1063"/>
      <c r="AN8" s="1063"/>
      <c r="AO8" s="1063"/>
      <c r="AP8" s="1063"/>
      <c r="AQ8" s="1063"/>
      <c r="AR8" s="1063"/>
      <c r="AS8" s="1063"/>
      <c r="AT8" s="2118" t="s">
        <v>538</v>
      </c>
      <c r="AU8" s="3249"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9"/>
      <c r="B9" s="3249"/>
      <c r="C9" s="3249"/>
      <c r="D9" s="3249"/>
      <c r="E9" s="3249"/>
      <c r="F9" s="3249"/>
      <c r="G9" s="2118"/>
      <c r="H9" s="3252" t="s">
        <v>540</v>
      </c>
      <c r="I9" s="3270" t="s">
        <v>541</v>
      </c>
      <c r="J9" s="2433"/>
      <c r="K9" s="3270"/>
      <c r="L9" s="2433"/>
      <c r="M9" s="3270"/>
      <c r="N9" s="2433"/>
      <c r="O9" s="3270"/>
      <c r="P9" s="2433"/>
      <c r="Q9" s="3270"/>
      <c r="R9" s="2433"/>
      <c r="S9" s="3270"/>
      <c r="T9" s="2433"/>
      <c r="U9" s="3270"/>
      <c r="V9" s="2433"/>
      <c r="W9" s="3270"/>
      <c r="X9" s="3277"/>
      <c r="Y9" s="3270"/>
      <c r="Z9" s="2433"/>
      <c r="AA9" s="3270"/>
      <c r="AB9" s="2433"/>
      <c r="AC9" s="3250"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90"/>
      <c r="AT9" s="3249"/>
      <c r="AU9" s="3249" t="s">
        <v>544</v>
      </c>
      <c r="AV9" s="2118"/>
      <c r="AW9" s="2591"/>
      <c r="AX9" s="2118"/>
      <c r="AY9" s="3253"/>
      <c r="AZ9" s="3253" t="s">
        <v>535</v>
      </c>
      <c r="BA9" s="3305" t="s">
        <v>545</v>
      </c>
      <c r="BB9" s="3306"/>
      <c r="BC9" s="2179"/>
      <c r="BD9" s="2179"/>
      <c r="BE9" s="2179"/>
      <c r="BF9" s="2179"/>
      <c r="BG9" s="2179"/>
      <c r="BH9" s="2179"/>
      <c r="BI9" s="2179"/>
      <c r="BJ9" s="2179"/>
      <c r="BK9" s="3311"/>
      <c r="BL9" s="2282" t="s">
        <v>546</v>
      </c>
      <c r="BM9" s="1063"/>
      <c r="BN9" s="3269"/>
      <c r="BO9" s="1063"/>
      <c r="BP9" s="1063"/>
      <c r="BQ9" s="1063"/>
      <c r="BR9" s="1063"/>
      <c r="BS9" s="1063"/>
      <c r="BT9" s="2167"/>
    </row>
    <row r="10" s="2935" customFormat="1" ht="13.2" spans="1:72">
      <c r="A10" s="3249"/>
      <c r="B10" s="3249"/>
      <c r="C10" s="3249"/>
      <c r="D10" s="3249"/>
      <c r="E10" s="3249"/>
      <c r="F10" s="3249"/>
      <c r="G10" s="2118"/>
      <c r="H10" s="3253"/>
      <c r="I10" s="3270" t="s">
        <v>547</v>
      </c>
      <c r="J10" s="2433"/>
      <c r="K10" s="3271"/>
      <c r="L10" s="2433"/>
      <c r="M10" s="3271"/>
      <c r="N10" s="2433"/>
      <c r="O10" s="3271"/>
      <c r="P10" s="2433"/>
      <c r="Q10" s="3271"/>
      <c r="R10" s="2433"/>
      <c r="S10" s="3271"/>
      <c r="T10" s="2433"/>
      <c r="U10" s="3271"/>
      <c r="V10" s="2433"/>
      <c r="W10" s="3271"/>
      <c r="X10" s="2433"/>
      <c r="Y10" s="3271"/>
      <c r="Z10" s="2433"/>
      <c r="AA10" s="3271"/>
      <c r="AB10" s="2433"/>
      <c r="AC10" s="2118"/>
      <c r="AD10" s="2282" t="s">
        <v>548</v>
      </c>
      <c r="AE10" s="3281"/>
      <c r="AF10" s="2282" t="s">
        <v>548</v>
      </c>
      <c r="AG10" s="3281"/>
      <c r="AH10" s="2282" t="s">
        <v>549</v>
      </c>
      <c r="AI10" s="3281"/>
      <c r="AJ10" s="2282" t="s">
        <v>549</v>
      </c>
      <c r="AK10" s="3281"/>
      <c r="AL10" s="2282" t="s">
        <v>550</v>
      </c>
      <c r="AM10" s="2132"/>
      <c r="AN10" s="2282" t="s">
        <v>550</v>
      </c>
      <c r="AO10" s="2132"/>
      <c r="AP10" s="2282" t="s">
        <v>551</v>
      </c>
      <c r="AQ10" s="2132"/>
      <c r="AR10" s="2282" t="s">
        <v>551</v>
      </c>
      <c r="AS10" s="2132"/>
      <c r="AT10" s="3249"/>
      <c r="AU10" s="3249"/>
      <c r="AV10" s="2118"/>
      <c r="AW10" s="2591"/>
      <c r="AX10" s="2118"/>
      <c r="AY10" s="3253"/>
      <c r="AZ10" s="3253"/>
      <c r="BA10" s="3254" t="s">
        <v>540</v>
      </c>
      <c r="BB10" s="3307"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5" t="str">
        <f>AR9</f>
        <v>地下</v>
      </c>
    </row>
    <row r="11" s="2935" customFormat="1" ht="13.2" spans="1:72">
      <c r="A11" s="3249"/>
      <c r="B11" s="3249"/>
      <c r="C11" s="3249"/>
      <c r="D11" s="3249"/>
      <c r="E11" s="3249"/>
      <c r="F11" s="3249"/>
      <c r="G11" s="2118"/>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18"/>
      <c r="AD11" s="3282" t="s">
        <v>552</v>
      </c>
      <c r="AE11" s="1120"/>
      <c r="AF11" s="3282" t="s">
        <v>552</v>
      </c>
      <c r="AG11" s="1120"/>
      <c r="AH11" s="3282" t="s">
        <v>553</v>
      </c>
      <c r="AI11" s="3286"/>
      <c r="AJ11" s="3282" t="s">
        <v>553</v>
      </c>
      <c r="AK11" s="1120"/>
      <c r="AL11" s="1062"/>
      <c r="AM11" s="1120"/>
      <c r="AN11" s="1062"/>
      <c r="AO11" s="1120"/>
      <c r="AP11" s="1062"/>
      <c r="AQ11" s="1120"/>
      <c r="AR11" s="1062"/>
      <c r="AS11" s="1120"/>
      <c r="AT11" s="2591"/>
      <c r="AU11" s="3249"/>
      <c r="AV11" s="2118"/>
      <c r="AW11" s="2591"/>
      <c r="AX11" s="2118"/>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6" t="str">
        <f>AR10</f>
        <v>未注明</v>
      </c>
    </row>
    <row r="12" s="3228" customFormat="1" ht="13.2" spans="1:72">
      <c r="A12" s="3255"/>
      <c r="B12" s="3255"/>
      <c r="C12" s="3255"/>
      <c r="D12" s="3255"/>
      <c r="E12" s="3255"/>
      <c r="F12" s="3255"/>
      <c r="G12" s="634"/>
      <c r="H12" s="3256"/>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3"/>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5" t="s">
        <v>555</v>
      </c>
      <c r="AT12" s="3291"/>
      <c r="AU12" s="3255"/>
      <c r="AV12" s="3292"/>
      <c r="AW12" s="2643"/>
      <c r="AX12" s="3292"/>
      <c r="AY12" s="3308"/>
      <c r="AZ12" s="3253"/>
      <c r="BA12" s="3254"/>
      <c r="BB12" s="1061">
        <f>I11</f>
        <v>0</v>
      </c>
      <c r="BC12" s="3309">
        <f>K11</f>
        <v>0</v>
      </c>
      <c r="BD12" s="3309">
        <f>M11</f>
        <v>0</v>
      </c>
      <c r="BE12" s="3278">
        <f>O11</f>
        <v>0</v>
      </c>
      <c r="BF12" s="3278">
        <f>Q11</f>
        <v>0</v>
      </c>
      <c r="BG12" s="3278">
        <f>S11</f>
        <v>0</v>
      </c>
      <c r="BH12" s="3278">
        <f>U11</f>
        <v>0</v>
      </c>
      <c r="BI12" s="3278">
        <f>W11</f>
        <v>0</v>
      </c>
      <c r="BJ12" s="3278">
        <f>Y11</f>
        <v>0</v>
      </c>
      <c r="BK12" s="3278">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6">
        <f>AR11</f>
        <v>0</v>
      </c>
    </row>
    <row r="13" s="3228" customFormat="1" ht="13.2" spans="1:72">
      <c r="A13" s="3257"/>
      <c r="B13" s="3257"/>
      <c r="C13" s="3257"/>
      <c r="D13" s="3258" t="s">
        <v>556</v>
      </c>
      <c r="E13" s="3243">
        <f>IF($C$3="是",ROUND($A$3*G13/$B$3,2),ROUND($A$3*(G13-AT13)/$B$3,2))</f>
        <v>0</v>
      </c>
      <c r="F13" s="3259"/>
      <c r="G13" s="3260">
        <f>H13+AC13+AT13</f>
        <v>249.73</v>
      </c>
      <c r="H13" s="3246">
        <f>SUMIF(I$12:AB$12,"总值",I13:AB13)</f>
        <v>249.73</v>
      </c>
      <c r="I13" s="3274">
        <v>249.73</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64">
        <f t="shared" ref="AV13:AX17" si="6">A13</f>
        <v>0</v>
      </c>
      <c r="AW13" s="1064">
        <f t="shared" si="6"/>
        <v>0</v>
      </c>
      <c r="AX13" s="1064">
        <f t="shared" si="6"/>
        <v>0</v>
      </c>
      <c r="AY13" s="2657">
        <f>ROUND($AY$6*AZ13/$AZ$5,2)</f>
        <v>0</v>
      </c>
      <c r="AZ13" s="3243">
        <f>BA13+BL13</f>
        <v>249.73</v>
      </c>
      <c r="BA13" s="3243">
        <f>SUM(BB13:BK13)</f>
        <v>249.73</v>
      </c>
      <c r="BB13" s="3243">
        <f>IF($D13="是",I13-J13,0)</f>
        <v>249.73</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3.2"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64">
        <f t="shared" si="6"/>
        <v>0</v>
      </c>
      <c r="AW14" s="1064">
        <f t="shared" si="6"/>
        <v>0</v>
      </c>
      <c r="AX14" s="1064">
        <f t="shared" si="6"/>
        <v>0</v>
      </c>
      <c r="AY14" s="2657">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3.2"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64">
        <f t="shared" si="6"/>
        <v>0</v>
      </c>
      <c r="AW15" s="1064">
        <f t="shared" si="6"/>
        <v>0</v>
      </c>
      <c r="AX15" s="1064">
        <f t="shared" si="6"/>
        <v>0</v>
      </c>
      <c r="AY15" s="2657">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3.2"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64">
        <f t="shared" si="6"/>
        <v>0</v>
      </c>
      <c r="AW16" s="1064">
        <f t="shared" si="6"/>
        <v>0</v>
      </c>
      <c r="AX16" s="1064">
        <f t="shared" si="6"/>
        <v>0</v>
      </c>
      <c r="AY16" s="2657">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3.2"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64">
        <f t="shared" si="6"/>
        <v>0</v>
      </c>
      <c r="AW17" s="1064">
        <f t="shared" si="6"/>
        <v>0</v>
      </c>
      <c r="AX17" s="1064">
        <f t="shared" si="6"/>
        <v>0</v>
      </c>
      <c r="AY17" s="2657">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74">
        <f t="shared" ref="AV18:AV112" si="11">A18</f>
        <v>0</v>
      </c>
      <c r="AW18" s="1374">
        <f t="shared" ref="AW18:AW112" si="12">B18</f>
        <v>0</v>
      </c>
      <c r="AX18" s="1374">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74">
        <f t="shared" si="11"/>
        <v>0</v>
      </c>
      <c r="AW19" s="1374">
        <f t="shared" si="12"/>
        <v>0</v>
      </c>
      <c r="AX19" s="1374">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74">
        <f t="shared" si="11"/>
        <v>0</v>
      </c>
      <c r="AW20" s="1374">
        <f t="shared" si="12"/>
        <v>0</v>
      </c>
      <c r="AX20" s="1374">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74">
        <f t="shared" si="11"/>
        <v>0</v>
      </c>
      <c r="AW21" s="1374">
        <f t="shared" si="12"/>
        <v>0</v>
      </c>
      <c r="AX21" s="1374">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74">
        <f t="shared" si="11"/>
        <v>0</v>
      </c>
      <c r="AW22" s="1374">
        <f t="shared" si="12"/>
        <v>0</v>
      </c>
      <c r="AX22" s="1374">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74">
        <f t="shared" si="11"/>
        <v>0</v>
      </c>
      <c r="AW23" s="1374">
        <f t="shared" si="12"/>
        <v>0</v>
      </c>
      <c r="AX23" s="1374">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74">
        <f t="shared" si="11"/>
        <v>0</v>
      </c>
      <c r="AW24" s="1374">
        <f t="shared" si="12"/>
        <v>0</v>
      </c>
      <c r="AX24" s="1374">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74">
        <f t="shared" si="11"/>
        <v>0</v>
      </c>
      <c r="AW25" s="1374">
        <f t="shared" si="12"/>
        <v>0</v>
      </c>
      <c r="AX25" s="1374">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74">
        <f t="shared" si="11"/>
        <v>0</v>
      </c>
      <c r="AW26" s="1374">
        <f t="shared" si="12"/>
        <v>0</v>
      </c>
      <c r="AX26" s="1374">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74">
        <f t="shared" si="11"/>
        <v>0</v>
      </c>
      <c r="AW27" s="1374">
        <f t="shared" si="12"/>
        <v>0</v>
      </c>
      <c r="AX27" s="1374">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74">
        <f t="shared" si="11"/>
        <v>0</v>
      </c>
      <c r="AW28" s="1374">
        <f t="shared" si="12"/>
        <v>0</v>
      </c>
      <c r="AX28" s="1374">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74">
        <f t="shared" si="11"/>
        <v>0</v>
      </c>
      <c r="AW29" s="1374">
        <f t="shared" si="12"/>
        <v>0</v>
      </c>
      <c r="AX29" s="1374">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74">
        <f t="shared" si="11"/>
        <v>0</v>
      </c>
      <c r="AW30" s="1374">
        <f t="shared" si="12"/>
        <v>0</v>
      </c>
      <c r="AX30" s="1374">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74">
        <f t="shared" si="11"/>
        <v>0</v>
      </c>
      <c r="AW31" s="1374">
        <f t="shared" si="12"/>
        <v>0</v>
      </c>
      <c r="AX31" s="1374">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74">
        <f t="shared" si="11"/>
        <v>0</v>
      </c>
      <c r="AW32" s="1374">
        <f t="shared" si="12"/>
        <v>0</v>
      </c>
      <c r="AX32" s="1374">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74">
        <f t="shared" si="11"/>
        <v>0</v>
      </c>
      <c r="AW33" s="1374">
        <f t="shared" si="12"/>
        <v>0</v>
      </c>
      <c r="AX33" s="1374">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74">
        <f t="shared" si="11"/>
        <v>0</v>
      </c>
      <c r="AW34" s="1374">
        <f t="shared" si="12"/>
        <v>0</v>
      </c>
      <c r="AX34" s="1374">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74">
        <f t="shared" si="11"/>
        <v>0</v>
      </c>
      <c r="AW35" s="1374">
        <f t="shared" si="12"/>
        <v>0</v>
      </c>
      <c r="AX35" s="1374">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74">
        <f t="shared" si="11"/>
        <v>0</v>
      </c>
      <c r="AW36" s="1374">
        <f t="shared" si="12"/>
        <v>0</v>
      </c>
      <c r="AX36" s="1374">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74">
        <f t="shared" si="11"/>
        <v>0</v>
      </c>
      <c r="AW37" s="1374">
        <f t="shared" si="12"/>
        <v>0</v>
      </c>
      <c r="AX37" s="1374">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74">
        <f t="shared" si="11"/>
        <v>0</v>
      </c>
      <c r="AW38" s="1374">
        <f t="shared" si="12"/>
        <v>0</v>
      </c>
      <c r="AX38" s="1374">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74">
        <f t="shared" si="11"/>
        <v>0</v>
      </c>
      <c r="AW39" s="1374">
        <f t="shared" si="12"/>
        <v>0</v>
      </c>
      <c r="AX39" s="1374">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74">
        <f t="shared" si="11"/>
        <v>0</v>
      </c>
      <c r="AW40" s="1374">
        <f t="shared" si="12"/>
        <v>0</v>
      </c>
      <c r="AX40" s="1374">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74">
        <f t="shared" si="11"/>
        <v>0</v>
      </c>
      <c r="AW41" s="1374">
        <f t="shared" si="12"/>
        <v>0</v>
      </c>
      <c r="AX41" s="1374">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74">
        <f t="shared" si="11"/>
        <v>0</v>
      </c>
      <c r="AW42" s="1374">
        <f t="shared" si="12"/>
        <v>0</v>
      </c>
      <c r="AX42" s="1374">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74">
        <f t="shared" si="11"/>
        <v>0</v>
      </c>
      <c r="AW43" s="1374">
        <f t="shared" si="12"/>
        <v>0</v>
      </c>
      <c r="AX43" s="1374">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74">
        <f t="shared" si="11"/>
        <v>0</v>
      </c>
      <c r="AW44" s="1374">
        <f t="shared" si="12"/>
        <v>0</v>
      </c>
      <c r="AX44" s="1374">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74">
        <f t="shared" si="11"/>
        <v>0</v>
      </c>
      <c r="AW45" s="1374">
        <f t="shared" si="12"/>
        <v>0</v>
      </c>
      <c r="AX45" s="1374">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74">
        <f t="shared" si="11"/>
        <v>0</v>
      </c>
      <c r="AW46" s="1374">
        <f t="shared" si="12"/>
        <v>0</v>
      </c>
      <c r="AX46" s="1374">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74">
        <f t="shared" si="11"/>
        <v>0</v>
      </c>
      <c r="AW47" s="1374">
        <f t="shared" si="12"/>
        <v>0</v>
      </c>
      <c r="AX47" s="1374">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74">
        <f t="shared" si="11"/>
        <v>0</v>
      </c>
      <c r="AW48" s="1374">
        <f t="shared" si="12"/>
        <v>0</v>
      </c>
      <c r="AX48" s="1374">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74">
        <f t="shared" si="11"/>
        <v>0</v>
      </c>
      <c r="AW49" s="1374">
        <f t="shared" si="12"/>
        <v>0</v>
      </c>
      <c r="AX49" s="1374">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74">
        <f t="shared" si="11"/>
        <v>0</v>
      </c>
      <c r="AW50" s="1374">
        <f t="shared" si="12"/>
        <v>0</v>
      </c>
      <c r="AX50" s="1374">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74">
        <f t="shared" si="11"/>
        <v>0</v>
      </c>
      <c r="AW51" s="1374">
        <f t="shared" si="12"/>
        <v>0</v>
      </c>
      <c r="AX51" s="1374">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74">
        <f t="shared" si="11"/>
        <v>0</v>
      </c>
      <c r="AW52" s="1374">
        <f t="shared" si="12"/>
        <v>0</v>
      </c>
      <c r="AX52" s="1374">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74">
        <f t="shared" si="11"/>
        <v>0</v>
      </c>
      <c r="AW53" s="1374">
        <f t="shared" si="12"/>
        <v>0</v>
      </c>
      <c r="AX53" s="1374">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74">
        <f t="shared" si="11"/>
        <v>0</v>
      </c>
      <c r="AW54" s="1374">
        <f t="shared" si="12"/>
        <v>0</v>
      </c>
      <c r="AX54" s="1374">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74">
        <f t="shared" si="11"/>
        <v>0</v>
      </c>
      <c r="AW55" s="1374">
        <f t="shared" si="12"/>
        <v>0</v>
      </c>
      <c r="AX55" s="1374">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74">
        <f t="shared" si="11"/>
        <v>0</v>
      </c>
      <c r="AW56" s="1374">
        <f t="shared" si="12"/>
        <v>0</v>
      </c>
      <c r="AX56" s="1374">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74">
        <f t="shared" si="11"/>
        <v>0</v>
      </c>
      <c r="AW57" s="1374">
        <f t="shared" si="12"/>
        <v>0</v>
      </c>
      <c r="AX57" s="1374">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74">
        <f t="shared" si="11"/>
        <v>0</v>
      </c>
      <c r="AW58" s="1374">
        <f t="shared" si="12"/>
        <v>0</v>
      </c>
      <c r="AX58" s="1374">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74">
        <f t="shared" si="11"/>
        <v>0</v>
      </c>
      <c r="AW59" s="1374">
        <f t="shared" si="12"/>
        <v>0</v>
      </c>
      <c r="AX59" s="1374">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74">
        <f t="shared" si="11"/>
        <v>0</v>
      </c>
      <c r="AW60" s="1374">
        <f t="shared" si="12"/>
        <v>0</v>
      </c>
      <c r="AX60" s="1374">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74">
        <f t="shared" si="11"/>
        <v>0</v>
      </c>
      <c r="AW61" s="1374">
        <f t="shared" si="12"/>
        <v>0</v>
      </c>
      <c r="AX61" s="1374">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74">
        <f t="shared" si="11"/>
        <v>0</v>
      </c>
      <c r="AW62" s="1374">
        <f t="shared" si="12"/>
        <v>0</v>
      </c>
      <c r="AX62" s="1374">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74">
        <f t="shared" si="11"/>
        <v>0</v>
      </c>
      <c r="AW63" s="1374">
        <f t="shared" si="12"/>
        <v>0</v>
      </c>
      <c r="AX63" s="1374">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74">
        <f t="shared" si="11"/>
        <v>0</v>
      </c>
      <c r="AW64" s="1374">
        <f t="shared" si="12"/>
        <v>0</v>
      </c>
      <c r="AX64" s="1374">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74">
        <f t="shared" si="11"/>
        <v>0</v>
      </c>
      <c r="AW65" s="1374">
        <f t="shared" si="12"/>
        <v>0</v>
      </c>
      <c r="AX65" s="1374">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74">
        <f t="shared" si="11"/>
        <v>0</v>
      </c>
      <c r="AW66" s="1374">
        <f t="shared" si="12"/>
        <v>0</v>
      </c>
      <c r="AX66" s="1374">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74">
        <f t="shared" si="11"/>
        <v>0</v>
      </c>
      <c r="AW67" s="1374">
        <f t="shared" si="12"/>
        <v>0</v>
      </c>
      <c r="AX67" s="1374">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74">
        <f t="shared" si="11"/>
        <v>0</v>
      </c>
      <c r="AW68" s="1374">
        <f t="shared" si="12"/>
        <v>0</v>
      </c>
      <c r="AX68" s="1374">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74">
        <f t="shared" si="11"/>
        <v>0</v>
      </c>
      <c r="AW69" s="1374">
        <f t="shared" si="12"/>
        <v>0</v>
      </c>
      <c r="AX69" s="1374">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74">
        <f t="shared" si="11"/>
        <v>0</v>
      </c>
      <c r="AW70" s="1374">
        <f t="shared" si="12"/>
        <v>0</v>
      </c>
      <c r="AX70" s="1374">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74">
        <f t="shared" si="11"/>
        <v>0</v>
      </c>
      <c r="AW71" s="1374">
        <f t="shared" si="12"/>
        <v>0</v>
      </c>
      <c r="AX71" s="1374">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74">
        <f t="shared" si="11"/>
        <v>0</v>
      </c>
      <c r="AW72" s="1374">
        <f t="shared" si="12"/>
        <v>0</v>
      </c>
      <c r="AX72" s="1374">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74">
        <f t="shared" si="11"/>
        <v>0</v>
      </c>
      <c r="AW73" s="1374">
        <f t="shared" si="12"/>
        <v>0</v>
      </c>
      <c r="AX73" s="1374">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74">
        <f t="shared" si="11"/>
        <v>0</v>
      </c>
      <c r="AW74" s="1374">
        <f t="shared" si="12"/>
        <v>0</v>
      </c>
      <c r="AX74" s="1374">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74">
        <f t="shared" si="11"/>
        <v>0</v>
      </c>
      <c r="AW75" s="1374">
        <f t="shared" si="12"/>
        <v>0</v>
      </c>
      <c r="AX75" s="1374">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74">
        <f t="shared" si="11"/>
        <v>0</v>
      </c>
      <c r="AW76" s="1374">
        <f t="shared" si="12"/>
        <v>0</v>
      </c>
      <c r="AX76" s="1374">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74">
        <f t="shared" si="11"/>
        <v>0</v>
      </c>
      <c r="AW77" s="1374">
        <f t="shared" si="12"/>
        <v>0</v>
      </c>
      <c r="AX77" s="1374">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74">
        <f t="shared" si="11"/>
        <v>0</v>
      </c>
      <c r="AW78" s="1374">
        <f t="shared" si="12"/>
        <v>0</v>
      </c>
      <c r="AX78" s="1374">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74">
        <f t="shared" si="11"/>
        <v>0</v>
      </c>
      <c r="AW79" s="1374">
        <f t="shared" si="12"/>
        <v>0</v>
      </c>
      <c r="AX79" s="1374">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74">
        <f t="shared" si="11"/>
        <v>0</v>
      </c>
      <c r="AW80" s="1374">
        <f t="shared" si="12"/>
        <v>0</v>
      </c>
      <c r="AX80" s="1374">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74">
        <f t="shared" si="11"/>
        <v>0</v>
      </c>
      <c r="AW81" s="1374">
        <f t="shared" si="12"/>
        <v>0</v>
      </c>
      <c r="AX81" s="1374">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74">
        <f t="shared" si="11"/>
        <v>0</v>
      </c>
      <c r="AW82" s="1374">
        <f t="shared" si="12"/>
        <v>0</v>
      </c>
      <c r="AX82" s="1374">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74">
        <f t="shared" si="11"/>
        <v>0</v>
      </c>
      <c r="AW83" s="1374">
        <f t="shared" si="12"/>
        <v>0</v>
      </c>
      <c r="AX83" s="1374">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74">
        <f t="shared" si="11"/>
        <v>0</v>
      </c>
      <c r="AW84" s="1374">
        <f t="shared" si="12"/>
        <v>0</v>
      </c>
      <c r="AX84" s="1374">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74">
        <f t="shared" si="11"/>
        <v>0</v>
      </c>
      <c r="AW85" s="1374">
        <f t="shared" si="12"/>
        <v>0</v>
      </c>
      <c r="AX85" s="1374">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74">
        <f t="shared" si="11"/>
        <v>0</v>
      </c>
      <c r="AW86" s="1374">
        <f t="shared" si="12"/>
        <v>0</v>
      </c>
      <c r="AX86" s="1374">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74">
        <f t="shared" si="11"/>
        <v>0</v>
      </c>
      <c r="AW87" s="1374">
        <f t="shared" si="12"/>
        <v>0</v>
      </c>
      <c r="AX87" s="1374">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74">
        <f t="shared" si="11"/>
        <v>0</v>
      </c>
      <c r="AW88" s="1374">
        <f t="shared" si="12"/>
        <v>0</v>
      </c>
      <c r="AX88" s="1374">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74">
        <f t="shared" si="11"/>
        <v>0</v>
      </c>
      <c r="AW89" s="1374">
        <f t="shared" si="12"/>
        <v>0</v>
      </c>
      <c r="AX89" s="1374">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74">
        <f t="shared" si="11"/>
        <v>0</v>
      </c>
      <c r="AW90" s="1374">
        <f t="shared" si="12"/>
        <v>0</v>
      </c>
      <c r="AX90" s="1374">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74">
        <f t="shared" si="11"/>
        <v>0</v>
      </c>
      <c r="AW91" s="1374">
        <f t="shared" si="12"/>
        <v>0</v>
      </c>
      <c r="AX91" s="1374">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74">
        <f t="shared" si="11"/>
        <v>0</v>
      </c>
      <c r="AW92" s="1374">
        <f t="shared" si="12"/>
        <v>0</v>
      </c>
      <c r="AX92" s="1374">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74">
        <f t="shared" si="11"/>
        <v>0</v>
      </c>
      <c r="AW93" s="1374">
        <f t="shared" si="12"/>
        <v>0</v>
      </c>
      <c r="AX93" s="1374">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74">
        <f t="shared" si="11"/>
        <v>0</v>
      </c>
      <c r="AW94" s="1374">
        <f t="shared" si="12"/>
        <v>0</v>
      </c>
      <c r="AX94" s="1374">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74">
        <f t="shared" si="11"/>
        <v>0</v>
      </c>
      <c r="AW95" s="1374">
        <f t="shared" si="12"/>
        <v>0</v>
      </c>
      <c r="AX95" s="1374">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74">
        <f t="shared" si="11"/>
        <v>0</v>
      </c>
      <c r="AW96" s="1374">
        <f t="shared" si="12"/>
        <v>0</v>
      </c>
      <c r="AX96" s="1374">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74">
        <f t="shared" si="11"/>
        <v>0</v>
      </c>
      <c r="AW97" s="1374">
        <f t="shared" si="12"/>
        <v>0</v>
      </c>
      <c r="AX97" s="1374">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74">
        <f t="shared" si="11"/>
        <v>0</v>
      </c>
      <c r="AW98" s="1374">
        <f t="shared" si="12"/>
        <v>0</v>
      </c>
      <c r="AX98" s="1374">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74">
        <f t="shared" si="11"/>
        <v>0</v>
      </c>
      <c r="AW99" s="1374">
        <f t="shared" si="12"/>
        <v>0</v>
      </c>
      <c r="AX99" s="1374">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74">
        <f t="shared" si="11"/>
        <v>0</v>
      </c>
      <c r="AW100" s="1374">
        <f t="shared" si="12"/>
        <v>0</v>
      </c>
      <c r="AX100" s="1374">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74">
        <f t="shared" si="11"/>
        <v>0</v>
      </c>
      <c r="AW101" s="1374">
        <f t="shared" si="12"/>
        <v>0</v>
      </c>
      <c r="AX101" s="1374">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74">
        <f t="shared" si="11"/>
        <v>0</v>
      </c>
      <c r="AW102" s="1374">
        <f t="shared" si="12"/>
        <v>0</v>
      </c>
      <c r="AX102" s="1374">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74">
        <f t="shared" si="11"/>
        <v>0</v>
      </c>
      <c r="AW103" s="1374">
        <f t="shared" si="12"/>
        <v>0</v>
      </c>
      <c r="AX103" s="1374">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74">
        <f t="shared" si="11"/>
        <v>0</v>
      </c>
      <c r="AW104" s="1374">
        <f t="shared" si="12"/>
        <v>0</v>
      </c>
      <c r="AX104" s="1374">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74">
        <f t="shared" si="11"/>
        <v>0</v>
      </c>
      <c r="AW105" s="1374">
        <f t="shared" si="12"/>
        <v>0</v>
      </c>
      <c r="AX105" s="1374">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74">
        <f t="shared" si="11"/>
        <v>0</v>
      </c>
      <c r="AW106" s="1374">
        <f t="shared" si="12"/>
        <v>0</v>
      </c>
      <c r="AX106" s="1374">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74">
        <f t="shared" si="11"/>
        <v>0</v>
      </c>
      <c r="AW107" s="1374">
        <f t="shared" si="12"/>
        <v>0</v>
      </c>
      <c r="AX107" s="1374">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74">
        <f t="shared" si="11"/>
        <v>0</v>
      </c>
      <c r="AW108" s="1374">
        <f t="shared" si="12"/>
        <v>0</v>
      </c>
      <c r="AX108" s="1374">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74">
        <f t="shared" si="11"/>
        <v>0</v>
      </c>
      <c r="AW109" s="1374">
        <f t="shared" si="12"/>
        <v>0</v>
      </c>
      <c r="AX109" s="1374">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74">
        <f t="shared" si="11"/>
        <v>0</v>
      </c>
      <c r="AW110" s="1374">
        <f t="shared" si="12"/>
        <v>0</v>
      </c>
      <c r="AX110" s="1374">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74">
        <f t="shared" si="11"/>
        <v>0</v>
      </c>
      <c r="AW111" s="1374">
        <f t="shared" si="12"/>
        <v>0</v>
      </c>
      <c r="AX111" s="1374">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74">
        <f t="shared" si="11"/>
        <v>0</v>
      </c>
      <c r="AW112" s="1374">
        <f t="shared" si="12"/>
        <v>0</v>
      </c>
      <c r="AX112" s="1374">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74">
        <f t="shared" ref="AV113:AV144" si="62">A113</f>
        <v>0</v>
      </c>
      <c r="AW113" s="1374">
        <f t="shared" ref="AW113:AW144" si="63">B113</f>
        <v>0</v>
      </c>
      <c r="AX113" s="1374">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74">
        <f t="shared" si="62"/>
        <v>0</v>
      </c>
      <c r="AW114" s="1374">
        <f t="shared" si="63"/>
        <v>0</v>
      </c>
      <c r="AX114" s="1374">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74">
        <f t="shared" si="62"/>
        <v>0</v>
      </c>
      <c r="AW115" s="1374">
        <f t="shared" si="63"/>
        <v>0</v>
      </c>
      <c r="AX115" s="1374">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74">
        <f t="shared" si="62"/>
        <v>0</v>
      </c>
      <c r="AW116" s="1374">
        <f t="shared" si="63"/>
        <v>0</v>
      </c>
      <c r="AX116" s="1374">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74">
        <f t="shared" si="62"/>
        <v>0</v>
      </c>
      <c r="AW117" s="1374">
        <f t="shared" si="63"/>
        <v>0</v>
      </c>
      <c r="AX117" s="1374">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74">
        <f t="shared" si="62"/>
        <v>0</v>
      </c>
      <c r="AW118" s="1374">
        <f t="shared" si="63"/>
        <v>0</v>
      </c>
      <c r="AX118" s="1374">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74">
        <f t="shared" si="62"/>
        <v>0</v>
      </c>
      <c r="AW119" s="1374">
        <f t="shared" si="63"/>
        <v>0</v>
      </c>
      <c r="AX119" s="1374">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74">
        <f t="shared" si="62"/>
        <v>0</v>
      </c>
      <c r="AW120" s="1374">
        <f t="shared" si="63"/>
        <v>0</v>
      </c>
      <c r="AX120" s="1374">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74">
        <f t="shared" si="62"/>
        <v>0</v>
      </c>
      <c r="AW121" s="1374">
        <f t="shared" si="63"/>
        <v>0</v>
      </c>
      <c r="AX121" s="1374">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74">
        <f t="shared" si="62"/>
        <v>0</v>
      </c>
      <c r="AW122" s="1374">
        <f t="shared" si="63"/>
        <v>0</v>
      </c>
      <c r="AX122" s="1374">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74">
        <f t="shared" si="62"/>
        <v>0</v>
      </c>
      <c r="AW123" s="1374">
        <f t="shared" si="63"/>
        <v>0</v>
      </c>
      <c r="AX123" s="1374">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74">
        <f t="shared" si="62"/>
        <v>0</v>
      </c>
      <c r="AW124" s="1374">
        <f t="shared" si="63"/>
        <v>0</v>
      </c>
      <c r="AX124" s="1374">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74">
        <f t="shared" si="62"/>
        <v>0</v>
      </c>
      <c r="AW125" s="1374">
        <f t="shared" si="63"/>
        <v>0</v>
      </c>
      <c r="AX125" s="1374">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74">
        <f t="shared" si="62"/>
        <v>0</v>
      </c>
      <c r="AW126" s="1374">
        <f t="shared" si="63"/>
        <v>0</v>
      </c>
      <c r="AX126" s="1374">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74">
        <f t="shared" si="62"/>
        <v>0</v>
      </c>
      <c r="AW127" s="1374">
        <f t="shared" si="63"/>
        <v>0</v>
      </c>
      <c r="AX127" s="1374">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74">
        <f t="shared" si="62"/>
        <v>0</v>
      </c>
      <c r="AW128" s="1374">
        <f t="shared" si="63"/>
        <v>0</v>
      </c>
      <c r="AX128" s="1374">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74">
        <f t="shared" si="62"/>
        <v>0</v>
      </c>
      <c r="AW129" s="1374">
        <f t="shared" si="63"/>
        <v>0</v>
      </c>
      <c r="AX129" s="1374">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74">
        <f t="shared" si="62"/>
        <v>0</v>
      </c>
      <c r="AW130" s="1374">
        <f t="shared" si="63"/>
        <v>0</v>
      </c>
      <c r="AX130" s="1374">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74">
        <f t="shared" si="62"/>
        <v>0</v>
      </c>
      <c r="AW131" s="1374">
        <f t="shared" si="63"/>
        <v>0</v>
      </c>
      <c r="AX131" s="1374">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74">
        <f t="shared" si="62"/>
        <v>0</v>
      </c>
      <c r="AW132" s="1374">
        <f t="shared" si="63"/>
        <v>0</v>
      </c>
      <c r="AX132" s="1374">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74">
        <f t="shared" si="62"/>
        <v>0</v>
      </c>
      <c r="AW133" s="1374">
        <f t="shared" si="63"/>
        <v>0</v>
      </c>
      <c r="AX133" s="1374">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74">
        <f t="shared" si="62"/>
        <v>0</v>
      </c>
      <c r="AW134" s="1374">
        <f t="shared" si="63"/>
        <v>0</v>
      </c>
      <c r="AX134" s="1374">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74">
        <f t="shared" si="62"/>
        <v>0</v>
      </c>
      <c r="AW135" s="1374">
        <f t="shared" si="63"/>
        <v>0</v>
      </c>
      <c r="AX135" s="1374">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74">
        <f t="shared" si="62"/>
        <v>0</v>
      </c>
      <c r="AW136" s="1374">
        <f t="shared" si="63"/>
        <v>0</v>
      </c>
      <c r="AX136" s="1374">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74">
        <f t="shared" si="62"/>
        <v>0</v>
      </c>
      <c r="AW137" s="1374">
        <f t="shared" si="63"/>
        <v>0</v>
      </c>
      <c r="AX137" s="1374">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74">
        <f t="shared" si="62"/>
        <v>0</v>
      </c>
      <c r="AW138" s="1374">
        <f t="shared" si="63"/>
        <v>0</v>
      </c>
      <c r="AX138" s="1374">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74">
        <f t="shared" si="62"/>
        <v>0</v>
      </c>
      <c r="AW139" s="1374">
        <f t="shared" si="63"/>
        <v>0</v>
      </c>
      <c r="AX139" s="1374">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74">
        <f t="shared" si="62"/>
        <v>0</v>
      </c>
      <c r="AW140" s="1374">
        <f t="shared" si="63"/>
        <v>0</v>
      </c>
      <c r="AX140" s="1374">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74">
        <f t="shared" si="62"/>
        <v>0</v>
      </c>
      <c r="AW141" s="1374">
        <f t="shared" si="63"/>
        <v>0</v>
      </c>
      <c r="AX141" s="1374">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74">
        <f t="shared" si="62"/>
        <v>0</v>
      </c>
      <c r="AW142" s="1374">
        <f t="shared" si="63"/>
        <v>0</v>
      </c>
      <c r="AX142" s="1374">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74">
        <f t="shared" si="62"/>
        <v>0</v>
      </c>
      <c r="AW143" s="1374">
        <f t="shared" si="63"/>
        <v>0</v>
      </c>
      <c r="AX143" s="1374">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74">
        <f t="shared" si="62"/>
        <v>0</v>
      </c>
      <c r="AW144" s="1374">
        <f t="shared" si="63"/>
        <v>0</v>
      </c>
      <c r="AX144" s="1374">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74">
        <f t="shared" ref="AV145:AV176" si="91">A145</f>
        <v>0</v>
      </c>
      <c r="AW145" s="1374">
        <f t="shared" ref="AW145:AW176" si="92">B145</f>
        <v>0</v>
      </c>
      <c r="AX145" s="1374">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74">
        <f t="shared" si="91"/>
        <v>0</v>
      </c>
      <c r="AW146" s="1374">
        <f t="shared" si="92"/>
        <v>0</v>
      </c>
      <c r="AX146" s="1374">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74">
        <f t="shared" si="91"/>
        <v>0</v>
      </c>
      <c r="AW147" s="1374">
        <f t="shared" si="92"/>
        <v>0</v>
      </c>
      <c r="AX147" s="1374">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74">
        <f t="shared" si="91"/>
        <v>0</v>
      </c>
      <c r="AW148" s="1374">
        <f t="shared" si="92"/>
        <v>0</v>
      </c>
      <c r="AX148" s="1374">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74">
        <f t="shared" si="91"/>
        <v>0</v>
      </c>
      <c r="AW149" s="1374">
        <f t="shared" si="92"/>
        <v>0</v>
      </c>
      <c r="AX149" s="1374">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74">
        <f t="shared" si="91"/>
        <v>0</v>
      </c>
      <c r="AW150" s="1374">
        <f t="shared" si="92"/>
        <v>0</v>
      </c>
      <c r="AX150" s="1374">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74">
        <f t="shared" si="91"/>
        <v>0</v>
      </c>
      <c r="AW151" s="1374">
        <f t="shared" si="92"/>
        <v>0</v>
      </c>
      <c r="AX151" s="1374">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74">
        <f t="shared" si="91"/>
        <v>0</v>
      </c>
      <c r="AW152" s="1374">
        <f t="shared" si="92"/>
        <v>0</v>
      </c>
      <c r="AX152" s="1374">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74">
        <f t="shared" si="91"/>
        <v>0</v>
      </c>
      <c r="AW153" s="1374">
        <f t="shared" si="92"/>
        <v>0</v>
      </c>
      <c r="AX153" s="1374">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74">
        <f t="shared" si="91"/>
        <v>0</v>
      </c>
      <c r="AW154" s="1374">
        <f t="shared" si="92"/>
        <v>0</v>
      </c>
      <c r="AX154" s="1374">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74">
        <f t="shared" si="91"/>
        <v>0</v>
      </c>
      <c r="AW155" s="1374">
        <f t="shared" si="92"/>
        <v>0</v>
      </c>
      <c r="AX155" s="1374">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74">
        <f t="shared" si="91"/>
        <v>0</v>
      </c>
      <c r="AW156" s="1374">
        <f t="shared" si="92"/>
        <v>0</v>
      </c>
      <c r="AX156" s="1374">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74">
        <f t="shared" si="91"/>
        <v>0</v>
      </c>
      <c r="AW157" s="1374">
        <f t="shared" si="92"/>
        <v>0</v>
      </c>
      <c r="AX157" s="1374">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74">
        <f t="shared" si="91"/>
        <v>0</v>
      </c>
      <c r="AW158" s="1374">
        <f t="shared" si="92"/>
        <v>0</v>
      </c>
      <c r="AX158" s="1374">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74">
        <f t="shared" si="91"/>
        <v>0</v>
      </c>
      <c r="AW159" s="1374">
        <f t="shared" si="92"/>
        <v>0</v>
      </c>
      <c r="AX159" s="1374">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74">
        <f t="shared" si="91"/>
        <v>0</v>
      </c>
      <c r="AW160" s="1374">
        <f t="shared" si="92"/>
        <v>0</v>
      </c>
      <c r="AX160" s="1374">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74">
        <f t="shared" si="91"/>
        <v>0</v>
      </c>
      <c r="AW161" s="1374">
        <f t="shared" si="92"/>
        <v>0</v>
      </c>
      <c r="AX161" s="1374">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74">
        <f t="shared" si="91"/>
        <v>0</v>
      </c>
      <c r="AW162" s="1374">
        <f t="shared" si="92"/>
        <v>0</v>
      </c>
      <c r="AX162" s="1374">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74">
        <f t="shared" si="91"/>
        <v>0</v>
      </c>
      <c r="AW163" s="1374">
        <f t="shared" si="92"/>
        <v>0</v>
      </c>
      <c r="AX163" s="1374">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74">
        <f t="shared" si="91"/>
        <v>0</v>
      </c>
      <c r="AW164" s="1374">
        <f t="shared" si="92"/>
        <v>0</v>
      </c>
      <c r="AX164" s="1374">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74">
        <f t="shared" si="91"/>
        <v>0</v>
      </c>
      <c r="AW165" s="1374">
        <f t="shared" si="92"/>
        <v>0</v>
      </c>
      <c r="AX165" s="1374">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74">
        <f t="shared" si="91"/>
        <v>0</v>
      </c>
      <c r="AW166" s="1374">
        <f t="shared" si="92"/>
        <v>0</v>
      </c>
      <c r="AX166" s="1374">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74">
        <f t="shared" si="91"/>
        <v>0</v>
      </c>
      <c r="AW167" s="1374">
        <f t="shared" si="92"/>
        <v>0</v>
      </c>
      <c r="AX167" s="1374">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74">
        <f t="shared" si="91"/>
        <v>0</v>
      </c>
      <c r="AW168" s="1374">
        <f t="shared" si="92"/>
        <v>0</v>
      </c>
      <c r="AX168" s="1374">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74">
        <f t="shared" si="91"/>
        <v>0</v>
      </c>
      <c r="AW169" s="1374">
        <f t="shared" si="92"/>
        <v>0</v>
      </c>
      <c r="AX169" s="1374">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74">
        <f t="shared" si="91"/>
        <v>0</v>
      </c>
      <c r="AW170" s="1374">
        <f t="shared" si="92"/>
        <v>0</v>
      </c>
      <c r="AX170" s="1374">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74">
        <f t="shared" si="91"/>
        <v>0</v>
      </c>
      <c r="AW171" s="1374">
        <f t="shared" si="92"/>
        <v>0</v>
      </c>
      <c r="AX171" s="1374">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74">
        <f t="shared" si="91"/>
        <v>0</v>
      </c>
      <c r="AW172" s="1374">
        <f t="shared" si="92"/>
        <v>0</v>
      </c>
      <c r="AX172" s="1374">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74">
        <f t="shared" si="91"/>
        <v>0</v>
      </c>
      <c r="AW173" s="1374">
        <f t="shared" si="92"/>
        <v>0</v>
      </c>
      <c r="AX173" s="1374">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74">
        <f t="shared" si="91"/>
        <v>0</v>
      </c>
      <c r="AW174" s="1374">
        <f t="shared" si="92"/>
        <v>0</v>
      </c>
      <c r="AX174" s="1374">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74">
        <f t="shared" si="91"/>
        <v>0</v>
      </c>
      <c r="AW175" s="1374">
        <f t="shared" si="92"/>
        <v>0</v>
      </c>
      <c r="AX175" s="1374">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74">
        <f t="shared" si="91"/>
        <v>0</v>
      </c>
      <c r="AW176" s="1374">
        <f t="shared" si="92"/>
        <v>0</v>
      </c>
      <c r="AX176" s="1374">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74">
        <f t="shared" ref="AV177:AV207" si="120">A177</f>
        <v>0</v>
      </c>
      <c r="AW177" s="1374">
        <f t="shared" ref="AW177:AW207" si="121">B177</f>
        <v>0</v>
      </c>
      <c r="AX177" s="1374">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74">
        <f t="shared" si="120"/>
        <v>0</v>
      </c>
      <c r="AW178" s="1374">
        <f t="shared" si="121"/>
        <v>0</v>
      </c>
      <c r="AX178" s="1374">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74">
        <f t="shared" si="120"/>
        <v>0</v>
      </c>
      <c r="AW179" s="1374">
        <f t="shared" si="121"/>
        <v>0</v>
      </c>
      <c r="AX179" s="1374">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74">
        <f t="shared" si="120"/>
        <v>0</v>
      </c>
      <c r="AW180" s="1374">
        <f t="shared" si="121"/>
        <v>0</v>
      </c>
      <c r="AX180" s="1374">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74">
        <f t="shared" si="120"/>
        <v>0</v>
      </c>
      <c r="AW181" s="1374">
        <f t="shared" si="121"/>
        <v>0</v>
      </c>
      <c r="AX181" s="1374">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74">
        <f t="shared" si="120"/>
        <v>0</v>
      </c>
      <c r="AW182" s="1374">
        <f t="shared" si="121"/>
        <v>0</v>
      </c>
      <c r="AX182" s="1374">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74">
        <f t="shared" si="120"/>
        <v>0</v>
      </c>
      <c r="AW183" s="1374">
        <f t="shared" si="121"/>
        <v>0</v>
      </c>
      <c r="AX183" s="1374">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74">
        <f t="shared" si="120"/>
        <v>0</v>
      </c>
      <c r="AW184" s="1374">
        <f t="shared" si="121"/>
        <v>0</v>
      </c>
      <c r="AX184" s="1374">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74">
        <f t="shared" si="120"/>
        <v>0</v>
      </c>
      <c r="AW185" s="1374">
        <f t="shared" si="121"/>
        <v>0</v>
      </c>
      <c r="AX185" s="1374">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74">
        <f t="shared" si="120"/>
        <v>0</v>
      </c>
      <c r="AW186" s="1374">
        <f t="shared" si="121"/>
        <v>0</v>
      </c>
      <c r="AX186" s="1374">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74">
        <f t="shared" si="120"/>
        <v>0</v>
      </c>
      <c r="AW187" s="1374">
        <f t="shared" si="121"/>
        <v>0</v>
      </c>
      <c r="AX187" s="1374">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74">
        <f t="shared" si="120"/>
        <v>0</v>
      </c>
      <c r="AW188" s="1374">
        <f t="shared" si="121"/>
        <v>0</v>
      </c>
      <c r="AX188" s="1374">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74">
        <f t="shared" si="120"/>
        <v>0</v>
      </c>
      <c r="AW189" s="1374">
        <f t="shared" si="121"/>
        <v>0</v>
      </c>
      <c r="AX189" s="1374">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74">
        <f t="shared" si="120"/>
        <v>0</v>
      </c>
      <c r="AW190" s="1374">
        <f t="shared" si="121"/>
        <v>0</v>
      </c>
      <c r="AX190" s="1374">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74">
        <f t="shared" si="120"/>
        <v>0</v>
      </c>
      <c r="AW191" s="1374">
        <f t="shared" si="121"/>
        <v>0</v>
      </c>
      <c r="AX191" s="1374">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74">
        <f t="shared" si="120"/>
        <v>0</v>
      </c>
      <c r="AW192" s="1374">
        <f t="shared" si="121"/>
        <v>0</v>
      </c>
      <c r="AX192" s="1374">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74">
        <f t="shared" si="120"/>
        <v>0</v>
      </c>
      <c r="AW193" s="1374">
        <f t="shared" si="121"/>
        <v>0</v>
      </c>
      <c r="AX193" s="1374">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74">
        <f t="shared" si="120"/>
        <v>0</v>
      </c>
      <c r="AW194" s="1374">
        <f t="shared" si="121"/>
        <v>0</v>
      </c>
      <c r="AX194" s="1374">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74">
        <f t="shared" si="120"/>
        <v>0</v>
      </c>
      <c r="AW195" s="1374">
        <f t="shared" si="121"/>
        <v>0</v>
      </c>
      <c r="AX195" s="1374">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74">
        <f t="shared" si="120"/>
        <v>0</v>
      </c>
      <c r="AW196" s="1374">
        <f t="shared" si="121"/>
        <v>0</v>
      </c>
      <c r="AX196" s="1374">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74">
        <f t="shared" si="120"/>
        <v>0</v>
      </c>
      <c r="AW197" s="1374">
        <f t="shared" si="121"/>
        <v>0</v>
      </c>
      <c r="AX197" s="1374">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74">
        <f t="shared" si="120"/>
        <v>0</v>
      </c>
      <c r="AW198" s="1374">
        <f t="shared" si="121"/>
        <v>0</v>
      </c>
      <c r="AX198" s="1374">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74">
        <f t="shared" si="120"/>
        <v>0</v>
      </c>
      <c r="AW199" s="1374">
        <f t="shared" si="121"/>
        <v>0</v>
      </c>
      <c r="AX199" s="1374">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74">
        <f t="shared" si="120"/>
        <v>0</v>
      </c>
      <c r="AW200" s="1374">
        <f t="shared" si="121"/>
        <v>0</v>
      </c>
      <c r="AX200" s="1374">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74">
        <f t="shared" si="120"/>
        <v>0</v>
      </c>
      <c r="AW201" s="1374">
        <f t="shared" si="121"/>
        <v>0</v>
      </c>
      <c r="AX201" s="1374">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74">
        <f t="shared" si="120"/>
        <v>0</v>
      </c>
      <c r="AW202" s="1374">
        <f t="shared" si="121"/>
        <v>0</v>
      </c>
      <c r="AX202" s="1374">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74">
        <f t="shared" si="120"/>
        <v>0</v>
      </c>
      <c r="AW203" s="1374">
        <f t="shared" si="121"/>
        <v>0</v>
      </c>
      <c r="AX203" s="1374">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74">
        <f t="shared" si="120"/>
        <v>0</v>
      </c>
      <c r="AW204" s="1374">
        <f t="shared" si="121"/>
        <v>0</v>
      </c>
      <c r="AX204" s="1374">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74">
        <f t="shared" si="120"/>
        <v>0</v>
      </c>
      <c r="AW205" s="1374">
        <f t="shared" si="121"/>
        <v>0</v>
      </c>
      <c r="AX205" s="1374">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74">
        <f t="shared" si="120"/>
        <v>0</v>
      </c>
      <c r="AW206" s="1374">
        <f t="shared" si="121"/>
        <v>0</v>
      </c>
      <c r="AX206" s="1374">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74">
        <f t="shared" si="120"/>
        <v>0</v>
      </c>
      <c r="AW207" s="1374">
        <f t="shared" si="121"/>
        <v>0</v>
      </c>
      <c r="AX207" s="1374">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74">
        <f t="shared" ref="AV208:AV302" si="127">A208</f>
        <v>0</v>
      </c>
      <c r="AW208" s="1374">
        <f t="shared" ref="AW208:AW302" si="128">B208</f>
        <v>0</v>
      </c>
      <c r="AX208" s="1374">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74">
        <f t="shared" si="127"/>
        <v>0</v>
      </c>
      <c r="AW209" s="1374">
        <f t="shared" si="128"/>
        <v>0</v>
      </c>
      <c r="AX209" s="1374">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74">
        <f t="shared" si="127"/>
        <v>0</v>
      </c>
      <c r="AW210" s="1374">
        <f t="shared" si="128"/>
        <v>0</v>
      </c>
      <c r="AX210" s="1374">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74">
        <f t="shared" si="127"/>
        <v>0</v>
      </c>
      <c r="AW211" s="1374">
        <f t="shared" si="128"/>
        <v>0</v>
      </c>
      <c r="AX211" s="1374">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74">
        <f t="shared" si="127"/>
        <v>0</v>
      </c>
      <c r="AW212" s="1374">
        <f t="shared" si="128"/>
        <v>0</v>
      </c>
      <c r="AX212" s="1374">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74">
        <f t="shared" si="127"/>
        <v>0</v>
      </c>
      <c r="AW213" s="1374">
        <f t="shared" si="128"/>
        <v>0</v>
      </c>
      <c r="AX213" s="1374">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74">
        <f t="shared" si="127"/>
        <v>0</v>
      </c>
      <c r="AW214" s="1374">
        <f t="shared" si="128"/>
        <v>0</v>
      </c>
      <c r="AX214" s="1374">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74">
        <f t="shared" si="127"/>
        <v>0</v>
      </c>
      <c r="AW215" s="1374">
        <f t="shared" si="128"/>
        <v>0</v>
      </c>
      <c r="AX215" s="1374">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74">
        <f t="shared" si="127"/>
        <v>0</v>
      </c>
      <c r="AW216" s="1374">
        <f t="shared" si="128"/>
        <v>0</v>
      </c>
      <c r="AX216" s="1374">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74">
        <f t="shared" si="127"/>
        <v>0</v>
      </c>
      <c r="AW217" s="1374">
        <f t="shared" si="128"/>
        <v>0</v>
      </c>
      <c r="AX217" s="1374">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74">
        <f t="shared" si="127"/>
        <v>0</v>
      </c>
      <c r="AW218" s="1374">
        <f t="shared" si="128"/>
        <v>0</v>
      </c>
      <c r="AX218" s="1374">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74">
        <f t="shared" si="127"/>
        <v>0</v>
      </c>
      <c r="AW219" s="1374">
        <f t="shared" si="128"/>
        <v>0</v>
      </c>
      <c r="AX219" s="1374">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74">
        <f t="shared" si="127"/>
        <v>0</v>
      </c>
      <c r="AW220" s="1374">
        <f t="shared" si="128"/>
        <v>0</v>
      </c>
      <c r="AX220" s="1374">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74">
        <f t="shared" si="127"/>
        <v>0</v>
      </c>
      <c r="AW221" s="1374">
        <f t="shared" si="128"/>
        <v>0</v>
      </c>
      <c r="AX221" s="1374">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74">
        <f t="shared" si="127"/>
        <v>0</v>
      </c>
      <c r="AW222" s="1374">
        <f t="shared" si="128"/>
        <v>0</v>
      </c>
      <c r="AX222" s="1374">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74">
        <f t="shared" si="127"/>
        <v>0</v>
      </c>
      <c r="AW223" s="1374">
        <f t="shared" si="128"/>
        <v>0</v>
      </c>
      <c r="AX223" s="1374">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74">
        <f t="shared" si="127"/>
        <v>0</v>
      </c>
      <c r="AW224" s="1374">
        <f t="shared" si="128"/>
        <v>0</v>
      </c>
      <c r="AX224" s="1374">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74">
        <f t="shared" si="127"/>
        <v>0</v>
      </c>
      <c r="AW225" s="1374">
        <f t="shared" si="128"/>
        <v>0</v>
      </c>
      <c r="AX225" s="1374">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74">
        <f t="shared" si="127"/>
        <v>0</v>
      </c>
      <c r="AW226" s="1374">
        <f t="shared" si="128"/>
        <v>0</v>
      </c>
      <c r="AX226" s="1374">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74">
        <f t="shared" si="127"/>
        <v>0</v>
      </c>
      <c r="AW227" s="1374">
        <f t="shared" si="128"/>
        <v>0</v>
      </c>
      <c r="AX227" s="1374">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74">
        <f t="shared" si="127"/>
        <v>0</v>
      </c>
      <c r="AW228" s="1374">
        <f t="shared" si="128"/>
        <v>0</v>
      </c>
      <c r="AX228" s="1374">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74">
        <f t="shared" si="127"/>
        <v>0</v>
      </c>
      <c r="AW229" s="1374">
        <f t="shared" si="128"/>
        <v>0</v>
      </c>
      <c r="AX229" s="1374">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74">
        <f t="shared" si="127"/>
        <v>0</v>
      </c>
      <c r="AW230" s="1374">
        <f t="shared" si="128"/>
        <v>0</v>
      </c>
      <c r="AX230" s="1374">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74">
        <f t="shared" si="127"/>
        <v>0</v>
      </c>
      <c r="AW231" s="1374">
        <f t="shared" si="128"/>
        <v>0</v>
      </c>
      <c r="AX231" s="1374">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74">
        <f t="shared" si="127"/>
        <v>0</v>
      </c>
      <c r="AW232" s="1374">
        <f t="shared" si="128"/>
        <v>0</v>
      </c>
      <c r="AX232" s="1374">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74">
        <f t="shared" si="127"/>
        <v>0</v>
      </c>
      <c r="AW233" s="1374">
        <f t="shared" si="128"/>
        <v>0</v>
      </c>
      <c r="AX233" s="1374">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74">
        <f t="shared" si="127"/>
        <v>0</v>
      </c>
      <c r="AW234" s="1374">
        <f t="shared" si="128"/>
        <v>0</v>
      </c>
      <c r="AX234" s="1374">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74">
        <f t="shared" si="127"/>
        <v>0</v>
      </c>
      <c r="AW235" s="1374">
        <f t="shared" si="128"/>
        <v>0</v>
      </c>
      <c r="AX235" s="1374">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74">
        <f t="shared" si="127"/>
        <v>0</v>
      </c>
      <c r="AW236" s="1374">
        <f t="shared" si="128"/>
        <v>0</v>
      </c>
      <c r="AX236" s="1374">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74">
        <f t="shared" si="127"/>
        <v>0</v>
      </c>
      <c r="AW237" s="1374">
        <f t="shared" si="128"/>
        <v>0</v>
      </c>
      <c r="AX237" s="1374">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74">
        <f t="shared" si="127"/>
        <v>0</v>
      </c>
      <c r="AW238" s="1374">
        <f t="shared" si="128"/>
        <v>0</v>
      </c>
      <c r="AX238" s="1374">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74">
        <f t="shared" si="127"/>
        <v>0</v>
      </c>
      <c r="AW239" s="1374">
        <f t="shared" si="128"/>
        <v>0</v>
      </c>
      <c r="AX239" s="1374">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74">
        <f t="shared" si="127"/>
        <v>0</v>
      </c>
      <c r="AW240" s="1374">
        <f t="shared" si="128"/>
        <v>0</v>
      </c>
      <c r="AX240" s="1374">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74">
        <f t="shared" si="127"/>
        <v>0</v>
      </c>
      <c r="AW241" s="1374">
        <f t="shared" si="128"/>
        <v>0</v>
      </c>
      <c r="AX241" s="1374">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74">
        <f t="shared" si="127"/>
        <v>0</v>
      </c>
      <c r="AW242" s="1374">
        <f t="shared" si="128"/>
        <v>0</v>
      </c>
      <c r="AX242" s="1374">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74">
        <f t="shared" si="127"/>
        <v>0</v>
      </c>
      <c r="AW243" s="1374">
        <f t="shared" si="128"/>
        <v>0</v>
      </c>
      <c r="AX243" s="1374">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74">
        <f t="shared" si="127"/>
        <v>0</v>
      </c>
      <c r="AW244" s="1374">
        <f t="shared" si="128"/>
        <v>0</v>
      </c>
      <c r="AX244" s="1374">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74">
        <f t="shared" si="127"/>
        <v>0</v>
      </c>
      <c r="AW245" s="1374">
        <f t="shared" si="128"/>
        <v>0</v>
      </c>
      <c r="AX245" s="1374">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74">
        <f t="shared" si="127"/>
        <v>0</v>
      </c>
      <c r="AW246" s="1374">
        <f t="shared" si="128"/>
        <v>0</v>
      </c>
      <c r="AX246" s="1374">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74">
        <f t="shared" si="127"/>
        <v>0</v>
      </c>
      <c r="AW247" s="1374">
        <f t="shared" si="128"/>
        <v>0</v>
      </c>
      <c r="AX247" s="1374">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74">
        <f t="shared" si="127"/>
        <v>0</v>
      </c>
      <c r="AW248" s="1374">
        <f t="shared" si="128"/>
        <v>0</v>
      </c>
      <c r="AX248" s="1374">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74">
        <f t="shared" si="127"/>
        <v>0</v>
      </c>
      <c r="AW249" s="1374">
        <f t="shared" si="128"/>
        <v>0</v>
      </c>
      <c r="AX249" s="1374">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74">
        <f t="shared" si="127"/>
        <v>0</v>
      </c>
      <c r="AW250" s="1374">
        <f t="shared" si="128"/>
        <v>0</v>
      </c>
      <c r="AX250" s="1374">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74">
        <f t="shared" si="127"/>
        <v>0</v>
      </c>
      <c r="AW251" s="1374">
        <f t="shared" si="128"/>
        <v>0</v>
      </c>
      <c r="AX251" s="1374">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74">
        <f t="shared" si="127"/>
        <v>0</v>
      </c>
      <c r="AW252" s="1374">
        <f t="shared" si="128"/>
        <v>0</v>
      </c>
      <c r="AX252" s="1374">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74">
        <f t="shared" si="127"/>
        <v>0</v>
      </c>
      <c r="AW253" s="1374">
        <f t="shared" si="128"/>
        <v>0</v>
      </c>
      <c r="AX253" s="1374">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74">
        <f t="shared" si="127"/>
        <v>0</v>
      </c>
      <c r="AW254" s="1374">
        <f t="shared" si="128"/>
        <v>0</v>
      </c>
      <c r="AX254" s="1374">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74">
        <f t="shared" si="127"/>
        <v>0</v>
      </c>
      <c r="AW255" s="1374">
        <f t="shared" si="128"/>
        <v>0</v>
      </c>
      <c r="AX255" s="1374">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74">
        <f t="shared" si="127"/>
        <v>0</v>
      </c>
      <c r="AW256" s="1374">
        <f t="shared" si="128"/>
        <v>0</v>
      </c>
      <c r="AX256" s="1374">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74">
        <f t="shared" si="127"/>
        <v>0</v>
      </c>
      <c r="AW257" s="1374">
        <f t="shared" si="128"/>
        <v>0</v>
      </c>
      <c r="AX257" s="1374">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74">
        <f t="shared" si="127"/>
        <v>0</v>
      </c>
      <c r="AW258" s="1374">
        <f t="shared" si="128"/>
        <v>0</v>
      </c>
      <c r="AX258" s="1374">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74">
        <f t="shared" si="127"/>
        <v>0</v>
      </c>
      <c r="AW259" s="1374">
        <f t="shared" si="128"/>
        <v>0</v>
      </c>
      <c r="AX259" s="1374">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74">
        <f t="shared" si="127"/>
        <v>0</v>
      </c>
      <c r="AW260" s="1374">
        <f t="shared" si="128"/>
        <v>0</v>
      </c>
      <c r="AX260" s="1374">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74">
        <f t="shared" si="127"/>
        <v>0</v>
      </c>
      <c r="AW261" s="1374">
        <f t="shared" si="128"/>
        <v>0</v>
      </c>
      <c r="AX261" s="1374">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74">
        <f t="shared" si="127"/>
        <v>0</v>
      </c>
      <c r="AW262" s="1374">
        <f t="shared" si="128"/>
        <v>0</v>
      </c>
      <c r="AX262" s="1374">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74">
        <f t="shared" si="127"/>
        <v>0</v>
      </c>
      <c r="AW263" s="1374">
        <f t="shared" si="128"/>
        <v>0</v>
      </c>
      <c r="AX263" s="1374">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74">
        <f t="shared" si="127"/>
        <v>0</v>
      </c>
      <c r="AW264" s="1374">
        <f t="shared" si="128"/>
        <v>0</v>
      </c>
      <c r="AX264" s="1374">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74">
        <f t="shared" si="127"/>
        <v>0</v>
      </c>
      <c r="AW265" s="1374">
        <f t="shared" si="128"/>
        <v>0</v>
      </c>
      <c r="AX265" s="1374">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74">
        <f t="shared" si="127"/>
        <v>0</v>
      </c>
      <c r="AW266" s="1374">
        <f t="shared" si="128"/>
        <v>0</v>
      </c>
      <c r="AX266" s="1374">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74">
        <f t="shared" si="127"/>
        <v>0</v>
      </c>
      <c r="AW267" s="1374">
        <f t="shared" si="128"/>
        <v>0</v>
      </c>
      <c r="AX267" s="1374">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74">
        <f t="shared" si="127"/>
        <v>0</v>
      </c>
      <c r="AW268" s="1374">
        <f t="shared" si="128"/>
        <v>0</v>
      </c>
      <c r="AX268" s="1374">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74">
        <f t="shared" si="127"/>
        <v>0</v>
      </c>
      <c r="AW269" s="1374">
        <f t="shared" si="128"/>
        <v>0</v>
      </c>
      <c r="AX269" s="1374">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74">
        <f t="shared" si="127"/>
        <v>0</v>
      </c>
      <c r="AW270" s="1374">
        <f t="shared" si="128"/>
        <v>0</v>
      </c>
      <c r="AX270" s="1374">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74">
        <f t="shared" si="127"/>
        <v>0</v>
      </c>
      <c r="AW271" s="1374">
        <f t="shared" si="128"/>
        <v>0</v>
      </c>
      <c r="AX271" s="1374">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74">
        <f t="shared" si="127"/>
        <v>0</v>
      </c>
      <c r="AW272" s="1374">
        <f t="shared" si="128"/>
        <v>0</v>
      </c>
      <c r="AX272" s="1374">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74">
        <f t="shared" si="127"/>
        <v>0</v>
      </c>
      <c r="AW273" s="1374">
        <f t="shared" si="128"/>
        <v>0</v>
      </c>
      <c r="AX273" s="1374">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74">
        <f t="shared" si="127"/>
        <v>0</v>
      </c>
      <c r="AW274" s="1374">
        <f t="shared" si="128"/>
        <v>0</v>
      </c>
      <c r="AX274" s="1374">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74">
        <f t="shared" si="127"/>
        <v>0</v>
      </c>
      <c r="AW275" s="1374">
        <f t="shared" si="128"/>
        <v>0</v>
      </c>
      <c r="AX275" s="1374">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74">
        <f t="shared" si="127"/>
        <v>0</v>
      </c>
      <c r="AW276" s="1374">
        <f t="shared" si="128"/>
        <v>0</v>
      </c>
      <c r="AX276" s="1374">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74">
        <f t="shared" si="127"/>
        <v>0</v>
      </c>
      <c r="AW277" s="1374">
        <f t="shared" si="128"/>
        <v>0</v>
      </c>
      <c r="AX277" s="1374">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74">
        <f t="shared" si="127"/>
        <v>0</v>
      </c>
      <c r="AW278" s="1374">
        <f t="shared" si="128"/>
        <v>0</v>
      </c>
      <c r="AX278" s="1374">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74">
        <f t="shared" si="127"/>
        <v>0</v>
      </c>
      <c r="AW279" s="1374">
        <f t="shared" si="128"/>
        <v>0</v>
      </c>
      <c r="AX279" s="1374">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74">
        <f t="shared" si="127"/>
        <v>0</v>
      </c>
      <c r="AW280" s="1374">
        <f t="shared" si="128"/>
        <v>0</v>
      </c>
      <c r="AX280" s="1374">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74">
        <f t="shared" si="127"/>
        <v>0</v>
      </c>
      <c r="AW281" s="1374">
        <f t="shared" si="128"/>
        <v>0</v>
      </c>
      <c r="AX281" s="1374">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74">
        <f t="shared" si="127"/>
        <v>0</v>
      </c>
      <c r="AW282" s="1374">
        <f t="shared" si="128"/>
        <v>0</v>
      </c>
      <c r="AX282" s="1374">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74">
        <f t="shared" si="127"/>
        <v>0</v>
      </c>
      <c r="AW283" s="1374">
        <f t="shared" si="128"/>
        <v>0</v>
      </c>
      <c r="AX283" s="1374">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74">
        <f t="shared" si="127"/>
        <v>0</v>
      </c>
      <c r="AW284" s="1374">
        <f t="shared" si="128"/>
        <v>0</v>
      </c>
      <c r="AX284" s="1374">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74">
        <f t="shared" si="127"/>
        <v>0</v>
      </c>
      <c r="AW285" s="1374">
        <f t="shared" si="128"/>
        <v>0</v>
      </c>
      <c r="AX285" s="1374">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74">
        <f t="shared" si="127"/>
        <v>0</v>
      </c>
      <c r="AW286" s="1374">
        <f t="shared" si="128"/>
        <v>0</v>
      </c>
      <c r="AX286" s="1374">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74">
        <f t="shared" si="127"/>
        <v>0</v>
      </c>
      <c r="AW287" s="1374">
        <f t="shared" si="128"/>
        <v>0</v>
      </c>
      <c r="AX287" s="1374">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74">
        <f t="shared" si="127"/>
        <v>0</v>
      </c>
      <c r="AW288" s="1374">
        <f t="shared" si="128"/>
        <v>0</v>
      </c>
      <c r="AX288" s="1374">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74">
        <f t="shared" si="127"/>
        <v>0</v>
      </c>
      <c r="AW289" s="1374">
        <f t="shared" si="128"/>
        <v>0</v>
      </c>
      <c r="AX289" s="1374">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74">
        <f t="shared" si="127"/>
        <v>0</v>
      </c>
      <c r="AW290" s="1374">
        <f t="shared" si="128"/>
        <v>0</v>
      </c>
      <c r="AX290" s="1374">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74">
        <f t="shared" si="127"/>
        <v>0</v>
      </c>
      <c r="AW291" s="1374">
        <f t="shared" si="128"/>
        <v>0</v>
      </c>
      <c r="AX291" s="1374">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74">
        <f t="shared" si="127"/>
        <v>0</v>
      </c>
      <c r="AW292" s="1374">
        <f t="shared" si="128"/>
        <v>0</v>
      </c>
      <c r="AX292" s="1374">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74">
        <f t="shared" si="127"/>
        <v>0</v>
      </c>
      <c r="AW293" s="1374">
        <f t="shared" si="128"/>
        <v>0</v>
      </c>
      <c r="AX293" s="1374">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74">
        <f t="shared" si="127"/>
        <v>0</v>
      </c>
      <c r="AW294" s="1374">
        <f t="shared" si="128"/>
        <v>0</v>
      </c>
      <c r="AX294" s="1374">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74">
        <f t="shared" si="127"/>
        <v>0</v>
      </c>
      <c r="AW295" s="1374">
        <f t="shared" si="128"/>
        <v>0</v>
      </c>
      <c r="AX295" s="1374">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74">
        <f t="shared" si="127"/>
        <v>0</v>
      </c>
      <c r="AW296" s="1374">
        <f t="shared" si="128"/>
        <v>0</v>
      </c>
      <c r="AX296" s="1374">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74">
        <f t="shared" si="127"/>
        <v>0</v>
      </c>
      <c r="AW297" s="1374">
        <f t="shared" si="128"/>
        <v>0</v>
      </c>
      <c r="AX297" s="1374">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74">
        <f t="shared" si="127"/>
        <v>0</v>
      </c>
      <c r="AW298" s="1374">
        <f t="shared" si="128"/>
        <v>0</v>
      </c>
      <c r="AX298" s="1374">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74">
        <f t="shared" si="127"/>
        <v>0</v>
      </c>
      <c r="AW299" s="1374">
        <f t="shared" si="128"/>
        <v>0</v>
      </c>
      <c r="AX299" s="1374">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74">
        <f t="shared" si="127"/>
        <v>0</v>
      </c>
      <c r="AW300" s="1374">
        <f t="shared" si="128"/>
        <v>0</v>
      </c>
      <c r="AX300" s="1374">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74">
        <f t="shared" si="127"/>
        <v>0</v>
      </c>
      <c r="AW301" s="1374">
        <f t="shared" si="128"/>
        <v>0</v>
      </c>
      <c r="AX301" s="1374">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74">
        <f t="shared" si="127"/>
        <v>0</v>
      </c>
      <c r="AW302" s="1374">
        <f t="shared" si="128"/>
        <v>0</v>
      </c>
      <c r="AX302" s="1374">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74">
        <f t="shared" ref="AV303:AV334" si="178">A303</f>
        <v>0</v>
      </c>
      <c r="AW303" s="1374">
        <f t="shared" ref="AW303:AW334" si="179">B303</f>
        <v>0</v>
      </c>
      <c r="AX303" s="1374">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74">
        <f t="shared" si="178"/>
        <v>0</v>
      </c>
      <c r="AW304" s="1374">
        <f t="shared" si="179"/>
        <v>0</v>
      </c>
      <c r="AX304" s="1374">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74">
        <f t="shared" si="178"/>
        <v>0</v>
      </c>
      <c r="AW305" s="1374">
        <f t="shared" si="179"/>
        <v>0</v>
      </c>
      <c r="AX305" s="1374">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74">
        <f t="shared" si="178"/>
        <v>0</v>
      </c>
      <c r="AW306" s="1374">
        <f t="shared" si="179"/>
        <v>0</v>
      </c>
      <c r="AX306" s="1374">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74">
        <f t="shared" si="178"/>
        <v>0</v>
      </c>
      <c r="AW307" s="1374">
        <f t="shared" si="179"/>
        <v>0</v>
      </c>
      <c r="AX307" s="1374">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74">
        <f t="shared" si="178"/>
        <v>0</v>
      </c>
      <c r="AW308" s="1374">
        <f t="shared" si="179"/>
        <v>0</v>
      </c>
      <c r="AX308" s="1374">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74">
        <f t="shared" si="178"/>
        <v>0</v>
      </c>
      <c r="AW309" s="1374">
        <f t="shared" si="179"/>
        <v>0</v>
      </c>
      <c r="AX309" s="1374">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74">
        <f t="shared" si="178"/>
        <v>0</v>
      </c>
      <c r="AW310" s="1374">
        <f t="shared" si="179"/>
        <v>0</v>
      </c>
      <c r="AX310" s="1374">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74">
        <f t="shared" si="178"/>
        <v>0</v>
      </c>
      <c r="AW311" s="1374">
        <f t="shared" si="179"/>
        <v>0</v>
      </c>
      <c r="AX311" s="1374">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74">
        <f t="shared" si="178"/>
        <v>0</v>
      </c>
      <c r="AW312" s="1374">
        <f t="shared" si="179"/>
        <v>0</v>
      </c>
      <c r="AX312" s="1374">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74">
        <f t="shared" si="178"/>
        <v>0</v>
      </c>
      <c r="AW313" s="1374">
        <f t="shared" si="179"/>
        <v>0</v>
      </c>
      <c r="AX313" s="1374">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74">
        <f t="shared" si="178"/>
        <v>0</v>
      </c>
      <c r="AW314" s="1374">
        <f t="shared" si="179"/>
        <v>0</v>
      </c>
      <c r="AX314" s="1374">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74">
        <f t="shared" si="178"/>
        <v>0</v>
      </c>
      <c r="AW315" s="1374">
        <f t="shared" si="179"/>
        <v>0</v>
      </c>
      <c r="AX315" s="1374">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74">
        <f t="shared" si="178"/>
        <v>0</v>
      </c>
      <c r="AW316" s="1374">
        <f t="shared" si="179"/>
        <v>0</v>
      </c>
      <c r="AX316" s="1374">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74">
        <f t="shared" si="178"/>
        <v>0</v>
      </c>
      <c r="AW317" s="1374">
        <f t="shared" si="179"/>
        <v>0</v>
      </c>
      <c r="AX317" s="1374">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74">
        <f t="shared" si="178"/>
        <v>0</v>
      </c>
      <c r="AW318" s="1374">
        <f t="shared" si="179"/>
        <v>0</v>
      </c>
      <c r="AX318" s="1374">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74">
        <f t="shared" si="178"/>
        <v>0</v>
      </c>
      <c r="AW319" s="1374">
        <f t="shared" si="179"/>
        <v>0</v>
      </c>
      <c r="AX319" s="1374">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74">
        <f t="shared" si="178"/>
        <v>0</v>
      </c>
      <c r="AW320" s="1374">
        <f t="shared" si="179"/>
        <v>0</v>
      </c>
      <c r="AX320" s="1374">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74">
        <f t="shared" si="178"/>
        <v>0</v>
      </c>
      <c r="AW321" s="1374">
        <f t="shared" si="179"/>
        <v>0</v>
      </c>
      <c r="AX321" s="1374">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74">
        <f t="shared" si="178"/>
        <v>0</v>
      </c>
      <c r="AW322" s="1374">
        <f t="shared" si="179"/>
        <v>0</v>
      </c>
      <c r="AX322" s="1374">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74">
        <f t="shared" si="178"/>
        <v>0</v>
      </c>
      <c r="AW323" s="1374">
        <f t="shared" si="179"/>
        <v>0</v>
      </c>
      <c r="AX323" s="1374">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74">
        <f t="shared" si="178"/>
        <v>0</v>
      </c>
      <c r="AW324" s="1374">
        <f t="shared" si="179"/>
        <v>0</v>
      </c>
      <c r="AX324" s="1374">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74">
        <f t="shared" si="178"/>
        <v>0</v>
      </c>
      <c r="AW325" s="1374">
        <f t="shared" si="179"/>
        <v>0</v>
      </c>
      <c r="AX325" s="1374">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74">
        <f t="shared" si="178"/>
        <v>0</v>
      </c>
      <c r="AW326" s="1374">
        <f t="shared" si="179"/>
        <v>0</v>
      </c>
      <c r="AX326" s="1374">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74">
        <f t="shared" si="178"/>
        <v>0</v>
      </c>
      <c r="AW327" s="1374">
        <f t="shared" si="179"/>
        <v>0</v>
      </c>
      <c r="AX327" s="1374">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74">
        <f t="shared" si="178"/>
        <v>0</v>
      </c>
      <c r="AW328" s="1374">
        <f t="shared" si="179"/>
        <v>0</v>
      </c>
      <c r="AX328" s="1374">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74">
        <f t="shared" si="178"/>
        <v>0</v>
      </c>
      <c r="AW329" s="1374">
        <f t="shared" si="179"/>
        <v>0</v>
      </c>
      <c r="AX329" s="1374">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74">
        <f t="shared" si="178"/>
        <v>0</v>
      </c>
      <c r="AW330" s="1374">
        <f t="shared" si="179"/>
        <v>0</v>
      </c>
      <c r="AX330" s="1374">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74">
        <f t="shared" si="178"/>
        <v>0</v>
      </c>
      <c r="AW331" s="1374">
        <f t="shared" si="179"/>
        <v>0</v>
      </c>
      <c r="AX331" s="1374">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74">
        <f t="shared" si="178"/>
        <v>0</v>
      </c>
      <c r="AW332" s="1374">
        <f t="shared" si="179"/>
        <v>0</v>
      </c>
      <c r="AX332" s="1374">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74">
        <f t="shared" si="178"/>
        <v>0</v>
      </c>
      <c r="AW333" s="1374">
        <f t="shared" si="179"/>
        <v>0</v>
      </c>
      <c r="AX333" s="1374">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74">
        <f t="shared" si="178"/>
        <v>0</v>
      </c>
      <c r="AW334" s="1374">
        <f t="shared" si="179"/>
        <v>0</v>
      </c>
      <c r="AX334" s="1374">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74">
        <f t="shared" ref="AV335:AV366" si="207">A335</f>
        <v>0</v>
      </c>
      <c r="AW335" s="1374">
        <f t="shared" ref="AW335:AW366" si="208">B335</f>
        <v>0</v>
      </c>
      <c r="AX335" s="1374">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74">
        <f t="shared" si="207"/>
        <v>0</v>
      </c>
      <c r="AW336" s="1374">
        <f t="shared" si="208"/>
        <v>0</v>
      </c>
      <c r="AX336" s="1374">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74">
        <f t="shared" si="207"/>
        <v>0</v>
      </c>
      <c r="AW337" s="1374">
        <f t="shared" si="208"/>
        <v>0</v>
      </c>
      <c r="AX337" s="1374">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74">
        <f t="shared" si="207"/>
        <v>0</v>
      </c>
      <c r="AW338" s="1374">
        <f t="shared" si="208"/>
        <v>0</v>
      </c>
      <c r="AX338" s="1374">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74">
        <f t="shared" si="207"/>
        <v>0</v>
      </c>
      <c r="AW339" s="1374">
        <f t="shared" si="208"/>
        <v>0</v>
      </c>
      <c r="AX339" s="1374">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74">
        <f t="shared" si="207"/>
        <v>0</v>
      </c>
      <c r="AW340" s="1374">
        <f t="shared" si="208"/>
        <v>0</v>
      </c>
      <c r="AX340" s="1374">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74">
        <f t="shared" si="207"/>
        <v>0</v>
      </c>
      <c r="AW341" s="1374">
        <f t="shared" si="208"/>
        <v>0</v>
      </c>
      <c r="AX341" s="1374">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74">
        <f t="shared" si="207"/>
        <v>0</v>
      </c>
      <c r="AW342" s="1374">
        <f t="shared" si="208"/>
        <v>0</v>
      </c>
      <c r="AX342" s="1374">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74">
        <f t="shared" si="207"/>
        <v>0</v>
      </c>
      <c r="AW343" s="1374">
        <f t="shared" si="208"/>
        <v>0</v>
      </c>
      <c r="AX343" s="1374">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74">
        <f t="shared" si="207"/>
        <v>0</v>
      </c>
      <c r="AW344" s="1374">
        <f t="shared" si="208"/>
        <v>0</v>
      </c>
      <c r="AX344" s="1374">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74">
        <f t="shared" si="207"/>
        <v>0</v>
      </c>
      <c r="AW345" s="1374">
        <f t="shared" si="208"/>
        <v>0</v>
      </c>
      <c r="AX345" s="1374">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74">
        <f t="shared" si="207"/>
        <v>0</v>
      </c>
      <c r="AW346" s="1374">
        <f t="shared" si="208"/>
        <v>0</v>
      </c>
      <c r="AX346" s="1374">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74">
        <f t="shared" si="207"/>
        <v>0</v>
      </c>
      <c r="AW347" s="1374">
        <f t="shared" si="208"/>
        <v>0</v>
      </c>
      <c r="AX347" s="1374">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74">
        <f t="shared" si="207"/>
        <v>0</v>
      </c>
      <c r="AW348" s="1374">
        <f t="shared" si="208"/>
        <v>0</v>
      </c>
      <c r="AX348" s="1374">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74">
        <f t="shared" si="207"/>
        <v>0</v>
      </c>
      <c r="AW349" s="1374">
        <f t="shared" si="208"/>
        <v>0</v>
      </c>
      <c r="AX349" s="1374">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74">
        <f t="shared" si="207"/>
        <v>0</v>
      </c>
      <c r="AW350" s="1374">
        <f t="shared" si="208"/>
        <v>0</v>
      </c>
      <c r="AX350" s="1374">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74">
        <f t="shared" si="207"/>
        <v>0</v>
      </c>
      <c r="AW351" s="1374">
        <f t="shared" si="208"/>
        <v>0</v>
      </c>
      <c r="AX351" s="1374">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74">
        <f t="shared" si="207"/>
        <v>0</v>
      </c>
      <c r="AW352" s="1374">
        <f t="shared" si="208"/>
        <v>0</v>
      </c>
      <c r="AX352" s="1374">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74">
        <f t="shared" si="207"/>
        <v>0</v>
      </c>
      <c r="AW353" s="1374">
        <f t="shared" si="208"/>
        <v>0</v>
      </c>
      <c r="AX353" s="1374">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74">
        <f t="shared" si="207"/>
        <v>0</v>
      </c>
      <c r="AW354" s="1374">
        <f t="shared" si="208"/>
        <v>0</v>
      </c>
      <c r="AX354" s="1374">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74">
        <f t="shared" si="207"/>
        <v>0</v>
      </c>
      <c r="AW355" s="1374">
        <f t="shared" si="208"/>
        <v>0</v>
      </c>
      <c r="AX355" s="1374">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74">
        <f t="shared" si="207"/>
        <v>0</v>
      </c>
      <c r="AW356" s="1374">
        <f t="shared" si="208"/>
        <v>0</v>
      </c>
      <c r="AX356" s="1374">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74">
        <f t="shared" si="207"/>
        <v>0</v>
      </c>
      <c r="AW357" s="1374">
        <f t="shared" si="208"/>
        <v>0</v>
      </c>
      <c r="AX357" s="1374">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74">
        <f t="shared" si="207"/>
        <v>0</v>
      </c>
      <c r="AW358" s="1374">
        <f t="shared" si="208"/>
        <v>0</v>
      </c>
      <c r="AX358" s="1374">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74">
        <f t="shared" si="207"/>
        <v>0</v>
      </c>
      <c r="AW359" s="1374">
        <f t="shared" si="208"/>
        <v>0</v>
      </c>
      <c r="AX359" s="1374">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74">
        <f t="shared" si="207"/>
        <v>0</v>
      </c>
      <c r="AW360" s="1374">
        <f t="shared" si="208"/>
        <v>0</v>
      </c>
      <c r="AX360" s="1374">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74">
        <f t="shared" si="207"/>
        <v>0</v>
      </c>
      <c r="AW361" s="1374">
        <f t="shared" si="208"/>
        <v>0</v>
      </c>
      <c r="AX361" s="1374">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74">
        <f t="shared" si="207"/>
        <v>0</v>
      </c>
      <c r="AW362" s="1374">
        <f t="shared" si="208"/>
        <v>0</v>
      </c>
      <c r="AX362" s="1374">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74">
        <f t="shared" si="207"/>
        <v>0</v>
      </c>
      <c r="AW363" s="1374">
        <f t="shared" si="208"/>
        <v>0</v>
      </c>
      <c r="AX363" s="1374">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74">
        <f t="shared" si="207"/>
        <v>0</v>
      </c>
      <c r="AW364" s="1374">
        <f t="shared" si="208"/>
        <v>0</v>
      </c>
      <c r="AX364" s="1374">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74">
        <f t="shared" si="207"/>
        <v>0</v>
      </c>
      <c r="AW365" s="1374">
        <f t="shared" si="208"/>
        <v>0</v>
      </c>
      <c r="AX365" s="1374">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74">
        <f t="shared" si="207"/>
        <v>0</v>
      </c>
      <c r="AW366" s="1374">
        <f t="shared" si="208"/>
        <v>0</v>
      </c>
      <c r="AX366" s="1374">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74">
        <f t="shared" ref="AV367:AV397" si="236">A367</f>
        <v>0</v>
      </c>
      <c r="AW367" s="1374">
        <f t="shared" ref="AW367:AW397" si="237">B367</f>
        <v>0</v>
      </c>
      <c r="AX367" s="1374">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74">
        <f t="shared" si="236"/>
        <v>0</v>
      </c>
      <c r="AW368" s="1374">
        <f t="shared" si="237"/>
        <v>0</v>
      </c>
      <c r="AX368" s="1374">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74">
        <f t="shared" si="236"/>
        <v>0</v>
      </c>
      <c r="AW369" s="1374">
        <f t="shared" si="237"/>
        <v>0</v>
      </c>
      <c r="AX369" s="1374">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74">
        <f t="shared" si="236"/>
        <v>0</v>
      </c>
      <c r="AW370" s="1374">
        <f t="shared" si="237"/>
        <v>0</v>
      </c>
      <c r="AX370" s="1374">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74">
        <f t="shared" si="236"/>
        <v>0</v>
      </c>
      <c r="AW371" s="1374">
        <f t="shared" si="237"/>
        <v>0</v>
      </c>
      <c r="AX371" s="1374">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74">
        <f t="shared" si="236"/>
        <v>0</v>
      </c>
      <c r="AW372" s="1374">
        <f t="shared" si="237"/>
        <v>0</v>
      </c>
      <c r="AX372" s="1374">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74">
        <f t="shared" si="236"/>
        <v>0</v>
      </c>
      <c r="AW373" s="1374">
        <f t="shared" si="237"/>
        <v>0</v>
      </c>
      <c r="AX373" s="1374">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74">
        <f t="shared" si="236"/>
        <v>0</v>
      </c>
      <c r="AW374" s="1374">
        <f t="shared" si="237"/>
        <v>0</v>
      </c>
      <c r="AX374" s="1374">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74">
        <f t="shared" si="236"/>
        <v>0</v>
      </c>
      <c r="AW375" s="1374">
        <f t="shared" si="237"/>
        <v>0</v>
      </c>
      <c r="AX375" s="1374">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74">
        <f t="shared" si="236"/>
        <v>0</v>
      </c>
      <c r="AW376" s="1374">
        <f t="shared" si="237"/>
        <v>0</v>
      </c>
      <c r="AX376" s="1374">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74">
        <f t="shared" si="236"/>
        <v>0</v>
      </c>
      <c r="AW377" s="1374">
        <f t="shared" si="237"/>
        <v>0</v>
      </c>
      <c r="AX377" s="1374">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74">
        <f t="shared" si="236"/>
        <v>0</v>
      </c>
      <c r="AW378" s="1374">
        <f t="shared" si="237"/>
        <v>0</v>
      </c>
      <c r="AX378" s="1374">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74">
        <f t="shared" si="236"/>
        <v>0</v>
      </c>
      <c r="AW379" s="1374">
        <f t="shared" si="237"/>
        <v>0</v>
      </c>
      <c r="AX379" s="1374">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74">
        <f t="shared" si="236"/>
        <v>0</v>
      </c>
      <c r="AW380" s="1374">
        <f t="shared" si="237"/>
        <v>0</v>
      </c>
      <c r="AX380" s="1374">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74">
        <f t="shared" si="236"/>
        <v>0</v>
      </c>
      <c r="AW381" s="1374">
        <f t="shared" si="237"/>
        <v>0</v>
      </c>
      <c r="AX381" s="1374">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74">
        <f t="shared" si="236"/>
        <v>0</v>
      </c>
      <c r="AW382" s="1374">
        <f t="shared" si="237"/>
        <v>0</v>
      </c>
      <c r="AX382" s="1374">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74">
        <f t="shared" si="236"/>
        <v>0</v>
      </c>
      <c r="AW383" s="1374">
        <f t="shared" si="237"/>
        <v>0</v>
      </c>
      <c r="AX383" s="1374">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74">
        <f t="shared" si="236"/>
        <v>0</v>
      </c>
      <c r="AW384" s="1374">
        <f t="shared" si="237"/>
        <v>0</v>
      </c>
      <c r="AX384" s="1374">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74">
        <f t="shared" si="236"/>
        <v>0</v>
      </c>
      <c r="AW385" s="1374">
        <f t="shared" si="237"/>
        <v>0</v>
      </c>
      <c r="AX385" s="1374">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74">
        <f t="shared" si="236"/>
        <v>0</v>
      </c>
      <c r="AW386" s="1374">
        <f t="shared" si="237"/>
        <v>0</v>
      </c>
      <c r="AX386" s="1374">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74">
        <f t="shared" si="236"/>
        <v>0</v>
      </c>
      <c r="AW387" s="1374">
        <f t="shared" si="237"/>
        <v>0</v>
      </c>
      <c r="AX387" s="1374">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74">
        <f t="shared" si="236"/>
        <v>0</v>
      </c>
      <c r="AW388" s="1374">
        <f t="shared" si="237"/>
        <v>0</v>
      </c>
      <c r="AX388" s="1374">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74">
        <f t="shared" si="236"/>
        <v>0</v>
      </c>
      <c r="AW389" s="1374">
        <f t="shared" si="237"/>
        <v>0</v>
      </c>
      <c r="AX389" s="1374">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74">
        <f t="shared" si="236"/>
        <v>0</v>
      </c>
      <c r="AW390" s="1374">
        <f t="shared" si="237"/>
        <v>0</v>
      </c>
      <c r="AX390" s="1374">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74">
        <f t="shared" si="236"/>
        <v>0</v>
      </c>
      <c r="AW391" s="1374">
        <f t="shared" si="237"/>
        <v>0</v>
      </c>
      <c r="AX391" s="1374">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74">
        <f t="shared" si="236"/>
        <v>0</v>
      </c>
      <c r="AW392" s="1374">
        <f t="shared" si="237"/>
        <v>0</v>
      </c>
      <c r="AX392" s="1374">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74">
        <f t="shared" si="236"/>
        <v>0</v>
      </c>
      <c r="AW393" s="1374">
        <f t="shared" si="237"/>
        <v>0</v>
      </c>
      <c r="AX393" s="1374">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74">
        <f t="shared" si="236"/>
        <v>0</v>
      </c>
      <c r="AW394" s="1374">
        <f t="shared" si="237"/>
        <v>0</v>
      </c>
      <c r="AX394" s="1374">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74">
        <f t="shared" si="236"/>
        <v>0</v>
      </c>
      <c r="AW395" s="1374">
        <f t="shared" si="237"/>
        <v>0</v>
      </c>
      <c r="AX395" s="1374">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74">
        <f t="shared" si="236"/>
        <v>0</v>
      </c>
      <c r="AW396" s="1374">
        <f t="shared" si="237"/>
        <v>0</v>
      </c>
      <c r="AX396" s="1374">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74">
        <f t="shared" si="236"/>
        <v>0</v>
      </c>
      <c r="AW397" s="1374">
        <f t="shared" si="237"/>
        <v>0</v>
      </c>
      <c r="AX397" s="1374">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74">
        <f t="shared" ref="AV398:AV492" si="243">A398</f>
        <v>0</v>
      </c>
      <c r="AW398" s="1374">
        <f t="shared" ref="AW398:AW492" si="244">B398</f>
        <v>0</v>
      </c>
      <c r="AX398" s="1374">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74">
        <f t="shared" si="243"/>
        <v>0</v>
      </c>
      <c r="AW399" s="1374">
        <f t="shared" si="244"/>
        <v>0</v>
      </c>
      <c r="AX399" s="1374">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74">
        <f t="shared" si="243"/>
        <v>0</v>
      </c>
      <c r="AW400" s="1374">
        <f t="shared" si="244"/>
        <v>0</v>
      </c>
      <c r="AX400" s="1374">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74">
        <f t="shared" si="243"/>
        <v>0</v>
      </c>
      <c r="AW401" s="1374">
        <f t="shared" si="244"/>
        <v>0</v>
      </c>
      <c r="AX401" s="1374">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74">
        <f t="shared" si="243"/>
        <v>0</v>
      </c>
      <c r="AW402" s="1374">
        <f t="shared" si="244"/>
        <v>0</v>
      </c>
      <c r="AX402" s="1374">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74">
        <f t="shared" si="243"/>
        <v>0</v>
      </c>
      <c r="AW403" s="1374">
        <f t="shared" si="244"/>
        <v>0</v>
      </c>
      <c r="AX403" s="1374">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74">
        <f t="shared" si="243"/>
        <v>0</v>
      </c>
      <c r="AW404" s="1374">
        <f t="shared" si="244"/>
        <v>0</v>
      </c>
      <c r="AX404" s="1374">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74">
        <f t="shared" si="243"/>
        <v>0</v>
      </c>
      <c r="AW405" s="1374">
        <f t="shared" si="244"/>
        <v>0</v>
      </c>
      <c r="AX405" s="1374">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74">
        <f t="shared" si="243"/>
        <v>0</v>
      </c>
      <c r="AW406" s="1374">
        <f t="shared" si="244"/>
        <v>0</v>
      </c>
      <c r="AX406" s="1374">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74">
        <f t="shared" si="243"/>
        <v>0</v>
      </c>
      <c r="AW407" s="1374">
        <f t="shared" si="244"/>
        <v>0</v>
      </c>
      <c r="AX407" s="1374">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74">
        <f t="shared" si="243"/>
        <v>0</v>
      </c>
      <c r="AW408" s="1374">
        <f t="shared" si="244"/>
        <v>0</v>
      </c>
      <c r="AX408" s="1374">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74">
        <f t="shared" si="243"/>
        <v>0</v>
      </c>
      <c r="AW409" s="1374">
        <f t="shared" si="244"/>
        <v>0</v>
      </c>
      <c r="AX409" s="1374">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74">
        <f t="shared" si="243"/>
        <v>0</v>
      </c>
      <c r="AW410" s="1374">
        <f t="shared" si="244"/>
        <v>0</v>
      </c>
      <c r="AX410" s="1374">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74">
        <f t="shared" si="243"/>
        <v>0</v>
      </c>
      <c r="AW411" s="1374">
        <f t="shared" si="244"/>
        <v>0</v>
      </c>
      <c r="AX411" s="1374">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74">
        <f t="shared" si="243"/>
        <v>0</v>
      </c>
      <c r="AW412" s="1374">
        <f t="shared" si="244"/>
        <v>0</v>
      </c>
      <c r="AX412" s="1374">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74">
        <f t="shared" si="243"/>
        <v>0</v>
      </c>
      <c r="AW413" s="1374">
        <f t="shared" si="244"/>
        <v>0</v>
      </c>
      <c r="AX413" s="1374">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74">
        <f t="shared" si="243"/>
        <v>0</v>
      </c>
      <c r="AW414" s="1374">
        <f t="shared" si="244"/>
        <v>0</v>
      </c>
      <c r="AX414" s="1374">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74">
        <f t="shared" si="243"/>
        <v>0</v>
      </c>
      <c r="AW415" s="1374">
        <f t="shared" si="244"/>
        <v>0</v>
      </c>
      <c r="AX415" s="1374">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74">
        <f t="shared" si="243"/>
        <v>0</v>
      </c>
      <c r="AW416" s="1374">
        <f t="shared" si="244"/>
        <v>0</v>
      </c>
      <c r="AX416" s="1374">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74">
        <f t="shared" si="243"/>
        <v>0</v>
      </c>
      <c r="AW417" s="1374">
        <f t="shared" si="244"/>
        <v>0</v>
      </c>
      <c r="AX417" s="1374">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74">
        <f t="shared" si="243"/>
        <v>0</v>
      </c>
      <c r="AW418" s="1374">
        <f t="shared" si="244"/>
        <v>0</v>
      </c>
      <c r="AX418" s="1374">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74">
        <f t="shared" si="243"/>
        <v>0</v>
      </c>
      <c r="AW419" s="1374">
        <f t="shared" si="244"/>
        <v>0</v>
      </c>
      <c r="AX419" s="1374">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74">
        <f t="shared" si="243"/>
        <v>0</v>
      </c>
      <c r="AW420" s="1374">
        <f t="shared" si="244"/>
        <v>0</v>
      </c>
      <c r="AX420" s="1374">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74">
        <f t="shared" si="243"/>
        <v>0</v>
      </c>
      <c r="AW421" s="1374">
        <f t="shared" si="244"/>
        <v>0</v>
      </c>
      <c r="AX421" s="1374">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74">
        <f t="shared" si="243"/>
        <v>0</v>
      </c>
      <c r="AW422" s="1374">
        <f t="shared" si="244"/>
        <v>0</v>
      </c>
      <c r="AX422" s="1374">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74">
        <f t="shared" si="243"/>
        <v>0</v>
      </c>
      <c r="AW423" s="1374">
        <f t="shared" si="244"/>
        <v>0</v>
      </c>
      <c r="AX423" s="1374">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74">
        <f t="shared" si="243"/>
        <v>0</v>
      </c>
      <c r="AW424" s="1374">
        <f t="shared" si="244"/>
        <v>0</v>
      </c>
      <c r="AX424" s="1374">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74">
        <f t="shared" si="243"/>
        <v>0</v>
      </c>
      <c r="AW425" s="1374">
        <f t="shared" si="244"/>
        <v>0</v>
      </c>
      <c r="AX425" s="1374">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74">
        <f t="shared" si="243"/>
        <v>0</v>
      </c>
      <c r="AW426" s="1374">
        <f t="shared" si="244"/>
        <v>0</v>
      </c>
      <c r="AX426" s="1374">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74">
        <f t="shared" si="243"/>
        <v>0</v>
      </c>
      <c r="AW427" s="1374">
        <f t="shared" si="244"/>
        <v>0</v>
      </c>
      <c r="AX427" s="1374">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74">
        <f t="shared" si="243"/>
        <v>0</v>
      </c>
      <c r="AW428" s="1374">
        <f t="shared" si="244"/>
        <v>0</v>
      </c>
      <c r="AX428" s="1374">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74">
        <f t="shared" si="243"/>
        <v>0</v>
      </c>
      <c r="AW429" s="1374">
        <f t="shared" si="244"/>
        <v>0</v>
      </c>
      <c r="AX429" s="1374">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74">
        <f t="shared" si="243"/>
        <v>0</v>
      </c>
      <c r="AW430" s="1374">
        <f t="shared" si="244"/>
        <v>0</v>
      </c>
      <c r="AX430" s="1374">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74">
        <f t="shared" si="243"/>
        <v>0</v>
      </c>
      <c r="AW431" s="1374">
        <f t="shared" si="244"/>
        <v>0</v>
      </c>
      <c r="AX431" s="1374">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74">
        <f t="shared" si="243"/>
        <v>0</v>
      </c>
      <c r="AW432" s="1374">
        <f t="shared" si="244"/>
        <v>0</v>
      </c>
      <c r="AX432" s="1374">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74">
        <f t="shared" si="243"/>
        <v>0</v>
      </c>
      <c r="AW433" s="1374">
        <f t="shared" si="244"/>
        <v>0</v>
      </c>
      <c r="AX433" s="1374">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74">
        <f t="shared" si="243"/>
        <v>0</v>
      </c>
      <c r="AW434" s="1374">
        <f t="shared" si="244"/>
        <v>0</v>
      </c>
      <c r="AX434" s="1374">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74">
        <f t="shared" si="243"/>
        <v>0</v>
      </c>
      <c r="AW435" s="1374">
        <f t="shared" si="244"/>
        <v>0</v>
      </c>
      <c r="AX435" s="1374">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74">
        <f t="shared" si="243"/>
        <v>0</v>
      </c>
      <c r="AW436" s="1374">
        <f t="shared" si="244"/>
        <v>0</v>
      </c>
      <c r="AX436" s="1374">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74">
        <f t="shared" si="243"/>
        <v>0</v>
      </c>
      <c r="AW437" s="1374">
        <f t="shared" si="244"/>
        <v>0</v>
      </c>
      <c r="AX437" s="1374">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74">
        <f t="shared" si="243"/>
        <v>0</v>
      </c>
      <c r="AW438" s="1374">
        <f t="shared" si="244"/>
        <v>0</v>
      </c>
      <c r="AX438" s="1374">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74">
        <f t="shared" si="243"/>
        <v>0</v>
      </c>
      <c r="AW439" s="1374">
        <f t="shared" si="244"/>
        <v>0</v>
      </c>
      <c r="AX439" s="1374">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74">
        <f t="shared" si="243"/>
        <v>0</v>
      </c>
      <c r="AW440" s="1374">
        <f t="shared" si="244"/>
        <v>0</v>
      </c>
      <c r="AX440" s="1374">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74">
        <f t="shared" si="243"/>
        <v>0</v>
      </c>
      <c r="AW441" s="1374">
        <f t="shared" si="244"/>
        <v>0</v>
      </c>
      <c r="AX441" s="1374">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74">
        <f t="shared" si="243"/>
        <v>0</v>
      </c>
      <c r="AW442" s="1374">
        <f t="shared" si="244"/>
        <v>0</v>
      </c>
      <c r="AX442" s="1374">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74">
        <f t="shared" si="243"/>
        <v>0</v>
      </c>
      <c r="AW443" s="1374">
        <f t="shared" si="244"/>
        <v>0</v>
      </c>
      <c r="AX443" s="1374">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74">
        <f t="shared" si="243"/>
        <v>0</v>
      </c>
      <c r="AW444" s="1374">
        <f t="shared" si="244"/>
        <v>0</v>
      </c>
      <c r="AX444" s="1374">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74">
        <f t="shared" si="243"/>
        <v>0</v>
      </c>
      <c r="AW445" s="1374">
        <f t="shared" si="244"/>
        <v>0</v>
      </c>
      <c r="AX445" s="1374">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74">
        <f t="shared" si="243"/>
        <v>0</v>
      </c>
      <c r="AW446" s="1374">
        <f t="shared" si="244"/>
        <v>0</v>
      </c>
      <c r="AX446" s="1374">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74">
        <f t="shared" si="243"/>
        <v>0</v>
      </c>
      <c r="AW447" s="1374">
        <f t="shared" si="244"/>
        <v>0</v>
      </c>
      <c r="AX447" s="1374">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74">
        <f t="shared" si="243"/>
        <v>0</v>
      </c>
      <c r="AW448" s="1374">
        <f t="shared" si="244"/>
        <v>0</v>
      </c>
      <c r="AX448" s="1374">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74">
        <f t="shared" si="243"/>
        <v>0</v>
      </c>
      <c r="AW449" s="1374">
        <f t="shared" si="244"/>
        <v>0</v>
      </c>
      <c r="AX449" s="1374">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74">
        <f t="shared" si="243"/>
        <v>0</v>
      </c>
      <c r="AW450" s="1374">
        <f t="shared" si="244"/>
        <v>0</v>
      </c>
      <c r="AX450" s="1374">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74">
        <f t="shared" si="243"/>
        <v>0</v>
      </c>
      <c r="AW451" s="1374">
        <f t="shared" si="244"/>
        <v>0</v>
      </c>
      <c r="AX451" s="1374">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74">
        <f t="shared" si="243"/>
        <v>0</v>
      </c>
      <c r="AW452" s="1374">
        <f t="shared" si="244"/>
        <v>0</v>
      </c>
      <c r="AX452" s="1374">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74">
        <f t="shared" si="243"/>
        <v>0</v>
      </c>
      <c r="AW453" s="1374">
        <f t="shared" si="244"/>
        <v>0</v>
      </c>
      <c r="AX453" s="1374">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74">
        <f t="shared" si="243"/>
        <v>0</v>
      </c>
      <c r="AW454" s="1374">
        <f t="shared" si="244"/>
        <v>0</v>
      </c>
      <c r="AX454" s="1374">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74">
        <f t="shared" si="243"/>
        <v>0</v>
      </c>
      <c r="AW455" s="1374">
        <f t="shared" si="244"/>
        <v>0</v>
      </c>
      <c r="AX455" s="1374">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74">
        <f t="shared" si="243"/>
        <v>0</v>
      </c>
      <c r="AW456" s="1374">
        <f t="shared" si="244"/>
        <v>0</v>
      </c>
      <c r="AX456" s="1374">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74">
        <f t="shared" si="243"/>
        <v>0</v>
      </c>
      <c r="AW457" s="1374">
        <f t="shared" si="244"/>
        <v>0</v>
      </c>
      <c r="AX457" s="1374">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74">
        <f t="shared" si="243"/>
        <v>0</v>
      </c>
      <c r="AW458" s="1374">
        <f t="shared" si="244"/>
        <v>0</v>
      </c>
      <c r="AX458" s="1374">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74">
        <f t="shared" si="243"/>
        <v>0</v>
      </c>
      <c r="AW459" s="1374">
        <f t="shared" si="244"/>
        <v>0</v>
      </c>
      <c r="AX459" s="1374">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74">
        <f t="shared" si="243"/>
        <v>0</v>
      </c>
      <c r="AW460" s="1374">
        <f t="shared" si="244"/>
        <v>0</v>
      </c>
      <c r="AX460" s="1374">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74">
        <f t="shared" si="243"/>
        <v>0</v>
      </c>
      <c r="AW461" s="1374">
        <f t="shared" si="244"/>
        <v>0</v>
      </c>
      <c r="AX461" s="1374">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74">
        <f t="shared" si="243"/>
        <v>0</v>
      </c>
      <c r="AW462" s="1374">
        <f t="shared" si="244"/>
        <v>0</v>
      </c>
      <c r="AX462" s="1374">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74">
        <f t="shared" si="243"/>
        <v>0</v>
      </c>
      <c r="AW463" s="1374">
        <f t="shared" si="244"/>
        <v>0</v>
      </c>
      <c r="AX463" s="1374">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74">
        <f t="shared" si="243"/>
        <v>0</v>
      </c>
      <c r="AW464" s="1374">
        <f t="shared" si="244"/>
        <v>0</v>
      </c>
      <c r="AX464" s="1374">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74">
        <f t="shared" si="243"/>
        <v>0</v>
      </c>
      <c r="AW465" s="1374">
        <f t="shared" si="244"/>
        <v>0</v>
      </c>
      <c r="AX465" s="1374">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74">
        <f t="shared" si="243"/>
        <v>0</v>
      </c>
      <c r="AW466" s="1374">
        <f t="shared" si="244"/>
        <v>0</v>
      </c>
      <c r="AX466" s="1374">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74">
        <f t="shared" si="243"/>
        <v>0</v>
      </c>
      <c r="AW467" s="1374">
        <f t="shared" si="244"/>
        <v>0</v>
      </c>
      <c r="AX467" s="1374">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74">
        <f t="shared" si="243"/>
        <v>0</v>
      </c>
      <c r="AW468" s="1374">
        <f t="shared" si="244"/>
        <v>0</v>
      </c>
      <c r="AX468" s="1374">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74">
        <f t="shared" si="243"/>
        <v>0</v>
      </c>
      <c r="AW469" s="1374">
        <f t="shared" si="244"/>
        <v>0</v>
      </c>
      <c r="AX469" s="1374">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74">
        <f t="shared" si="243"/>
        <v>0</v>
      </c>
      <c r="AW470" s="1374">
        <f t="shared" si="244"/>
        <v>0</v>
      </c>
      <c r="AX470" s="1374">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74">
        <f t="shared" si="243"/>
        <v>0</v>
      </c>
      <c r="AW471" s="1374">
        <f t="shared" si="244"/>
        <v>0</v>
      </c>
      <c r="AX471" s="1374">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74">
        <f t="shared" si="243"/>
        <v>0</v>
      </c>
      <c r="AW472" s="1374">
        <f t="shared" si="244"/>
        <v>0</v>
      </c>
      <c r="AX472" s="1374">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74">
        <f t="shared" si="243"/>
        <v>0</v>
      </c>
      <c r="AW473" s="1374">
        <f t="shared" si="244"/>
        <v>0</v>
      </c>
      <c r="AX473" s="1374">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74">
        <f t="shared" si="243"/>
        <v>0</v>
      </c>
      <c r="AW474" s="1374">
        <f t="shared" si="244"/>
        <v>0</v>
      </c>
      <c r="AX474" s="1374">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74">
        <f t="shared" si="243"/>
        <v>0</v>
      </c>
      <c r="AW475" s="1374">
        <f t="shared" si="244"/>
        <v>0</v>
      </c>
      <c r="AX475" s="1374">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74">
        <f t="shared" si="243"/>
        <v>0</v>
      </c>
      <c r="AW476" s="1374">
        <f t="shared" si="244"/>
        <v>0</v>
      </c>
      <c r="AX476" s="1374">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74">
        <f t="shared" si="243"/>
        <v>0</v>
      </c>
      <c r="AW477" s="1374">
        <f t="shared" si="244"/>
        <v>0</v>
      </c>
      <c r="AX477" s="1374">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74">
        <f t="shared" si="243"/>
        <v>0</v>
      </c>
      <c r="AW478" s="1374">
        <f t="shared" si="244"/>
        <v>0</v>
      </c>
      <c r="AX478" s="1374">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74">
        <f t="shared" si="243"/>
        <v>0</v>
      </c>
      <c r="AW479" s="1374">
        <f t="shared" si="244"/>
        <v>0</v>
      </c>
      <c r="AX479" s="1374">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74">
        <f t="shared" si="243"/>
        <v>0</v>
      </c>
      <c r="AW480" s="1374">
        <f t="shared" si="244"/>
        <v>0</v>
      </c>
      <c r="AX480" s="1374">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74">
        <f t="shared" si="243"/>
        <v>0</v>
      </c>
      <c r="AW481" s="1374">
        <f t="shared" si="244"/>
        <v>0</v>
      </c>
      <c r="AX481" s="1374">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74">
        <f t="shared" si="243"/>
        <v>0</v>
      </c>
      <c r="AW482" s="1374">
        <f t="shared" si="244"/>
        <v>0</v>
      </c>
      <c r="AX482" s="1374">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74">
        <f t="shared" si="243"/>
        <v>0</v>
      </c>
      <c r="AW483" s="1374">
        <f t="shared" si="244"/>
        <v>0</v>
      </c>
      <c r="AX483" s="1374">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74">
        <f t="shared" si="243"/>
        <v>0</v>
      </c>
      <c r="AW484" s="1374">
        <f t="shared" si="244"/>
        <v>0</v>
      </c>
      <c r="AX484" s="1374">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74">
        <f t="shared" si="243"/>
        <v>0</v>
      </c>
      <c r="AW485" s="1374">
        <f t="shared" si="244"/>
        <v>0</v>
      </c>
      <c r="AX485" s="1374">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74">
        <f t="shared" si="243"/>
        <v>0</v>
      </c>
      <c r="AW486" s="1374">
        <f t="shared" si="244"/>
        <v>0</v>
      </c>
      <c r="AX486" s="1374">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74">
        <f t="shared" si="243"/>
        <v>0</v>
      </c>
      <c r="AW487" s="1374">
        <f t="shared" si="244"/>
        <v>0</v>
      </c>
      <c r="AX487" s="1374">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74">
        <f t="shared" si="243"/>
        <v>0</v>
      </c>
      <c r="AW488" s="1374">
        <f t="shared" si="244"/>
        <v>0</v>
      </c>
      <c r="AX488" s="1374">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74">
        <f t="shared" si="243"/>
        <v>0</v>
      </c>
      <c r="AW489" s="1374">
        <f t="shared" si="244"/>
        <v>0</v>
      </c>
      <c r="AX489" s="1374">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74">
        <f t="shared" si="243"/>
        <v>0</v>
      </c>
      <c r="AW490" s="1374">
        <f t="shared" si="244"/>
        <v>0</v>
      </c>
      <c r="AX490" s="1374">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74">
        <f t="shared" si="243"/>
        <v>0</v>
      </c>
      <c r="AW491" s="1374">
        <f t="shared" si="244"/>
        <v>0</v>
      </c>
      <c r="AX491" s="1374">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74">
        <f t="shared" si="243"/>
        <v>0</v>
      </c>
      <c r="AW492" s="1374">
        <f t="shared" si="244"/>
        <v>0</v>
      </c>
      <c r="AX492" s="1374">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74">
        <f t="shared" ref="AV493:AV520" si="294">A493</f>
        <v>0</v>
      </c>
      <c r="AW493" s="1374">
        <f t="shared" ref="AW493:AW520" si="295">B493</f>
        <v>0</v>
      </c>
      <c r="AX493" s="1374">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74">
        <f t="shared" si="294"/>
        <v>0</v>
      </c>
      <c r="AW494" s="1374">
        <f t="shared" si="295"/>
        <v>0</v>
      </c>
      <c r="AX494" s="1374">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74">
        <f t="shared" si="294"/>
        <v>0</v>
      </c>
      <c r="AW495" s="1374">
        <f t="shared" si="295"/>
        <v>0</v>
      </c>
      <c r="AX495" s="1374">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74">
        <f t="shared" si="294"/>
        <v>0</v>
      </c>
      <c r="AW496" s="1374">
        <f t="shared" si="295"/>
        <v>0</v>
      </c>
      <c r="AX496" s="1374">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74">
        <f t="shared" si="294"/>
        <v>0</v>
      </c>
      <c r="AW497" s="1374">
        <f t="shared" si="295"/>
        <v>0</v>
      </c>
      <c r="AX497" s="1374">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74">
        <f t="shared" si="294"/>
        <v>0</v>
      </c>
      <c r="AW498" s="1374">
        <f t="shared" si="295"/>
        <v>0</v>
      </c>
      <c r="AX498" s="1374">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74">
        <f t="shared" si="294"/>
        <v>0</v>
      </c>
      <c r="AW499" s="1374">
        <f t="shared" si="295"/>
        <v>0</v>
      </c>
      <c r="AX499" s="1374">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74">
        <f t="shared" si="294"/>
        <v>0</v>
      </c>
      <c r="AW500" s="1374">
        <f t="shared" si="295"/>
        <v>0</v>
      </c>
      <c r="AX500" s="1374">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74">
        <f t="shared" si="294"/>
        <v>0</v>
      </c>
      <c r="AW501" s="1374">
        <f t="shared" si="295"/>
        <v>0</v>
      </c>
      <c r="AX501" s="1374">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74">
        <f t="shared" si="294"/>
        <v>0</v>
      </c>
      <c r="AW502" s="1374">
        <f t="shared" si="295"/>
        <v>0</v>
      </c>
      <c r="AX502" s="1374">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74">
        <f t="shared" si="294"/>
        <v>0</v>
      </c>
      <c r="AW503" s="1374">
        <f t="shared" si="295"/>
        <v>0</v>
      </c>
      <c r="AX503" s="1374">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74">
        <f t="shared" si="294"/>
        <v>0</v>
      </c>
      <c r="AW504" s="1374">
        <f t="shared" si="295"/>
        <v>0</v>
      </c>
      <c r="AX504" s="1374">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74">
        <f t="shared" si="294"/>
        <v>0</v>
      </c>
      <c r="AW505" s="1374">
        <f t="shared" si="295"/>
        <v>0</v>
      </c>
      <c r="AX505" s="1374">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74">
        <f t="shared" si="294"/>
        <v>0</v>
      </c>
      <c r="AW506" s="1374">
        <f t="shared" si="295"/>
        <v>0</v>
      </c>
      <c r="AX506" s="1374">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74">
        <f t="shared" si="294"/>
        <v>0</v>
      </c>
      <c r="AW507" s="1374">
        <f t="shared" si="295"/>
        <v>0</v>
      </c>
      <c r="AX507" s="1374">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74">
        <f t="shared" si="294"/>
        <v>0</v>
      </c>
      <c r="AW508" s="1374">
        <f t="shared" si="295"/>
        <v>0</v>
      </c>
      <c r="AX508" s="1374">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74">
        <f t="shared" si="294"/>
        <v>0</v>
      </c>
      <c r="AW509" s="1374">
        <f t="shared" si="295"/>
        <v>0</v>
      </c>
      <c r="AX509" s="1374">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74">
        <f t="shared" si="294"/>
        <v>0</v>
      </c>
      <c r="AW510" s="1374">
        <f t="shared" si="295"/>
        <v>0</v>
      </c>
      <c r="AX510" s="1374">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74">
        <f t="shared" si="294"/>
        <v>0</v>
      </c>
      <c r="AW511" s="1374">
        <f t="shared" si="295"/>
        <v>0</v>
      </c>
      <c r="AX511" s="1374">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74">
        <f t="shared" si="294"/>
        <v>0</v>
      </c>
      <c r="AW512" s="1374">
        <f t="shared" si="295"/>
        <v>0</v>
      </c>
      <c r="AX512" s="1374">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74">
        <f t="shared" si="294"/>
        <v>0</v>
      </c>
      <c r="AW513" s="1374">
        <f t="shared" si="295"/>
        <v>0</v>
      </c>
      <c r="AX513" s="1374">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74">
        <f t="shared" si="294"/>
        <v>0</v>
      </c>
      <c r="AW514" s="1374">
        <f t="shared" si="295"/>
        <v>0</v>
      </c>
      <c r="AX514" s="1374">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74">
        <f t="shared" si="294"/>
        <v>0</v>
      </c>
      <c r="AW515" s="1374">
        <f t="shared" si="295"/>
        <v>0</v>
      </c>
      <c r="AX515" s="1374">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74">
        <f t="shared" si="294"/>
        <v>0</v>
      </c>
      <c r="AW516" s="1374">
        <f t="shared" si="295"/>
        <v>0</v>
      </c>
      <c r="AX516" s="1374">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74">
        <f t="shared" si="294"/>
        <v>0</v>
      </c>
      <c r="AW517" s="1374">
        <f t="shared" si="295"/>
        <v>0</v>
      </c>
      <c r="AX517" s="1374">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74">
        <f t="shared" si="294"/>
        <v>0</v>
      </c>
      <c r="AW518" s="1374">
        <f t="shared" si="295"/>
        <v>0</v>
      </c>
      <c r="AX518" s="1374">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74">
        <f t="shared" si="294"/>
        <v>0</v>
      </c>
      <c r="AW519" s="1374">
        <f t="shared" si="295"/>
        <v>0</v>
      </c>
      <c r="AX519" s="1374">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74">
        <f t="shared" si="294"/>
        <v>0</v>
      </c>
      <c r="AW520" s="1374">
        <f t="shared" si="295"/>
        <v>0</v>
      </c>
      <c r="AX520" s="1374">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74">
        <f t="shared" ref="AV521:AV552" si="298">A521</f>
        <v>0</v>
      </c>
      <c r="AW521" s="1374">
        <f t="shared" ref="AW521:AW552" si="299">B521</f>
        <v>0</v>
      </c>
      <c r="AX521" s="1374">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74">
        <f t="shared" si="298"/>
        <v>0</v>
      </c>
      <c r="AW522" s="1374">
        <f t="shared" si="299"/>
        <v>0</v>
      </c>
      <c r="AX522" s="1374">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74">
        <f t="shared" si="298"/>
        <v>0</v>
      </c>
      <c r="AW523" s="1374">
        <f t="shared" si="299"/>
        <v>0</v>
      </c>
      <c r="AX523" s="1374">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74">
        <f t="shared" si="298"/>
        <v>0</v>
      </c>
      <c r="AW524" s="1374">
        <f t="shared" si="299"/>
        <v>0</v>
      </c>
      <c r="AX524" s="1374">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74">
        <f t="shared" si="298"/>
        <v>0</v>
      </c>
      <c r="AW525" s="1374">
        <f t="shared" si="299"/>
        <v>0</v>
      </c>
      <c r="AX525" s="1374">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74">
        <f t="shared" si="298"/>
        <v>0</v>
      </c>
      <c r="AW526" s="1374">
        <f t="shared" si="299"/>
        <v>0</v>
      </c>
      <c r="AX526" s="1374">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74">
        <f t="shared" si="298"/>
        <v>0</v>
      </c>
      <c r="AW527" s="1374">
        <f t="shared" si="299"/>
        <v>0</v>
      </c>
      <c r="AX527" s="1374">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74">
        <f t="shared" si="298"/>
        <v>0</v>
      </c>
      <c r="AW528" s="1374">
        <f t="shared" si="299"/>
        <v>0</v>
      </c>
      <c r="AX528" s="1374">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74">
        <f t="shared" si="298"/>
        <v>0</v>
      </c>
      <c r="AW529" s="1374">
        <f t="shared" si="299"/>
        <v>0</v>
      </c>
      <c r="AX529" s="1374">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74">
        <f t="shared" si="298"/>
        <v>0</v>
      </c>
      <c r="AW530" s="1374">
        <f t="shared" si="299"/>
        <v>0</v>
      </c>
      <c r="AX530" s="1374">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74">
        <f t="shared" si="298"/>
        <v>0</v>
      </c>
      <c r="AW531" s="1374">
        <f t="shared" si="299"/>
        <v>0</v>
      </c>
      <c r="AX531" s="1374">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74">
        <f t="shared" si="298"/>
        <v>0</v>
      </c>
      <c r="AW532" s="1374">
        <f t="shared" si="299"/>
        <v>0</v>
      </c>
      <c r="AX532" s="1374">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74">
        <f t="shared" si="298"/>
        <v>0</v>
      </c>
      <c r="AW533" s="1374">
        <f t="shared" si="299"/>
        <v>0</v>
      </c>
      <c r="AX533" s="1374">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74">
        <f t="shared" si="298"/>
        <v>0</v>
      </c>
      <c r="AW534" s="1374">
        <f t="shared" si="299"/>
        <v>0</v>
      </c>
      <c r="AX534" s="1374">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74">
        <f t="shared" si="298"/>
        <v>0</v>
      </c>
      <c r="AW535" s="1374">
        <f t="shared" si="299"/>
        <v>0</v>
      </c>
      <c r="AX535" s="1374">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74">
        <f t="shared" si="298"/>
        <v>0</v>
      </c>
      <c r="AW536" s="1374">
        <f t="shared" si="299"/>
        <v>0</v>
      </c>
      <c r="AX536" s="1374">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74">
        <f t="shared" si="298"/>
        <v>0</v>
      </c>
      <c r="AW537" s="1374">
        <f t="shared" si="299"/>
        <v>0</v>
      </c>
      <c r="AX537" s="1374">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74">
        <f t="shared" si="298"/>
        <v>0</v>
      </c>
      <c r="AW538" s="1374">
        <f t="shared" si="299"/>
        <v>0</v>
      </c>
      <c r="AX538" s="1374">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74">
        <f t="shared" si="298"/>
        <v>0</v>
      </c>
      <c r="AW539" s="1374">
        <f t="shared" si="299"/>
        <v>0</v>
      </c>
      <c r="AX539" s="1374">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74">
        <f t="shared" si="298"/>
        <v>0</v>
      </c>
      <c r="AW540" s="1374">
        <f t="shared" si="299"/>
        <v>0</v>
      </c>
      <c r="AX540" s="1374">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74">
        <f t="shared" si="298"/>
        <v>0</v>
      </c>
      <c r="AW541" s="1374">
        <f t="shared" si="299"/>
        <v>0</v>
      </c>
      <c r="AX541" s="1374">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74">
        <f t="shared" si="298"/>
        <v>0</v>
      </c>
      <c r="AW542" s="1374">
        <f t="shared" si="299"/>
        <v>0</v>
      </c>
      <c r="AX542" s="1374">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74">
        <f t="shared" si="298"/>
        <v>0</v>
      </c>
      <c r="AW543" s="1374">
        <f t="shared" si="299"/>
        <v>0</v>
      </c>
      <c r="AX543" s="1374">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74">
        <f t="shared" si="298"/>
        <v>0</v>
      </c>
      <c r="AW544" s="1374">
        <f t="shared" si="299"/>
        <v>0</v>
      </c>
      <c r="AX544" s="1374">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74">
        <f t="shared" si="298"/>
        <v>0</v>
      </c>
      <c r="AW545" s="1374">
        <f t="shared" si="299"/>
        <v>0</v>
      </c>
      <c r="AX545" s="1374">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74">
        <f t="shared" si="298"/>
        <v>0</v>
      </c>
      <c r="AW546" s="1374">
        <f t="shared" si="299"/>
        <v>0</v>
      </c>
      <c r="AX546" s="1374">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74">
        <f t="shared" si="298"/>
        <v>0</v>
      </c>
      <c r="AW547" s="1374">
        <f t="shared" si="299"/>
        <v>0</v>
      </c>
      <c r="AX547" s="1374">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74">
        <f t="shared" si="298"/>
        <v>0</v>
      </c>
      <c r="AW548" s="1374">
        <f t="shared" si="299"/>
        <v>0</v>
      </c>
      <c r="AX548" s="1374">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74">
        <f t="shared" si="298"/>
        <v>0</v>
      </c>
      <c r="AW549" s="1374">
        <f t="shared" si="299"/>
        <v>0</v>
      </c>
      <c r="AX549" s="1374">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74">
        <f t="shared" si="298"/>
        <v>0</v>
      </c>
      <c r="AW550" s="1374">
        <f t="shared" si="299"/>
        <v>0</v>
      </c>
      <c r="AX550" s="1374">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74">
        <f t="shared" si="298"/>
        <v>0</v>
      </c>
      <c r="AW551" s="1374">
        <f t="shared" si="299"/>
        <v>0</v>
      </c>
      <c r="AX551" s="1374">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74">
        <f t="shared" si="298"/>
        <v>0</v>
      </c>
      <c r="AW552" s="1374">
        <f t="shared" si="299"/>
        <v>0</v>
      </c>
      <c r="AX552" s="1374">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74">
        <f t="shared" ref="AV553:AV587" si="330">A553</f>
        <v>0</v>
      </c>
      <c r="AW553" s="1374">
        <f t="shared" ref="AW553:AW587" si="331">B553</f>
        <v>0</v>
      </c>
      <c r="AX553" s="1374">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74">
        <f t="shared" si="330"/>
        <v>0</v>
      </c>
      <c r="AW554" s="1374">
        <f t="shared" si="331"/>
        <v>0</v>
      </c>
      <c r="AX554" s="1374">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74">
        <f t="shared" si="330"/>
        <v>0</v>
      </c>
      <c r="AW555" s="1374">
        <f t="shared" si="331"/>
        <v>0</v>
      </c>
      <c r="AX555" s="1374">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74">
        <f t="shared" si="330"/>
        <v>0</v>
      </c>
      <c r="AW556" s="1374">
        <f t="shared" si="331"/>
        <v>0</v>
      </c>
      <c r="AX556" s="1374">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74">
        <f t="shared" si="330"/>
        <v>0</v>
      </c>
      <c r="AW557" s="1374">
        <f t="shared" si="331"/>
        <v>0</v>
      </c>
      <c r="AX557" s="1374">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74">
        <f t="shared" si="330"/>
        <v>0</v>
      </c>
      <c r="AW558" s="1374">
        <f t="shared" si="331"/>
        <v>0</v>
      </c>
      <c r="AX558" s="1374">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74">
        <f t="shared" si="330"/>
        <v>0</v>
      </c>
      <c r="AW559" s="1374">
        <f t="shared" si="331"/>
        <v>0</v>
      </c>
      <c r="AX559" s="1374">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74">
        <f t="shared" si="330"/>
        <v>0</v>
      </c>
      <c r="AW560" s="1374">
        <f t="shared" si="331"/>
        <v>0</v>
      </c>
      <c r="AX560" s="1374">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74">
        <f t="shared" si="330"/>
        <v>0</v>
      </c>
      <c r="AW561" s="1374">
        <f t="shared" si="331"/>
        <v>0</v>
      </c>
      <c r="AX561" s="1374">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74">
        <f t="shared" si="330"/>
        <v>0</v>
      </c>
      <c r="AW562" s="1374">
        <f t="shared" si="331"/>
        <v>0</v>
      </c>
      <c r="AX562" s="1374">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74">
        <f t="shared" si="330"/>
        <v>0</v>
      </c>
      <c r="AW563" s="1374">
        <f t="shared" si="331"/>
        <v>0</v>
      </c>
      <c r="AX563" s="1374">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74">
        <f t="shared" si="330"/>
        <v>0</v>
      </c>
      <c r="AW564" s="1374">
        <f t="shared" si="331"/>
        <v>0</v>
      </c>
      <c r="AX564" s="1374">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74">
        <f t="shared" si="330"/>
        <v>0</v>
      </c>
      <c r="AW565" s="1374">
        <f t="shared" si="331"/>
        <v>0</v>
      </c>
      <c r="AX565" s="1374">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74">
        <f t="shared" si="330"/>
        <v>0</v>
      </c>
      <c r="AW566" s="1374">
        <f t="shared" si="331"/>
        <v>0</v>
      </c>
      <c r="AX566" s="1374">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74">
        <f t="shared" si="330"/>
        <v>0</v>
      </c>
      <c r="AW567" s="1374">
        <f t="shared" si="331"/>
        <v>0</v>
      </c>
      <c r="AX567" s="1374">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74">
        <f t="shared" si="330"/>
        <v>0</v>
      </c>
      <c r="AW568" s="1374">
        <f t="shared" si="331"/>
        <v>0</v>
      </c>
      <c r="AX568" s="1374">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74">
        <f t="shared" si="330"/>
        <v>0</v>
      </c>
      <c r="AW569" s="1374">
        <f t="shared" si="331"/>
        <v>0</v>
      </c>
      <c r="AX569" s="1374">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74">
        <f t="shared" si="330"/>
        <v>0</v>
      </c>
      <c r="AW570" s="1374">
        <f t="shared" si="331"/>
        <v>0</v>
      </c>
      <c r="AX570" s="1374">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74">
        <f t="shared" si="330"/>
        <v>0</v>
      </c>
      <c r="AW571" s="1374">
        <f t="shared" si="331"/>
        <v>0</v>
      </c>
      <c r="AX571" s="1374">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74">
        <f t="shared" si="330"/>
        <v>0</v>
      </c>
      <c r="AW572" s="1374">
        <f t="shared" si="331"/>
        <v>0</v>
      </c>
      <c r="AX572" s="1374">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74">
        <f t="shared" si="330"/>
        <v>0</v>
      </c>
      <c r="AW573" s="1374">
        <f t="shared" si="331"/>
        <v>0</v>
      </c>
      <c r="AX573" s="1374">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74">
        <f t="shared" si="330"/>
        <v>0</v>
      </c>
      <c r="AW574" s="1374">
        <f t="shared" si="331"/>
        <v>0</v>
      </c>
      <c r="AX574" s="1374">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74">
        <f t="shared" si="330"/>
        <v>0</v>
      </c>
      <c r="AW575" s="1374">
        <f t="shared" si="331"/>
        <v>0</v>
      </c>
      <c r="AX575" s="1374">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74">
        <f t="shared" si="330"/>
        <v>0</v>
      </c>
      <c r="AW576" s="1374">
        <f t="shared" si="331"/>
        <v>0</v>
      </c>
      <c r="AX576" s="1374">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74">
        <f t="shared" si="330"/>
        <v>0</v>
      </c>
      <c r="AW577" s="1374">
        <f t="shared" si="331"/>
        <v>0</v>
      </c>
      <c r="AX577" s="1374">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74">
        <f t="shared" si="330"/>
        <v>0</v>
      </c>
      <c r="AW578" s="1374">
        <f t="shared" si="331"/>
        <v>0</v>
      </c>
      <c r="AX578" s="1374">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74">
        <f t="shared" si="330"/>
        <v>0</v>
      </c>
      <c r="AW579" s="1374">
        <f t="shared" si="331"/>
        <v>0</v>
      </c>
      <c r="AX579" s="1374">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74">
        <f t="shared" si="330"/>
        <v>0</v>
      </c>
      <c r="AW580" s="1374">
        <f t="shared" si="331"/>
        <v>0</v>
      </c>
      <c r="AX580" s="1374">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74">
        <f t="shared" si="330"/>
        <v>0</v>
      </c>
      <c r="AW581" s="1374">
        <f t="shared" si="331"/>
        <v>0</v>
      </c>
      <c r="AX581" s="1374">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74">
        <f t="shared" si="330"/>
        <v>0</v>
      </c>
      <c r="AW582" s="1374">
        <f t="shared" si="331"/>
        <v>0</v>
      </c>
      <c r="AX582" s="1374">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74">
        <f t="shared" si="330"/>
        <v>0</v>
      </c>
      <c r="AW583" s="1374">
        <f t="shared" si="331"/>
        <v>0</v>
      </c>
      <c r="AX583" s="1374">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74">
        <f t="shared" si="330"/>
        <v>0</v>
      </c>
      <c r="AW584" s="1374">
        <f t="shared" si="331"/>
        <v>0</v>
      </c>
      <c r="AX584" s="1374">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74">
        <f t="shared" si="330"/>
        <v>0</v>
      </c>
      <c r="AW585" s="1374">
        <f t="shared" si="331"/>
        <v>0</v>
      </c>
      <c r="AX585" s="1374">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74">
        <f t="shared" si="330"/>
        <v>0</v>
      </c>
      <c r="AW586" s="1374">
        <f t="shared" si="331"/>
        <v>0</v>
      </c>
      <c r="AX586" s="1374">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74">
        <f t="shared" si="330"/>
        <v>0</v>
      </c>
      <c r="AW587" s="1374">
        <f t="shared" si="331"/>
        <v>0</v>
      </c>
      <c r="AX587" s="1374">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3" customWidth="1"/>
    <col min="2" max="2" width="10.2222222222222" style="3133" customWidth="1"/>
    <col min="3" max="3" width="18.4444444444444" style="3133" customWidth="1"/>
    <col min="4" max="4" width="11.6666666666667" style="3133" customWidth="1"/>
    <col min="5" max="5" width="13.3333333333333" style="3133" customWidth="1"/>
    <col min="6" max="8" width="11.4444444444444" style="3133" customWidth="1"/>
    <col min="9" max="9" width="11.1111111111111" style="3133" customWidth="1"/>
    <col min="10" max="10" width="3.11111111111111" style="3134" customWidth="1"/>
    <col min="11" max="16" width="10" style="3133" customWidth="1"/>
    <col min="17" max="17" width="2.66666666666667" style="3133" customWidth="1"/>
    <col min="18" max="18" width="9.33333333333333" style="3133" customWidth="1"/>
    <col min="19" max="19" width="10.4444444444444" style="3133" customWidth="1"/>
    <col min="20" max="16384" width="9.22222222222222" style="3133"/>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5" t="s">
        <v>560</v>
      </c>
      <c r="F2" s="3136"/>
      <c r="G2" s="3137"/>
      <c r="H2" s="3138"/>
      <c r="I2" s="2755" t="s">
        <v>561</v>
      </c>
      <c r="J2" s="3136"/>
      <c r="K2" s="3136"/>
      <c r="L2" s="3136"/>
      <c r="M2" s="3136"/>
      <c r="N2" s="1505"/>
      <c r="O2" s="3136"/>
      <c r="P2" s="3136"/>
    </row>
    <row r="3" ht="15.15" spans="1:16">
      <c r="A3" s="3139" t="s">
        <v>562</v>
      </c>
      <c r="B3" s="3139"/>
      <c r="C3" s="3139"/>
      <c r="D3" s="3140">
        <f>'数据-基础表'!AY6</f>
        <v>0</v>
      </c>
      <c r="E3" s="3140">
        <f>'数据-基础表'!AZ5</f>
        <v>249.73</v>
      </c>
      <c r="F3" s="3136"/>
      <c r="G3" s="3141"/>
      <c r="H3" s="2524" t="s">
        <v>563</v>
      </c>
      <c r="I3" s="3204" t="e">
        <f>ROUND('数据-基础表'!B3/'数据-基础表'!A3,2)</f>
        <v>#DIV/0!</v>
      </c>
      <c r="J3" s="3136"/>
      <c r="K3" s="3136"/>
      <c r="L3" s="3136"/>
      <c r="M3" s="3136"/>
      <c r="N3" s="1505"/>
      <c r="O3" s="3136"/>
      <c r="P3" s="3136"/>
    </row>
    <row r="4" ht="14.4" spans="1:16">
      <c r="A4" s="2753"/>
      <c r="B4" s="2754"/>
      <c r="C4" s="3142"/>
      <c r="D4" s="3143" t="s">
        <v>559</v>
      </c>
      <c r="E4" s="3144" t="s">
        <v>560</v>
      </c>
      <c r="F4" s="3136"/>
      <c r="G4" s="3145" t="s">
        <v>564</v>
      </c>
      <c r="H4" s="2524" t="s">
        <v>565</v>
      </c>
      <c r="I4" s="3204" t="e">
        <f>ROUND(SUMIF('数据-基础表'!I9:AS9,"地上",'数据-基础表'!I5:AS5)/'数据-基础表'!A3,2)</f>
        <v>#DIV/0!</v>
      </c>
      <c r="J4" s="3136"/>
      <c r="K4" s="3136"/>
      <c r="L4" s="3136"/>
      <c r="M4" s="3136"/>
      <c r="N4" s="1505"/>
      <c r="O4" s="3136"/>
      <c r="P4" s="3136"/>
    </row>
    <row r="5" ht="14.4" spans="1:16">
      <c r="A5" s="3146" t="s">
        <v>566</v>
      </c>
      <c r="B5" s="1390" t="s">
        <v>567</v>
      </c>
      <c r="C5" s="1390"/>
      <c r="D5" s="3147">
        <f>ROUND($D$3*E5/$E$3,2)</f>
        <v>0</v>
      </c>
      <c r="E5" s="3148">
        <f>SUMIF('数据-基础表'!$11:$11,"住宅",'数据-基础表'!$5:$5)</f>
        <v>0</v>
      </c>
      <c r="F5" s="3136"/>
      <c r="G5" s="3141"/>
      <c r="H5" s="2524" t="s">
        <v>563</v>
      </c>
      <c r="I5" s="3204" t="e">
        <f>ROUND(E31/D31,2)</f>
        <v>#DIV/0!</v>
      </c>
      <c r="J5" s="3136"/>
      <c r="K5" s="3136"/>
      <c r="L5" s="3136"/>
      <c r="M5" s="3136"/>
      <c r="N5" s="3136"/>
      <c r="O5" s="3136"/>
      <c r="P5" s="3136"/>
    </row>
    <row r="6" ht="15.15" spans="1:16">
      <c r="A6" s="3149"/>
      <c r="B6" s="1390" t="s">
        <v>568</v>
      </c>
      <c r="C6" s="1390"/>
      <c r="D6" s="3147">
        <f>ROUND($D$3*E6/$E$3,2)</f>
        <v>0</v>
      </c>
      <c r="E6" s="3148">
        <f>E3-E5</f>
        <v>249.73</v>
      </c>
      <c r="F6" s="3136"/>
      <c r="G6" s="3150" t="s">
        <v>569</v>
      </c>
      <c r="H6" s="3151" t="s">
        <v>565</v>
      </c>
      <c r="I6" s="3205" t="e">
        <f>ROUND(F31/D31,2)</f>
        <v>#DIV/0!</v>
      </c>
      <c r="J6" s="3136"/>
      <c r="K6" s="3136"/>
      <c r="L6" s="3136"/>
      <c r="M6" s="3136"/>
      <c r="N6" s="3136"/>
      <c r="O6" s="3136"/>
      <c r="P6" s="3136"/>
    </row>
    <row r="7" ht="15.15" spans="1:16">
      <c r="A7" s="3152"/>
      <c r="B7" s="3153"/>
      <c r="C7" s="3154"/>
      <c r="D7" s="3143" t="s">
        <v>559</v>
      </c>
      <c r="E7" s="3155" t="s">
        <v>570</v>
      </c>
      <c r="F7" s="3136"/>
      <c r="G7" s="3156" t="s">
        <v>571</v>
      </c>
      <c r="H7" s="3157"/>
      <c r="I7" s="3206">
        <v>2.5</v>
      </c>
      <c r="J7" s="3136"/>
      <c r="K7" s="3136"/>
      <c r="L7" s="3136"/>
      <c r="M7" s="3136"/>
      <c r="N7" s="3136"/>
      <c r="O7" s="3136"/>
      <c r="P7" s="3136"/>
    </row>
    <row r="8" ht="14.4" spans="1:16">
      <c r="A8" s="3146" t="s">
        <v>572</v>
      </c>
      <c r="B8" s="3158" t="s">
        <v>573</v>
      </c>
      <c r="C8" s="3147" t="s">
        <v>574</v>
      </c>
      <c r="D8" s="3147">
        <f t="shared" ref="D8:D15" si="0">ROUND($D$3*E8/$E$3,2)</f>
        <v>0</v>
      </c>
      <c r="E8" s="3159">
        <f>SUMIF('数据-基础表'!BB10:BK10,"地上",'数据-基础表'!BB5:BK5)</f>
        <v>249.73</v>
      </c>
      <c r="F8" s="3136"/>
      <c r="G8" s="3160"/>
      <c r="H8" s="3160"/>
      <c r="I8" s="3136"/>
      <c r="J8" s="3136"/>
      <c r="K8" s="3136"/>
      <c r="L8" s="3136"/>
      <c r="M8" s="3136"/>
      <c r="N8" s="3136"/>
      <c r="O8" s="3136"/>
      <c r="P8" s="3136"/>
    </row>
    <row r="9" ht="14.4" spans="1:16">
      <c r="A9" s="3161"/>
      <c r="B9" s="3162"/>
      <c r="C9" s="3147" t="s">
        <v>575</v>
      </c>
      <c r="D9" s="3147">
        <f t="shared" si="0"/>
        <v>0</v>
      </c>
      <c r="E9" s="3163">
        <v>0</v>
      </c>
      <c r="F9" s="3136"/>
      <c r="G9" s="3160"/>
      <c r="H9" s="3160"/>
      <c r="I9" s="3136"/>
      <c r="J9" s="3136"/>
      <c r="K9" s="3136"/>
      <c r="L9" s="3136"/>
      <c r="M9" s="3136"/>
      <c r="N9" s="3136"/>
      <c r="O9" s="3136"/>
      <c r="P9" s="3136"/>
    </row>
    <row r="10" ht="14.4"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ht="14.4"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ht="14.4"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ht="14.4"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ht="14.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15" spans="1:16">
      <c r="A16" s="3149"/>
      <c r="B16" s="3162"/>
      <c r="C16" s="3158" t="s">
        <v>582</v>
      </c>
      <c r="D16" s="3158">
        <f>SUM(D8:D15)</f>
        <v>0</v>
      </c>
      <c r="E16" s="3164">
        <f>SUM(E8:E15)</f>
        <v>249.73</v>
      </c>
      <c r="F16" s="3136"/>
      <c r="G16" s="3160"/>
      <c r="H16" s="3165" t="s">
        <v>583</v>
      </c>
      <c r="I16" s="3207"/>
      <c r="J16" s="2577"/>
      <c r="K16" s="3208" t="s">
        <v>583</v>
      </c>
      <c r="L16" s="3167"/>
      <c r="M16" s="3167"/>
      <c r="N16" s="3167"/>
      <c r="O16" s="3167"/>
      <c r="P16" s="3209"/>
    </row>
    <row r="17" ht="14.4" spans="1:19">
      <c r="A17" s="3092" t="s">
        <v>584</v>
      </c>
      <c r="B17" s="3166" t="s">
        <v>585</v>
      </c>
      <c r="C17" s="3091" t="s">
        <v>586</v>
      </c>
      <c r="D17" s="3167" t="s">
        <v>559</v>
      </c>
      <c r="E17" s="3168" t="s">
        <v>560</v>
      </c>
      <c r="F17" s="3169"/>
      <c r="G17" s="3170"/>
      <c r="H17" s="3171" t="s">
        <v>587</v>
      </c>
      <c r="I17" s="3210" t="s">
        <v>588</v>
      </c>
      <c r="J17" s="2577"/>
      <c r="K17" s="3211" t="s">
        <v>589</v>
      </c>
      <c r="L17" s="3212"/>
      <c r="M17" s="3213"/>
      <c r="N17" s="3211" t="s">
        <v>590</v>
      </c>
      <c r="O17" s="3212"/>
      <c r="P17" s="3213"/>
      <c r="R17" s="3226" t="s">
        <v>591</v>
      </c>
      <c r="S17" s="2511"/>
    </row>
    <row r="18" ht="14.4" spans="1:19">
      <c r="A18" s="3161"/>
      <c r="B18" s="3172"/>
      <c r="C18" s="3173"/>
      <c r="D18" s="3174"/>
      <c r="E18" s="3175" t="s">
        <v>592</v>
      </c>
      <c r="F18" s="3176" t="s">
        <v>565</v>
      </c>
      <c r="G18" s="3177" t="s">
        <v>593</v>
      </c>
      <c r="H18" s="3097" t="s">
        <v>594</v>
      </c>
      <c r="I18" s="3214" t="s">
        <v>595</v>
      </c>
      <c r="J18" s="2577"/>
      <c r="K18" s="3097" t="s">
        <v>596</v>
      </c>
      <c r="L18" s="2774" t="s">
        <v>597</v>
      </c>
      <c r="M18" s="3204" t="s">
        <v>598</v>
      </c>
      <c r="N18" s="3097" t="s">
        <v>596</v>
      </c>
      <c r="O18" s="2774" t="s">
        <v>597</v>
      </c>
      <c r="P18" s="3204" t="s">
        <v>598</v>
      </c>
      <c r="R18" s="2524" t="s">
        <v>594</v>
      </c>
      <c r="S18" s="2524" t="s">
        <v>595</v>
      </c>
    </row>
    <row r="19" ht="14.4" spans="1:19">
      <c r="A19" s="3178"/>
      <c r="B19" s="3158" t="s">
        <v>599</v>
      </c>
      <c r="C19" s="3179" t="s">
        <v>547</v>
      </c>
      <c r="D19" s="3147">
        <f>ROUND($D$3*E19/$E$3,2)</f>
        <v>0</v>
      </c>
      <c r="E19" s="3180">
        <f t="shared" ref="E19:E26" si="1">SUM(F19:G19)</f>
        <v>249.73</v>
      </c>
      <c r="F19" s="3181">
        <f>'数据-基础表'!I13</f>
        <v>249.73</v>
      </c>
      <c r="G19" s="3182"/>
      <c r="H19" s="3081">
        <f>ROUND($D$3*I19/$E$3,2)</f>
        <v>0</v>
      </c>
      <c r="I19" s="3159">
        <f t="shared" ref="I19:I26" si="2">IF($I$17="自定义",P19,M19)</f>
        <v>0</v>
      </c>
      <c r="J19" s="2577"/>
      <c r="K19" s="3215">
        <f t="shared" ref="K19:K26" si="3">ROUND(E$28*E19/E$27,2)</f>
        <v>0</v>
      </c>
      <c r="L19" s="2524">
        <f t="shared" ref="L19:L26" si="4">ROUND(IF(COUNTIF(C19,"*住宅*")&gt;0,E$29*E19/E$32,0),2)</f>
        <v>0</v>
      </c>
      <c r="M19" s="3216">
        <f>K19+L19</f>
        <v>0</v>
      </c>
      <c r="N19" s="3217"/>
      <c r="O19" s="3218"/>
      <c r="P19" s="3216">
        <f>N19+O19</f>
        <v>0</v>
      </c>
      <c r="R19" s="2524">
        <f t="shared" ref="R19:S26" si="5">D19+H19</f>
        <v>0</v>
      </c>
      <c r="S19" s="3227">
        <f t="shared" si="5"/>
        <v>249.73</v>
      </c>
    </row>
    <row r="20" ht="14.4" spans="1:19">
      <c r="A20" s="3183"/>
      <c r="B20" s="3158" t="s">
        <v>599</v>
      </c>
      <c r="C20" s="3179"/>
      <c r="D20" s="3147">
        <f t="shared" ref="D20:D26" si="6">ROUND($D$3*E20/$E$3,2)</f>
        <v>0</v>
      </c>
      <c r="E20" s="3180">
        <f t="shared" si="1"/>
        <v>0</v>
      </c>
      <c r="F20" s="3181"/>
      <c r="G20" s="3182"/>
      <c r="H20" s="3081">
        <f t="shared" ref="H20:H26" si="7">ROUND($D$3*I20/$E$3,2)</f>
        <v>0</v>
      </c>
      <c r="I20" s="3159">
        <f t="shared" si="2"/>
        <v>0</v>
      </c>
      <c r="J20" s="2577"/>
      <c r="K20" s="3215">
        <f t="shared" si="3"/>
        <v>0</v>
      </c>
      <c r="L20" s="2524">
        <f t="shared" si="4"/>
        <v>0</v>
      </c>
      <c r="M20" s="3216">
        <f t="shared" ref="M20:M26" si="8">K20+L20</f>
        <v>0</v>
      </c>
      <c r="N20" s="3217"/>
      <c r="O20" s="3218"/>
      <c r="P20" s="3216">
        <f t="shared" ref="P20:P26" si="9">N20+O20</f>
        <v>0</v>
      </c>
      <c r="R20" s="2524">
        <f t="shared" si="5"/>
        <v>0</v>
      </c>
      <c r="S20" s="3227">
        <f t="shared" si="5"/>
        <v>0</v>
      </c>
    </row>
    <row r="21" ht="14.4" spans="1:19">
      <c r="A21" s="3183"/>
      <c r="B21" s="3158" t="s">
        <v>599</v>
      </c>
      <c r="C21" s="3179"/>
      <c r="D21" s="3147">
        <f t="shared" si="6"/>
        <v>0</v>
      </c>
      <c r="E21" s="3180">
        <f t="shared" si="1"/>
        <v>0</v>
      </c>
      <c r="F21" s="3181"/>
      <c r="G21" s="3182"/>
      <c r="H21" s="3081">
        <f t="shared" si="7"/>
        <v>0</v>
      </c>
      <c r="I21" s="3159">
        <f t="shared" si="2"/>
        <v>0</v>
      </c>
      <c r="J21" s="2577"/>
      <c r="K21" s="3215">
        <f t="shared" si="3"/>
        <v>0</v>
      </c>
      <c r="L21" s="2524">
        <f t="shared" si="4"/>
        <v>0</v>
      </c>
      <c r="M21" s="3216">
        <f t="shared" si="8"/>
        <v>0</v>
      </c>
      <c r="N21" s="3217"/>
      <c r="O21" s="3218"/>
      <c r="P21" s="3216">
        <f t="shared" si="9"/>
        <v>0</v>
      </c>
      <c r="R21" s="2524">
        <f t="shared" si="5"/>
        <v>0</v>
      </c>
      <c r="S21" s="3227">
        <f t="shared" si="5"/>
        <v>0</v>
      </c>
    </row>
    <row r="22" ht="14.4" spans="1:19">
      <c r="A22" s="3183"/>
      <c r="B22" s="3158" t="s">
        <v>599</v>
      </c>
      <c r="C22" s="3184"/>
      <c r="D22" s="3147">
        <f t="shared" si="6"/>
        <v>0</v>
      </c>
      <c r="E22" s="3180">
        <f t="shared" si="1"/>
        <v>0</v>
      </c>
      <c r="F22" s="3185"/>
      <c r="G22" s="3186"/>
      <c r="H22" s="3081">
        <f t="shared" si="7"/>
        <v>0</v>
      </c>
      <c r="I22" s="3159">
        <f t="shared" si="2"/>
        <v>0</v>
      </c>
      <c r="J22" s="2577"/>
      <c r="K22" s="3215">
        <f t="shared" si="3"/>
        <v>0</v>
      </c>
      <c r="L22" s="2524">
        <f t="shared" si="4"/>
        <v>0</v>
      </c>
      <c r="M22" s="3216">
        <f t="shared" si="8"/>
        <v>0</v>
      </c>
      <c r="N22" s="3217"/>
      <c r="O22" s="3218"/>
      <c r="P22" s="3216">
        <f t="shared" si="9"/>
        <v>0</v>
      </c>
      <c r="R22" s="2524">
        <f t="shared" si="5"/>
        <v>0</v>
      </c>
      <c r="S22" s="3227">
        <f t="shared" si="5"/>
        <v>0</v>
      </c>
    </row>
    <row r="23" ht="14.4" spans="1:19">
      <c r="A23" s="3183"/>
      <c r="B23" s="3158" t="s">
        <v>599</v>
      </c>
      <c r="C23" s="3184"/>
      <c r="D23" s="3147">
        <f t="shared" si="6"/>
        <v>0</v>
      </c>
      <c r="E23" s="3180">
        <f t="shared" si="1"/>
        <v>0</v>
      </c>
      <c r="F23" s="3185"/>
      <c r="G23" s="3186"/>
      <c r="H23" s="3081">
        <f t="shared" si="7"/>
        <v>0</v>
      </c>
      <c r="I23" s="3159">
        <f t="shared" si="2"/>
        <v>0</v>
      </c>
      <c r="J23" s="2577"/>
      <c r="K23" s="3215">
        <f t="shared" si="3"/>
        <v>0</v>
      </c>
      <c r="L23" s="2524">
        <f t="shared" si="4"/>
        <v>0</v>
      </c>
      <c r="M23" s="3216">
        <f t="shared" si="8"/>
        <v>0</v>
      </c>
      <c r="N23" s="3217"/>
      <c r="O23" s="3218"/>
      <c r="P23" s="3216">
        <f t="shared" si="9"/>
        <v>0</v>
      </c>
      <c r="R23" s="2524">
        <f t="shared" si="5"/>
        <v>0</v>
      </c>
      <c r="S23" s="3227">
        <f t="shared" si="5"/>
        <v>0</v>
      </c>
    </row>
    <row r="24" ht="14.4" spans="1:19">
      <c r="A24" s="3183"/>
      <c r="B24" s="3158" t="s">
        <v>599</v>
      </c>
      <c r="C24" s="3184"/>
      <c r="D24" s="3147">
        <f t="shared" si="6"/>
        <v>0</v>
      </c>
      <c r="E24" s="3180">
        <f t="shared" si="1"/>
        <v>0</v>
      </c>
      <c r="F24" s="3185"/>
      <c r="G24" s="3186"/>
      <c r="H24" s="3081">
        <f t="shared" si="7"/>
        <v>0</v>
      </c>
      <c r="I24" s="3159">
        <f t="shared" si="2"/>
        <v>0</v>
      </c>
      <c r="J24" s="2577"/>
      <c r="K24" s="3215">
        <f t="shared" si="3"/>
        <v>0</v>
      </c>
      <c r="L24" s="2524">
        <f t="shared" si="4"/>
        <v>0</v>
      </c>
      <c r="M24" s="3216">
        <f t="shared" si="8"/>
        <v>0</v>
      </c>
      <c r="N24" s="3217"/>
      <c r="O24" s="3218"/>
      <c r="P24" s="3216">
        <f t="shared" si="9"/>
        <v>0</v>
      </c>
      <c r="R24" s="2524">
        <f t="shared" si="5"/>
        <v>0</v>
      </c>
      <c r="S24" s="3227">
        <f t="shared" si="5"/>
        <v>0</v>
      </c>
    </row>
    <row r="25" ht="14.4" spans="1:19">
      <c r="A25" s="3183"/>
      <c r="B25" s="3158" t="s">
        <v>599</v>
      </c>
      <c r="C25" s="3184"/>
      <c r="D25" s="3147">
        <f t="shared" si="6"/>
        <v>0</v>
      </c>
      <c r="E25" s="3180">
        <f t="shared" si="1"/>
        <v>0</v>
      </c>
      <c r="F25" s="3185"/>
      <c r="G25" s="3186"/>
      <c r="H25" s="3146">
        <f t="shared" si="7"/>
        <v>0</v>
      </c>
      <c r="I25" s="3159">
        <f t="shared" si="2"/>
        <v>0</v>
      </c>
      <c r="J25" s="2577"/>
      <c r="K25" s="3215">
        <f t="shared" si="3"/>
        <v>0</v>
      </c>
      <c r="L25" s="2524">
        <f t="shared" si="4"/>
        <v>0</v>
      </c>
      <c r="M25" s="3216">
        <f t="shared" si="8"/>
        <v>0</v>
      </c>
      <c r="N25" s="3217"/>
      <c r="O25" s="3218"/>
      <c r="P25" s="3216">
        <f t="shared" si="9"/>
        <v>0</v>
      </c>
      <c r="R25" s="2524">
        <f t="shared" si="5"/>
        <v>0</v>
      </c>
      <c r="S25" s="3227">
        <f t="shared" si="5"/>
        <v>0</v>
      </c>
    </row>
    <row r="26" ht="14.4" spans="1:19">
      <c r="A26" s="3183"/>
      <c r="B26" s="3158" t="s">
        <v>599</v>
      </c>
      <c r="C26" s="3187"/>
      <c r="D26" s="3147">
        <f t="shared" si="6"/>
        <v>0</v>
      </c>
      <c r="E26" s="3180">
        <f t="shared" si="1"/>
        <v>0</v>
      </c>
      <c r="F26" s="3185"/>
      <c r="G26" s="3186"/>
      <c r="H26" s="3146">
        <f t="shared" si="7"/>
        <v>0</v>
      </c>
      <c r="I26" s="3159">
        <f t="shared" si="2"/>
        <v>0</v>
      </c>
      <c r="J26" s="2577"/>
      <c r="K26" s="3141">
        <f t="shared" si="3"/>
        <v>0</v>
      </c>
      <c r="L26" s="3151">
        <f t="shared" si="4"/>
        <v>0</v>
      </c>
      <c r="M26" s="3194">
        <f t="shared" si="8"/>
        <v>0</v>
      </c>
      <c r="N26" s="3219"/>
      <c r="O26" s="3220"/>
      <c r="P26" s="3194">
        <f t="shared" si="9"/>
        <v>0</v>
      </c>
      <c r="R26" s="2524">
        <f t="shared" si="5"/>
        <v>0</v>
      </c>
      <c r="S26" s="3227">
        <f t="shared" si="5"/>
        <v>0</v>
      </c>
    </row>
    <row r="27" ht="15.15" spans="1:19">
      <c r="A27" s="3183"/>
      <c r="B27" s="3147"/>
      <c r="C27" s="2760" t="s">
        <v>600</v>
      </c>
      <c r="D27" s="3188">
        <f>SUM(D19:D26)</f>
        <v>0</v>
      </c>
      <c r="E27" s="3189">
        <f>IF(SUM(E19:E26)='数据-基础表'!BA5,SUM(E19:E26),IF(F27="地上面积有误","面积有误","地下面积有误"))</f>
        <v>249.73</v>
      </c>
      <c r="F27" s="3188">
        <f>IF(SUM(F19:F26)=E8,SUM(F19:F26),"地上面积有误")</f>
        <v>249.73</v>
      </c>
      <c r="G27" s="3190">
        <f>SUM(G19:G26)</f>
        <v>0</v>
      </c>
      <c r="H27" s="3191">
        <f>SUM(H19:H26)</f>
        <v>0</v>
      </c>
      <c r="I27" s="3221">
        <f>SUM(I19:I26)</f>
        <v>0</v>
      </c>
      <c r="J27" s="2577"/>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4">
        <f>IF(SUM(S19:S26)=$E$3,SUM(S19:S26),SUM(S19:S26)&amp;"误差"&amp;ROUND(SUM(S19:S26)-E3,2))</f>
        <v>249.73</v>
      </c>
    </row>
    <row r="28" ht="14.4" spans="1:16">
      <c r="A28" s="3183"/>
      <c r="B28" s="3158" t="s">
        <v>601</v>
      </c>
      <c r="C28" s="3100" t="s">
        <v>602</v>
      </c>
      <c r="D28" s="3147">
        <f>ROUND($D$3*E28/$E$3,2)</f>
        <v>0</v>
      </c>
      <c r="E28" s="3180">
        <f>SUM(F28:G28)</f>
        <v>0</v>
      </c>
      <c r="F28" s="2511">
        <f>'数据-基础表'!BQ5+'数据-基础表'!BS5</f>
        <v>0</v>
      </c>
      <c r="G28" s="3192">
        <f>'数据-基础表'!BR5+'数据-基础表'!BT5</f>
        <v>0</v>
      </c>
      <c r="H28" s="3136"/>
      <c r="I28" s="3136"/>
      <c r="J28" s="3136"/>
      <c r="K28" s="3136"/>
      <c r="L28" s="3136"/>
      <c r="M28" s="3136"/>
      <c r="N28" s="3136"/>
      <c r="O28" s="3136"/>
      <c r="P28" s="3136"/>
    </row>
    <row r="29" ht="14.4" spans="1:16">
      <c r="A29" s="3183"/>
      <c r="B29" s="3158" t="s">
        <v>601</v>
      </c>
      <c r="C29" s="2575"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4.4"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15" spans="1:16">
      <c r="A31" s="3196"/>
      <c r="B31" s="3197"/>
      <c r="C31" s="2460" t="s">
        <v>604</v>
      </c>
      <c r="D31" s="3198">
        <f>D27+D30</f>
        <v>0</v>
      </c>
      <c r="E31" s="3198">
        <f>E27+E30</f>
        <v>249.73</v>
      </c>
      <c r="F31" s="3199">
        <f>F27+F30</f>
        <v>249.73</v>
      </c>
      <c r="G31" s="3200">
        <f>G27+G30</f>
        <v>0</v>
      </c>
      <c r="H31" s="3136"/>
      <c r="I31" s="3136"/>
      <c r="J31" s="3136"/>
      <c r="K31" s="3136"/>
      <c r="L31" s="3136"/>
      <c r="M31" s="3136"/>
      <c r="N31" s="3136"/>
      <c r="O31" s="3136"/>
      <c r="P31" s="3136"/>
    </row>
    <row r="32" ht="14.4"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N24" sqref="N24"/>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6" t="s">
        <v>645</v>
      </c>
      <c r="AP5" s="3127" t="s">
        <v>646</v>
      </c>
      <c r="AQ5" s="3128" t="s">
        <v>647</v>
      </c>
      <c r="AR5" s="3128"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249.73</v>
      </c>
      <c r="L6" s="3049">
        <v>4000</v>
      </c>
      <c r="M6" s="3050">
        <f t="shared" ref="M6:M14" si="0">ROUND(K6*L6/10000,0)</f>
        <v>100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417.8885</v>
      </c>
      <c r="AP6" s="3129">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9">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9">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9">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9">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20"/>
      <c r="AL11" s="3121"/>
      <c r="AM11" s="3122"/>
      <c r="AN11" s="3112"/>
      <c r="AO11" s="1390" t="e">
        <f ca="1" t="shared" si="8"/>
        <v>#REF!</v>
      </c>
      <c r="AP11" s="3129">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20"/>
      <c r="AL12" s="3121"/>
      <c r="AM12" s="3122"/>
      <c r="AN12" s="3112"/>
      <c r="AO12" s="1390" t="e">
        <f ca="1" t="shared" si="8"/>
        <v>#REF!</v>
      </c>
      <c r="AP12" s="3129">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9">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3"/>
      <c r="AL14" s="3124"/>
      <c r="AM14" s="3125"/>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3"/>
      <c r="AL15" s="3124"/>
      <c r="AM15" s="3125"/>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249.73</v>
      </c>
      <c r="L16" s="3059">
        <f>ROUND(M16*10000/SUM(K6:K14),0)</f>
        <v>4004</v>
      </c>
      <c r="M16" s="3059">
        <f>SUM(M6:M14)</f>
        <v>100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49946</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0.055</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0.005</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0.05</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30"/>
      <c r="K69" s="1103"/>
      <c r="L69" s="1103"/>
    </row>
    <row r="70" s="2473" customFormat="1" spans="1:12">
      <c r="A70" s="2834"/>
      <c r="D70" s="3130"/>
      <c r="K70" s="1103"/>
      <c r="L70" s="1103"/>
    </row>
    <row r="71" s="2473" customFormat="1" spans="1:12">
      <c r="A71" s="2834"/>
      <c r="D71" s="3130"/>
      <c r="K71" s="1103"/>
      <c r="L71" s="1103"/>
    </row>
    <row r="72" s="2473" customFormat="1" spans="1:12">
      <c r="A72" s="2834"/>
      <c r="D72" s="3130"/>
      <c r="K72" s="1103"/>
      <c r="L72" s="1103"/>
    </row>
    <row r="73" s="2473" customFormat="1" spans="1:12">
      <c r="A73" s="2834"/>
      <c r="D73" s="3130"/>
      <c r="K73" s="1103"/>
      <c r="L73" s="1103"/>
    </row>
    <row r="74" s="2473" customFormat="1" spans="1:12">
      <c r="A74" s="2834"/>
      <c r="D74" s="3130"/>
      <c r="K74" s="1103"/>
      <c r="L74" s="1103"/>
    </row>
    <row r="75" s="2473" customFormat="1" spans="1:12">
      <c r="A75" s="2834"/>
      <c r="D75" s="3130"/>
      <c r="K75" s="1103"/>
      <c r="L75" s="1103"/>
    </row>
    <row r="76" s="2473" customFormat="1" spans="1:12">
      <c r="A76" s="2834"/>
      <c r="D76" s="3130"/>
      <c r="K76" s="1103"/>
      <c r="L76" s="1103"/>
    </row>
    <row r="77" s="2473" customFormat="1" spans="1:12">
      <c r="A77" s="2834"/>
      <c r="D77" s="3130"/>
      <c r="K77" s="1103"/>
      <c r="L77" s="1103"/>
    </row>
    <row r="78" s="2473" customFormat="1" spans="1:12">
      <c r="A78" s="2834"/>
      <c r="D78" s="3130"/>
      <c r="K78" s="1103"/>
      <c r="L78" s="1103"/>
    </row>
    <row r="79" s="2473" customFormat="1" spans="1:12">
      <c r="A79" s="2834"/>
      <c r="D79" s="3130"/>
      <c r="K79" s="1103"/>
      <c r="L79" s="1103"/>
    </row>
    <row r="80" s="2473" customFormat="1" spans="1:12">
      <c r="A80" s="2834"/>
      <c r="D80" s="3130"/>
      <c r="K80" s="1103"/>
      <c r="L80" s="1103"/>
    </row>
    <row r="81" s="2473" customFormat="1" spans="1:12">
      <c r="A81" s="2834"/>
      <c r="D81" s="3130"/>
      <c r="K81" s="1103"/>
      <c r="L81" s="1103"/>
    </row>
    <row r="82" s="2473" customFormat="1" spans="1:12">
      <c r="A82" s="2834"/>
      <c r="D82" s="3130"/>
      <c r="K82" s="1103"/>
      <c r="L82" s="1103"/>
    </row>
    <row r="83" s="2473" customFormat="1" spans="1:12">
      <c r="A83" s="2834"/>
      <c r="D83" s="3130"/>
      <c r="K83" s="1103"/>
      <c r="L83" s="1103"/>
    </row>
    <row r="84" s="2473" customFormat="1" spans="1:12">
      <c r="A84" s="2834"/>
      <c r="D84" s="3130"/>
      <c r="K84" s="1103"/>
      <c r="L84" s="1103"/>
    </row>
    <row r="85" s="2473" customFormat="1" spans="1:12">
      <c r="A85" s="2834"/>
      <c r="D85" s="3130"/>
      <c r="K85" s="1103"/>
      <c r="L85" s="1103"/>
    </row>
    <row r="86" s="2473" customFormat="1" spans="1:12">
      <c r="A86" s="2834"/>
      <c r="D86" s="3130"/>
      <c r="K86" s="1103"/>
      <c r="L86" s="1103"/>
    </row>
    <row r="87" s="2473" customFormat="1" spans="1:12">
      <c r="A87" s="2834"/>
      <c r="D87" s="3130"/>
      <c r="K87" s="1103"/>
      <c r="L87" s="1103"/>
    </row>
    <row r="88" s="2473" customFormat="1" spans="1:12">
      <c r="A88" s="2834"/>
      <c r="D88" s="3130"/>
      <c r="K88" s="1103"/>
      <c r="L88" s="1103"/>
    </row>
    <row r="89" s="2473" customFormat="1" spans="1:12">
      <c r="A89" s="2834"/>
      <c r="D89" s="3130"/>
      <c r="K89" s="1103"/>
      <c r="L89" s="1103"/>
    </row>
    <row r="90" s="2473" customFormat="1" spans="1:12">
      <c r="A90" s="2834"/>
      <c r="D90" s="3130"/>
      <c r="K90" s="1103"/>
      <c r="L90" s="1103"/>
    </row>
    <row r="91" s="2473" customFormat="1" spans="1:12">
      <c r="A91" s="2834"/>
      <c r="D91" s="3130"/>
      <c r="K91" s="1103"/>
      <c r="L91" s="1103"/>
    </row>
    <row r="92" s="2473" customFormat="1" spans="1:12">
      <c r="A92" s="2834"/>
      <c r="D92" s="3130"/>
      <c r="K92" s="1103"/>
      <c r="L92" s="1103"/>
    </row>
    <row r="93" s="2473" customFormat="1" spans="1:12">
      <c r="A93" s="2834"/>
      <c r="D93" s="3130"/>
      <c r="K93" s="1103"/>
      <c r="L93" s="1103"/>
    </row>
    <row r="94" s="2473" customFormat="1" spans="1:12">
      <c r="A94" s="2834"/>
      <c r="D94" s="3130"/>
      <c r="K94" s="1103"/>
      <c r="L94" s="1103"/>
    </row>
    <row r="95" s="2473" customFormat="1" spans="1:12">
      <c r="A95" s="2834"/>
      <c r="D95" s="3130"/>
      <c r="K95" s="1103"/>
      <c r="L95" s="1103"/>
    </row>
    <row r="96" s="2473" customFormat="1" spans="1:12">
      <c r="A96" s="2834"/>
      <c r="D96" s="3130"/>
      <c r="K96" s="1103"/>
      <c r="L96" s="1103"/>
    </row>
    <row r="97" s="2473" customFormat="1" spans="1:12">
      <c r="A97" s="2834"/>
      <c r="D97" s="3130"/>
      <c r="K97" s="1103"/>
      <c r="L97" s="1103"/>
    </row>
    <row r="98" s="2473" customFormat="1" spans="1:12">
      <c r="A98" s="2834"/>
      <c r="D98" s="3130"/>
      <c r="K98" s="1103"/>
      <c r="L98" s="1103"/>
    </row>
    <row r="99" s="2473" customFormat="1" spans="1:12">
      <c r="A99" s="2834"/>
      <c r="D99" s="3130"/>
      <c r="K99" s="1103"/>
      <c r="L99" s="1103"/>
    </row>
    <row r="100" s="2473" customFormat="1" spans="1:12">
      <c r="A100" s="2834"/>
      <c r="D100" s="3130"/>
      <c r="K100" s="1103"/>
      <c r="L100" s="1103"/>
    </row>
    <row r="101" s="2473" customFormat="1" spans="1:12">
      <c r="A101" s="2834"/>
      <c r="D101" s="3130"/>
      <c r="K101" s="1103"/>
      <c r="L101" s="1103"/>
    </row>
    <row r="102" s="2473" customFormat="1" spans="1:12">
      <c r="A102" s="2834"/>
      <c r="D102" s="3130"/>
      <c r="K102" s="1103"/>
      <c r="L102" s="1103"/>
    </row>
    <row r="103" s="2473" customFormat="1" spans="1:12">
      <c r="A103" s="2834"/>
      <c r="D103" s="3130"/>
      <c r="K103" s="1103"/>
      <c r="L103" s="1103"/>
    </row>
    <row r="104" s="2473" customFormat="1" spans="1:12">
      <c r="A104" s="2834"/>
      <c r="D104" s="3130"/>
      <c r="K104" s="1103"/>
      <c r="L104" s="1103"/>
    </row>
    <row r="105" s="2473" customFormat="1" spans="1:12">
      <c r="A105" s="2834"/>
      <c r="D105" s="3130"/>
      <c r="K105" s="1103"/>
      <c r="L105" s="1103"/>
    </row>
    <row r="106" s="2473" customFormat="1" spans="1:12">
      <c r="A106" s="2834"/>
      <c r="D106" s="3130"/>
      <c r="K106" s="1103"/>
      <c r="L106" s="1103"/>
    </row>
    <row r="107" s="2473" customFormat="1" spans="1:12">
      <c r="A107" s="2834"/>
      <c r="D107" s="3130"/>
      <c r="K107" s="1103"/>
      <c r="L107" s="1103"/>
    </row>
    <row r="108" s="2473" customFormat="1" spans="1:12">
      <c r="A108" s="2834"/>
      <c r="D108" s="3130"/>
      <c r="K108" s="1103"/>
      <c r="L108" s="1103"/>
    </row>
    <row r="109" s="2473" customFormat="1" spans="1:12">
      <c r="A109" s="2834"/>
      <c r="D109" s="3130"/>
      <c r="K109" s="1103"/>
      <c r="L109" s="1103"/>
    </row>
    <row r="110" s="2473" customFormat="1" spans="1:12">
      <c r="A110" s="2834"/>
      <c r="D110" s="3130"/>
      <c r="K110" s="1103"/>
      <c r="L110" s="1103"/>
    </row>
    <row r="111" s="2473" customFormat="1" spans="1:12">
      <c r="A111" s="2834"/>
      <c r="D111" s="3130"/>
      <c r="K111" s="1103"/>
      <c r="L111" s="1103"/>
    </row>
    <row r="112" s="2473" customFormat="1" spans="1:12">
      <c r="A112" s="2834"/>
      <c r="D112" s="3130"/>
      <c r="K112" s="1103"/>
      <c r="L112" s="1103"/>
    </row>
    <row r="113" s="2473" customFormat="1" spans="1:12">
      <c r="A113" s="2834"/>
      <c r="D113" s="3130"/>
      <c r="K113" s="1103"/>
      <c r="L113" s="1103"/>
    </row>
    <row r="114" s="2473" customFormat="1" spans="1:12">
      <c r="A114" s="2834"/>
      <c r="D114" s="3130"/>
      <c r="K114" s="1103"/>
      <c r="L114" s="1103"/>
    </row>
    <row r="115" s="2473" customFormat="1" spans="1:12">
      <c r="A115" s="2834"/>
      <c r="D115" s="3130"/>
      <c r="K115" s="1103"/>
      <c r="L115" s="1103"/>
    </row>
    <row r="116" s="2473" customFormat="1" spans="1:12">
      <c r="A116" s="2834"/>
      <c r="D116" s="3130"/>
      <c r="K116" s="1103"/>
      <c r="L116" s="1103"/>
    </row>
    <row r="117" s="2473" customFormat="1" spans="1:12">
      <c r="A117" s="2834"/>
      <c r="D117" s="3130"/>
      <c r="K117" s="1103"/>
      <c r="L117" s="1103"/>
    </row>
    <row r="118" s="2473" customFormat="1" spans="1:12">
      <c r="A118" s="2834"/>
      <c r="D118" s="3130"/>
      <c r="K118" s="1103"/>
      <c r="L118" s="1103"/>
    </row>
    <row r="119" s="2473" customFormat="1" spans="1:12">
      <c r="A119" s="2834"/>
      <c r="D119" s="3130"/>
      <c r="K119" s="1103"/>
      <c r="L119" s="1103"/>
    </row>
    <row r="120" s="2473" customFormat="1" spans="1:12">
      <c r="A120" s="2834"/>
      <c r="D120" s="3130"/>
      <c r="K120" s="1103"/>
      <c r="L120" s="1103"/>
    </row>
    <row r="121" s="2473" customFormat="1" spans="1:12">
      <c r="A121" s="2834"/>
      <c r="D121" s="3130"/>
      <c r="K121" s="1103"/>
      <c r="L121" s="1103"/>
    </row>
    <row r="122" s="2473" customFormat="1" spans="1:12">
      <c r="A122" s="2834"/>
      <c r="D122" s="3130"/>
      <c r="K122" s="1103"/>
      <c r="L122" s="1103"/>
    </row>
    <row r="123" s="2473" customFormat="1" spans="1:12">
      <c r="A123" s="2834"/>
      <c r="D123" s="3130"/>
      <c r="K123" s="1103"/>
      <c r="L123" s="1103"/>
    </row>
    <row r="124" s="2473" customFormat="1" spans="1:12">
      <c r="A124" s="2834"/>
      <c r="D124" s="3130"/>
      <c r="K124" s="1103"/>
      <c r="L124" s="1103"/>
    </row>
    <row r="125" s="2473" customFormat="1" spans="1:12">
      <c r="A125" s="2834"/>
      <c r="D125" s="3130"/>
      <c r="K125" s="1103"/>
      <c r="L125" s="1103"/>
    </row>
    <row r="126" s="2473" customFormat="1" spans="1:12">
      <c r="A126" s="2834"/>
      <c r="D126" s="3130"/>
      <c r="K126" s="1103"/>
      <c r="L126" s="1103"/>
    </row>
    <row r="127" s="2473" customFormat="1" spans="1:12">
      <c r="A127" s="2834"/>
      <c r="D127" s="3130"/>
      <c r="K127" s="1103"/>
      <c r="L127" s="1103"/>
    </row>
    <row r="128" s="2473" customFormat="1" spans="1:12">
      <c r="A128" s="2834"/>
      <c r="D128" s="3130"/>
      <c r="K128" s="1103"/>
      <c r="L128" s="1103"/>
    </row>
    <row r="129" s="2473" customFormat="1" spans="1:12">
      <c r="A129" s="2834"/>
      <c r="D129" s="3130"/>
      <c r="K129" s="1103"/>
      <c r="L129" s="1103"/>
    </row>
    <row r="130" s="2473" customFormat="1" spans="1:12">
      <c r="A130" s="2834"/>
      <c r="D130" s="3130"/>
      <c r="K130" s="1103"/>
      <c r="L130" s="1103"/>
    </row>
    <row r="131" s="2473" customFormat="1" spans="1:12">
      <c r="A131" s="2834"/>
      <c r="D131" s="3130"/>
      <c r="K131" s="1103"/>
      <c r="L131" s="1103"/>
    </row>
    <row r="132" s="2473" customFormat="1" spans="1:12">
      <c r="A132" s="2834"/>
      <c r="D132" s="3130"/>
      <c r="K132" s="1103"/>
      <c r="L132" s="1103"/>
    </row>
    <row r="133" s="2473" customFormat="1" spans="1:12">
      <c r="A133" s="2834"/>
      <c r="D133" s="3130"/>
      <c r="K133" s="1103"/>
      <c r="L133" s="1103"/>
    </row>
    <row r="134" s="2931" customFormat="1" spans="1:12">
      <c r="A134" s="3131"/>
      <c r="D134" s="3132"/>
      <c r="K134" s="1004"/>
      <c r="L134" s="1004"/>
    </row>
    <row r="135" s="2931" customFormat="1" spans="1:12">
      <c r="A135" s="3131"/>
      <c r="D135" s="3132"/>
      <c r="K135" s="1004"/>
      <c r="L135" s="1004"/>
    </row>
    <row r="136" s="2931" customFormat="1" spans="1:12">
      <c r="A136" s="3131"/>
      <c r="D136" s="3132"/>
      <c r="K136" s="1004"/>
      <c r="L136" s="1004"/>
    </row>
    <row r="137" s="2931" customFormat="1" spans="1:12">
      <c r="A137" s="3131"/>
      <c r="D137" s="3132"/>
      <c r="K137" s="1004"/>
      <c r="L137" s="1004"/>
    </row>
    <row r="138" s="2931" customFormat="1" spans="1:12">
      <c r="A138" s="3131"/>
      <c r="D138" s="3132"/>
      <c r="K138" s="1004"/>
      <c r="L138" s="1004"/>
    </row>
    <row r="139" s="2931" customFormat="1" spans="1:12">
      <c r="A139" s="3131"/>
      <c r="D139" s="3132"/>
      <c r="K139" s="1004"/>
      <c r="L139" s="1004"/>
    </row>
    <row r="140" s="2931" customFormat="1" spans="1:12">
      <c r="A140" s="3131"/>
      <c r="D140" s="3132"/>
      <c r="K140" s="1004"/>
      <c r="L140" s="1004"/>
    </row>
    <row r="141" s="2931" customFormat="1" spans="1:12">
      <c r="A141" s="3131"/>
      <c r="D141" s="3132"/>
      <c r="K141" s="1004"/>
      <c r="L141" s="1004"/>
    </row>
    <row r="142" s="2931" customFormat="1" spans="1:12">
      <c r="A142" s="3131"/>
      <c r="D142" s="3132"/>
      <c r="K142" s="1004"/>
      <c r="L142" s="1004"/>
    </row>
    <row r="143" s="2931" customFormat="1" spans="1:12">
      <c r="A143" s="3131"/>
      <c r="D143" s="3132"/>
      <c r="K143" s="1004"/>
      <c r="L143" s="1004"/>
    </row>
    <row r="144" s="2931" customFormat="1" spans="1:12">
      <c r="A144" s="3131"/>
      <c r="D144" s="3132"/>
      <c r="K144" s="1004"/>
      <c r="L144" s="1004"/>
    </row>
    <row r="145" s="2931" customFormat="1" spans="1:12">
      <c r="A145" s="3131"/>
      <c r="D145" s="3132"/>
      <c r="K145" s="1004"/>
      <c r="L145" s="1004"/>
    </row>
    <row r="146" s="2931" customFormat="1" spans="1:12">
      <c r="A146" s="3131"/>
      <c r="D146" s="3132"/>
      <c r="K146" s="1004"/>
      <c r="L146" s="1004"/>
    </row>
    <row r="147" s="2931" customFormat="1" spans="1:12">
      <c r="A147" s="3131"/>
      <c r="D147" s="3132"/>
      <c r="K147" s="1004"/>
      <c r="L147" s="1004"/>
    </row>
    <row r="148" s="2931" customFormat="1" spans="1:12">
      <c r="A148" s="3131"/>
      <c r="D148" s="3132"/>
      <c r="K148" s="1004"/>
      <c r="L148" s="1004"/>
    </row>
    <row r="149" s="2931" customFormat="1" spans="1:12">
      <c r="A149" s="3131"/>
      <c r="D149" s="3132"/>
      <c r="K149" s="1004"/>
      <c r="L149" s="1004"/>
    </row>
    <row r="150" s="2931" customFormat="1" spans="1:12">
      <c r="A150" s="3131"/>
      <c r="D150" s="3132"/>
      <c r="K150" s="1004"/>
      <c r="L150" s="1004"/>
    </row>
    <row r="151" s="2931" customFormat="1" spans="1:12">
      <c r="A151" s="3131"/>
      <c r="D151" s="3132"/>
      <c r="K151" s="1004"/>
      <c r="L151" s="1004"/>
    </row>
    <row r="152" s="2931" customFormat="1" spans="1:12">
      <c r="A152" s="3131"/>
      <c r="D152" s="3132"/>
      <c r="K152" s="1004"/>
      <c r="L152" s="1004"/>
    </row>
    <row r="153" s="2931" customFormat="1" spans="1:12">
      <c r="A153" s="3131"/>
      <c r="D153" s="3132"/>
      <c r="K153" s="1004"/>
      <c r="L153" s="1004"/>
    </row>
    <row r="154" s="2931" customFormat="1" spans="1:12">
      <c r="A154" s="3131"/>
      <c r="D154" s="3132"/>
      <c r="K154" s="1004"/>
      <c r="L154" s="1004"/>
    </row>
    <row r="155" s="2931" customFormat="1" spans="1:12">
      <c r="A155" s="3131"/>
      <c r="D155" s="3132"/>
      <c r="K155" s="1004"/>
      <c r="L155" s="1004"/>
    </row>
    <row r="156" s="2931" customFormat="1" spans="1:12">
      <c r="A156" s="3131"/>
      <c r="D156" s="3132"/>
      <c r="K156" s="1004"/>
      <c r="L156" s="1004"/>
    </row>
    <row r="157" s="2931" customFormat="1" spans="1:12">
      <c r="A157" s="3131"/>
      <c r="D157" s="3132"/>
      <c r="K157" s="1004"/>
      <c r="L157" s="1004"/>
    </row>
    <row r="158" s="2931" customFormat="1" spans="1:12">
      <c r="A158" s="3131"/>
      <c r="D158" s="3132"/>
      <c r="K158" s="1004"/>
      <c r="L158" s="1004"/>
    </row>
    <row r="159" s="2931" customFormat="1" spans="1:12">
      <c r="A159" s="3131"/>
      <c r="D159" s="3132"/>
      <c r="K159" s="1004"/>
      <c r="L159" s="1004"/>
    </row>
    <row r="160" s="2931" customFormat="1" spans="1:12">
      <c r="A160" s="3131"/>
      <c r="D160" s="3132"/>
      <c r="K160" s="1004"/>
      <c r="L160" s="1004"/>
    </row>
    <row r="161" s="2931" customFormat="1" spans="1:12">
      <c r="A161" s="3131"/>
      <c r="D161" s="3132"/>
      <c r="K161" s="1004"/>
      <c r="L161" s="1004"/>
    </row>
    <row r="162" s="2931" customFormat="1" spans="1:12">
      <c r="A162" s="3131"/>
      <c r="D162" s="3132"/>
      <c r="K162" s="1004"/>
      <c r="L162" s="1004"/>
    </row>
    <row r="163" s="2931" customFormat="1" spans="1:12">
      <c r="A163" s="3131"/>
      <c r="D163" s="3132"/>
      <c r="K163" s="1004"/>
      <c r="L163" s="1004"/>
    </row>
    <row r="164" s="2931" customFormat="1" spans="1:12">
      <c r="A164" s="3131"/>
      <c r="D164" s="3132"/>
      <c r="K164" s="1004"/>
      <c r="L164" s="1004"/>
    </row>
    <row r="165" s="2931" customFormat="1" spans="1:12">
      <c r="A165" s="3131"/>
      <c r="D165" s="3132"/>
      <c r="K165" s="1004"/>
      <c r="L165" s="1004"/>
    </row>
    <row r="166" s="2931" customFormat="1" spans="1:12">
      <c r="A166" s="3131"/>
      <c r="D166" s="3132"/>
      <c r="K166" s="1004"/>
      <c r="L166" s="1004"/>
    </row>
    <row r="167" s="2931" customFormat="1" spans="1:12">
      <c r="A167" s="3131"/>
      <c r="D167" s="3132"/>
      <c r="K167" s="1004"/>
      <c r="L167" s="1004"/>
    </row>
    <row r="168" s="2931" customFormat="1" spans="1:12">
      <c r="A168" s="3131"/>
      <c r="D168" s="3132"/>
      <c r="K168" s="1004"/>
      <c r="L168" s="1004"/>
    </row>
    <row r="169" s="2931" customFormat="1" spans="1:12">
      <c r="A169" s="3131"/>
      <c r="D169" s="3132"/>
      <c r="K169" s="1004"/>
      <c r="L169" s="1004"/>
    </row>
    <row r="170" s="2931" customFormat="1" spans="1:12">
      <c r="A170" s="3131"/>
      <c r="D170" s="3132"/>
      <c r="K170" s="1004"/>
      <c r="L170" s="1004"/>
    </row>
    <row r="171" s="2931" customFormat="1" spans="1:12">
      <c r="A171" s="3131"/>
      <c r="D171" s="3132"/>
      <c r="K171" s="1004"/>
      <c r="L171" s="1004"/>
    </row>
    <row r="172" s="2931" customFormat="1" spans="1:12">
      <c r="A172" s="3131"/>
      <c r="D172" s="3132"/>
      <c r="K172" s="1004"/>
      <c r="L172" s="1004"/>
    </row>
    <row r="173" s="2931" customFormat="1" spans="1:12">
      <c r="A173" s="3131"/>
      <c r="D173" s="3132"/>
      <c r="K173" s="1004"/>
      <c r="L173" s="1004"/>
    </row>
    <row r="174" s="2931" customFormat="1" spans="1:12">
      <c r="A174" s="3131"/>
      <c r="D174" s="3132"/>
      <c r="K174" s="1004"/>
      <c r="L174" s="100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9" sqref="H39"/>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249.73</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569</v>
      </c>
      <c r="C5" s="2840">
        <f ca="1">IF(B5=D14,结果表!H102,ROUND(B5*10000/$B$1,0))</f>
        <v>22778</v>
      </c>
      <c r="D5" s="2840" t="e">
        <f ca="1">ROUND(B5*10000/$B$2,0)</f>
        <v>#DIV/0!</v>
      </c>
      <c r="E5" s="2841"/>
      <c r="F5" s="2842"/>
      <c r="G5" s="2842"/>
      <c r="H5" s="2843"/>
      <c r="I5" s="2843"/>
      <c r="J5" s="2843"/>
      <c r="K5" s="2843"/>
    </row>
    <row r="6" ht="15.6" spans="1:11">
      <c r="A6" s="2840" t="s">
        <v>748</v>
      </c>
      <c r="B6" s="2840">
        <f>SUM(G14:G23)</f>
        <v>0</v>
      </c>
      <c r="C6" s="2840">
        <f ca="1">IF(B6=G14,结果表!H108,ROUND(B6*10000/$B$1,0))</f>
        <v>22778</v>
      </c>
      <c r="D6" s="2840" t="e">
        <f>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249.73</v>
      </c>
      <c r="C14" s="2852"/>
      <c r="D14" s="2852">
        <f ca="1">结果表!H118</f>
        <v>569</v>
      </c>
      <c r="E14" s="2852">
        <f ca="1">结果表!I118</f>
        <v>22778</v>
      </c>
      <c r="F14" s="2852" t="e">
        <f ca="1">ROUND(D14*10000/C14,0)</f>
        <v>#DIV/0!</v>
      </c>
      <c r="G14" s="2852"/>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 workbookViewId="0">
      <selection activeCell="F51" sqref="F51"/>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249.73</v>
      </c>
      <c r="M18" s="2126">
        <f>IF(C1="",'数据-汇总表'!E3,SUMIF(项目类型,C1,'数据-汇总表'!E17:E26))</f>
        <v>249.73</v>
      </c>
    </row>
    <row r="19" ht="14.4" spans="1:13">
      <c r="A19" s="2518" t="s">
        <v>799</v>
      </c>
      <c r="B19" s="2519" t="s">
        <v>800</v>
      </c>
      <c r="C19" s="2520">
        <f ca="1">SUMIF(INDIRECT("'"&amp;C4&amp;"'"&amp;"!A:A"),结果表!B19,INDIRECT("'"&amp;C4&amp;"'"&amp;"!B:B"))</f>
        <v>669.4512</v>
      </c>
      <c r="D19" s="1531">
        <f ca="1">SUMIF(INDIRECT("'"&amp;D4&amp;"'"&amp;"!A:A"),结果表!B19,INDIRECT("'"&amp;D4&amp;"'"&amp;"!B:B"))</f>
        <v>417.8885</v>
      </c>
      <c r="E19" s="2518" t="s">
        <v>801</v>
      </c>
      <c r="F19" s="2519" t="s">
        <v>800</v>
      </c>
      <c r="G19" s="2521">
        <f ca="1">ROUND(C19*$C$18+D19*$D$18,0)</f>
        <v>569</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16734</v>
      </c>
      <c r="E20" s="2523"/>
      <c r="F20" s="2524" t="s">
        <v>803</v>
      </c>
      <c r="G20" s="2525">
        <f ca="1">ROUND(C20*$C$18+D20*$D$18,0)</f>
        <v>22778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spans="1:9">
      <c r="A22" s="2531" t="s">
        <v>806</v>
      </c>
      <c r="B22" s="2532"/>
      <c r="C22" s="2533"/>
      <c r="D22" s="2534">
        <f ca="1">IF(C19&lt;D19,D19/C19-1,C19/D19-1)</f>
        <v>0.601985218545138</v>
      </c>
      <c r="E22" s="1050"/>
      <c r="F22" s="1050"/>
      <c r="G22" s="1050"/>
      <c r="H22" s="1050"/>
      <c r="I22" s="1050"/>
    </row>
    <row r="23" spans="1:10">
      <c r="A23" s="2491"/>
      <c r="B23" s="2491"/>
      <c r="C23" s="2491"/>
      <c r="D23" s="2491"/>
      <c r="E23" s="1050"/>
      <c r="F23" s="1050"/>
      <c r="G23" s="1050"/>
      <c r="H23" s="1050"/>
      <c r="I23" s="1050"/>
      <c r="J23" s="1006">
        <f ca="1">G20*B118</f>
        <v>5688349.94</v>
      </c>
    </row>
    <row r="24" spans="1:9">
      <c r="A24" s="2535" t="s">
        <v>807</v>
      </c>
      <c r="B24" s="2519" t="s">
        <v>800</v>
      </c>
      <c r="C24" s="2521">
        <f>IF(B30=0,0,D30)</f>
        <v>0</v>
      </c>
      <c r="D24" s="2536"/>
      <c r="E24" s="1050"/>
      <c r="F24" s="1050"/>
      <c r="G24" s="1050"/>
      <c r="H24" s="1050"/>
      <c r="I24" s="1050"/>
    </row>
    <row r="25"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22778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569</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0.055</v>
      </c>
      <c r="G48" s="2615" t="s">
        <v>847</v>
      </c>
      <c r="H48" s="2616"/>
      <c r="I48" s="2606"/>
      <c r="J48" s="650">
        <v>3</v>
      </c>
      <c r="K48" s="2665" t="s">
        <v>848</v>
      </c>
      <c r="L48" s="2665"/>
      <c r="M48" s="2668">
        <f ca="1">H101</f>
        <v>569</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569</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30</v>
      </c>
      <c r="E52" s="2182" t="s">
        <v>865</v>
      </c>
      <c r="F52" s="2628">
        <f>'数据-取费表'!B41</f>
        <v>0.055</v>
      </c>
      <c r="G52" s="2629"/>
      <c r="H52" s="2297"/>
      <c r="I52" s="2670"/>
      <c r="J52" s="650">
        <v>1</v>
      </c>
      <c r="K52" s="650" t="s">
        <v>866</v>
      </c>
      <c r="L52" s="650"/>
      <c r="M52" s="2671" t="b">
        <f ca="1">D48</f>
        <v>0</v>
      </c>
      <c r="N52" s="650" t="str">
        <f>E48</f>
        <v>销售额×税（费）率</v>
      </c>
      <c r="O52" s="2672">
        <f>F48</f>
        <v>0.055</v>
      </c>
    </row>
    <row r="53" ht="12" customHeight="1" spans="1:15">
      <c r="A53" s="2627" t="s">
        <v>867</v>
      </c>
      <c r="B53" s="2159" t="s">
        <v>868</v>
      </c>
      <c r="C53" s="2630"/>
      <c r="D53" s="2178">
        <f ca="1">ROUND(D45*'数据-取费表'!B41/(1+'数据-取费表'!C42),0)</f>
        <v>30</v>
      </c>
      <c r="E53" s="2182" t="s">
        <v>865</v>
      </c>
      <c r="F53" s="2628">
        <f>'数据-取费表'!B41</f>
        <v>0.055</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30</v>
      </c>
      <c r="E54" s="2192" t="s">
        <v>872</v>
      </c>
      <c r="F54" s="2628">
        <f>'数据-取费表'!B41</f>
        <v>0.055</v>
      </c>
      <c r="G54" s="2629"/>
      <c r="H54" s="2631"/>
      <c r="I54" s="2670"/>
      <c r="J54" s="650">
        <v>3</v>
      </c>
      <c r="K54" s="650" t="s">
        <v>873</v>
      </c>
      <c r="L54" s="650"/>
      <c r="M54" s="2671">
        <f ca="1" t="shared" si="0"/>
        <v>322</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322</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327</v>
      </c>
      <c r="O57" s="2680"/>
      <c r="P57" s="2681">
        <f ca="1">N57/M49</f>
        <v>0.57469244288225</v>
      </c>
    </row>
    <row r="58" ht="25.2" spans="1:15">
      <c r="A58" s="2627" t="s">
        <v>863</v>
      </c>
      <c r="B58" s="2159" t="s">
        <v>882</v>
      </c>
      <c r="C58" s="2160"/>
      <c r="D58" s="2282">
        <f ca="1">IF(H58="转让取得",C81,C97)</f>
        <v>322</v>
      </c>
      <c r="E58" s="2182" t="s">
        <v>877</v>
      </c>
      <c r="F58" s="2126" t="s">
        <v>124</v>
      </c>
      <c r="G58" s="2629"/>
      <c r="H58" s="2633"/>
      <c r="I58" s="2644"/>
      <c r="J58" s="650"/>
      <c r="K58" s="650"/>
      <c r="L58" s="2677" t="s">
        <v>883</v>
      </c>
      <c r="M58" s="2682"/>
      <c r="N58" s="2683" t="str">
        <f ca="1">NUMBERSTRING(INT(N57*10000),2)&amp;"元整"</f>
        <v>叁佰贰拾柒万元整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242</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贰佰肆拾贰万元整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9690</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542</v>
      </c>
      <c r="D63" s="661"/>
      <c r="E63" s="2651"/>
      <c r="F63" s="2644"/>
      <c r="G63" s="2644"/>
      <c r="H63" s="2645"/>
      <c r="I63" s="1050"/>
      <c r="J63" s="2692" t="s">
        <v>893</v>
      </c>
      <c r="K63" s="2692" t="s">
        <v>894</v>
      </c>
      <c r="L63" s="2692">
        <f ca="1">IF(M49&gt;10000,M49*0.5%,IF(AND(M49&gt;1000,M49&lt;=10000),M49*1%,IF(AND(M49&gt;100,M49&lt;=1000),M49*3%,IF(AND(M49&gt;10,M49&lt;=100),M49*5%,M49*8%))))</f>
        <v>17.07</v>
      </c>
      <c r="M63" s="2126">
        <f ca="1">ROUND(L63,1)</f>
        <v>17.1</v>
      </c>
      <c r="N63" s="2693"/>
      <c r="Z63" s="2488"/>
      <c r="AI63" s="2489"/>
    </row>
    <row r="64" ht="14.25" customHeight="1" spans="1:35">
      <c r="A64" s="2652" t="s">
        <v>895</v>
      </c>
      <c r="B64" s="584" t="s">
        <v>896</v>
      </c>
      <c r="C64" s="2653">
        <f ca="1">D45</f>
        <v>569</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3.983</v>
      </c>
      <c r="M64" s="2126">
        <f ca="1" t="shared" ref="M64:M65" si="1">ROUND(L64,1)</f>
        <v>4</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2.845</v>
      </c>
      <c r="M65" s="2126">
        <f ca="1" t="shared" si="1"/>
        <v>2.8</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2.845</v>
      </c>
      <c r="M66" s="2126">
        <f ca="1">IF(L66&gt;0.5,0.5,ROUND(L66,0))</f>
        <v>0.5</v>
      </c>
      <c r="N66" s="2297" t="s">
        <v>906</v>
      </c>
      <c r="Z66" s="2488"/>
      <c r="AI66" s="2489"/>
    </row>
    <row r="67" ht="14.25" customHeight="1" spans="1:35">
      <c r="A67" s="2649" t="s">
        <v>907</v>
      </c>
      <c r="B67" s="2696" t="s">
        <v>908</v>
      </c>
      <c r="C67" s="2699">
        <f ca="1">C63-C66</f>
        <v>542</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1.6725</v>
      </c>
      <c r="M67" s="2126">
        <f ca="1">ROUND(L67*0.9,1)</f>
        <v>1.5</v>
      </c>
      <c r="N67" s="2693"/>
      <c r="Z67" s="2488"/>
      <c r="AI67" s="2489"/>
    </row>
    <row r="68" ht="14.25" customHeight="1" spans="1:35">
      <c r="A68" s="2700" t="s">
        <v>910</v>
      </c>
      <c r="B68" s="2701" t="s">
        <v>911</v>
      </c>
      <c r="C68" s="2702">
        <f ca="1">IF(C67&lt;=0,0,ROUND(C67*D68,0))</f>
        <v>30</v>
      </c>
      <c r="D68" s="859">
        <f>'数据-取费表'!B41</f>
        <v>0.055</v>
      </c>
      <c r="E68" s="2703"/>
      <c r="F68" s="2644"/>
      <c r="G68" s="2644"/>
      <c r="H68" s="2645"/>
      <c r="I68" s="1050"/>
      <c r="J68" s="2692"/>
      <c r="K68" s="2692" t="s">
        <v>912</v>
      </c>
      <c r="L68" s="2692">
        <f ca="1">IF(M49&gt;10000,M49*0.5%,IF(AND(M49&gt;5000,M49&lt;=10000),M49*1%,IF(AND(M49&gt;1000,M49&lt;=5000),M49*2%,IF(AND(M49&gt;200,M49&lt;=1000),M49*3%,M49*5%))))</f>
        <v>17.07</v>
      </c>
      <c r="M68" s="2126">
        <f ca="1">ROUND(L68,1)</f>
        <v>17.1</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43</v>
      </c>
      <c r="N69" s="2805">
        <f ca="1">M69/M49</f>
        <v>0.0755711775043937</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542</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0.005</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539</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179.666666666667</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322</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542</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0.005</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539</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179.666666666667</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322</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569</v>
      </c>
      <c r="I101" s="1050"/>
    </row>
    <row r="102" ht="18.75" customHeight="1" spans="1:9">
      <c r="A102" s="2764" t="s">
        <v>961</v>
      </c>
      <c r="B102" s="2765" t="s">
        <v>960</v>
      </c>
      <c r="C102" s="2758">
        <f ca="1">IF(D32="楼面单价",ROUND(C19,0),C19)</f>
        <v>669</v>
      </c>
      <c r="D102" s="2759">
        <f ca="1">IF(D32="楼面单价",ROUND(D19,0),D19)</f>
        <v>418</v>
      </c>
      <c r="E102" s="2760"/>
      <c r="F102" s="2761"/>
      <c r="G102" s="2762" t="s">
        <v>99</v>
      </c>
      <c r="H102" s="2629">
        <f ca="1">I118</f>
        <v>22778</v>
      </c>
      <c r="I102" s="1050"/>
    </row>
    <row r="103" ht="42.75" customHeight="1" spans="1:9">
      <c r="A103" s="2764"/>
      <c r="B103" s="2765" t="s">
        <v>99</v>
      </c>
      <c r="C103" s="2766">
        <f ca="1">C20</f>
        <v>26807</v>
      </c>
      <c r="D103" s="2767">
        <f ca="1">D20</f>
        <v>16734</v>
      </c>
      <c r="E103" s="2768" t="s">
        <v>962</v>
      </c>
      <c r="F103" s="2769"/>
      <c r="G103" s="2770" t="s">
        <v>102</v>
      </c>
      <c r="H103" s="2763">
        <f>IF(D36="正常操作",H104+H105+H106,H105+H106)</f>
        <v>0</v>
      </c>
      <c r="I103" s="1050"/>
    </row>
    <row r="104" ht="18.75" customHeight="1" spans="1:9">
      <c r="A104" s="2764" t="s">
        <v>963</v>
      </c>
      <c r="B104" s="2771" t="s">
        <v>960</v>
      </c>
      <c r="C104" s="2772">
        <f ca="1">H118</f>
        <v>569</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22778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569</v>
      </c>
      <c r="I107" s="1050"/>
    </row>
    <row r="108" ht="18.75" customHeight="1" spans="1:9">
      <c r="A108" s="1050"/>
      <c r="B108" s="1050"/>
      <c r="C108" s="1050"/>
      <c r="D108" s="1050"/>
      <c r="E108" s="2782"/>
      <c r="F108" s="2761"/>
      <c r="G108" s="2762" t="s">
        <v>99</v>
      </c>
      <c r="H108" s="2629">
        <f ca="1">IF(H107=H101,H102,ROUND(H107*10000/'数据-汇总表'!E3,0))</f>
        <v>22778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249.73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569</v>
      </c>
      <c r="I118" s="2504">
        <f ca="1">ROUND(IF(D32="楼面单价",C32,H118*10000/B118),0)</f>
        <v>22778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伍佰陆拾玖万元整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569</v>
      </c>
      <c r="E122" s="2802"/>
      <c r="F122" s="2802"/>
      <c r="G122" s="2802"/>
      <c r="H122" s="2802"/>
      <c r="I122" s="2803"/>
      <c r="AA122" s="1006"/>
    </row>
    <row r="123" ht="18.75" customHeight="1" spans="1:27">
      <c r="A123" s="2504" t="s">
        <v>976</v>
      </c>
      <c r="B123" s="2504"/>
      <c r="C123" s="2504"/>
      <c r="D123" s="2799" t="str">
        <f ca="1">NUMBERSTRING(INT(D122*10000),2)&amp;"元整"</f>
        <v>伍佰陆拾玖万元整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68181</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2730189</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49946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49946</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249.73</v>
      </c>
      <c r="E19" s="404">
        <f>'数据-取费表'!B31</f>
        <v>200</v>
      </c>
      <c r="F19" s="429"/>
      <c r="G19" s="981"/>
    </row>
    <row r="20" s="384" customFormat="1" ht="13.5" customHeight="1" spans="1:7">
      <c r="A20" s="402" t="s">
        <v>1023</v>
      </c>
      <c r="B20" s="403" t="s">
        <v>1024</v>
      </c>
      <c r="C20" s="430">
        <f ca="1">ROUND((C5+C19)*F20,0)</f>
        <v>999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4273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4232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41</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7643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7643</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0.0524</v>
      </c>
      <c r="D30" s="434" t="s">
        <v>1028</v>
      </c>
      <c r="E30" s="443"/>
      <c r="F30" s="437">
        <f>'数据-取费表'!B41</f>
        <v>0.055</v>
      </c>
      <c r="G30" s="435" t="s">
        <v>1047</v>
      </c>
    </row>
    <row r="31" ht="16.5" customHeight="1" spans="1:7">
      <c r="A31" s="452">
        <v>1</v>
      </c>
      <c r="B31" s="403" t="s">
        <v>1048</v>
      </c>
      <c r="C31" s="404">
        <f ca="1">ROUND((C5+C19+C20+C22+C27)/(1-C21-D22-D27-C30),0)</f>
        <v>68052</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110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100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249.73</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5</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5</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0.003</v>
      </c>
      <c r="E45" s="434" t="s">
        <v>1062</v>
      </c>
      <c r="F45" s="448">
        <f ca="1">F27</f>
        <v>0.15</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0.0524</v>
      </c>
      <c r="D48" s="434" t="s">
        <v>1062</v>
      </c>
      <c r="E48" s="430"/>
      <c r="F48" s="437">
        <f>F30</f>
        <v>0.055</v>
      </c>
      <c r="G48" s="435" t="s">
        <v>1068</v>
      </c>
    </row>
    <row r="49" ht="16.5" customHeight="1" spans="1:7">
      <c r="A49" s="402" t="s">
        <v>1045</v>
      </c>
      <c r="B49" s="403" t="s">
        <v>1069</v>
      </c>
      <c r="C49" s="430">
        <f ca="1">ROUND((C33+C39+C41+C45)/(1-C40-D41-D45-C48),0)</f>
        <v>145</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129</v>
      </c>
      <c r="D51" s="430"/>
      <c r="E51" s="430"/>
      <c r="F51" s="468"/>
      <c r="G51" s="435" t="s">
        <v>1076</v>
      </c>
    </row>
    <row r="52" s="383" customFormat="1" ht="16.35" spans="1:7">
      <c r="A52" s="469" t="s">
        <v>1077</v>
      </c>
      <c r="B52" s="470"/>
      <c r="C52" s="471">
        <f ca="1">C31+C51</f>
        <v>68181</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56930</v>
      </c>
      <c r="C2" s="2402" t="s">
        <v>1082</v>
      </c>
      <c r="D2" s="2402"/>
      <c r="E2" s="2400"/>
      <c r="F2" s="2400"/>
      <c r="G2" s="2400"/>
      <c r="H2" s="2400"/>
      <c r="I2" s="2400"/>
      <c r="J2" s="2400"/>
      <c r="K2" s="2400"/>
    </row>
    <row r="3" ht="18" customHeight="1" spans="1:11">
      <c r="A3" s="397" t="s">
        <v>987</v>
      </c>
      <c r="B3" s="398">
        <f ca="1">ROUND(B2*10000/IF(C1="",'数据-汇总表'!E3,INDIRECT("'数据-取费表'!K"&amp;$K$1)),0)</f>
        <v>2279662</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249.73</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249.73</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-49941</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249.73</v>
      </c>
      <c r="E20" s="1061">
        <f>'数据-取费表'!B28</f>
        <v>200</v>
      </c>
      <c r="F20" s="2426"/>
      <c r="G20" s="2282"/>
      <c r="H20" s="2433"/>
      <c r="I20" s="2433"/>
      <c r="J20" s="2433"/>
      <c r="K20" s="2478"/>
    </row>
    <row r="21" s="2391" customFormat="1" ht="13.5" customHeight="1" spans="1:11">
      <c r="A21" s="2409" t="s">
        <v>895</v>
      </c>
      <c r="B21" s="2434" t="s">
        <v>1113</v>
      </c>
      <c r="C21" s="2435">
        <f ca="1">C16+C17+C18</f>
        <v>-49941</v>
      </c>
      <c r="D21" s="2436"/>
      <c r="E21" s="2437"/>
      <c r="F21" s="2437"/>
      <c r="G21" s="2168" t="s">
        <v>1114</v>
      </c>
      <c r="H21" s="2283"/>
      <c r="I21" s="2283"/>
      <c r="J21" s="2283"/>
      <c r="K21" s="2284"/>
    </row>
    <row r="22" s="2391" customFormat="1" ht="13.5" customHeight="1" spans="1:11">
      <c r="A22" s="2409" t="s">
        <v>899</v>
      </c>
      <c r="B22" s="2434" t="s">
        <v>1115</v>
      </c>
      <c r="C22" s="2435">
        <f ca="1">ROUND(C21*F22,0)</f>
        <v>-999</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-7641</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-7641</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0.055</v>
      </c>
      <c r="G31" s="2463" t="s">
        <v>1131</v>
      </c>
      <c r="H31" s="2464"/>
      <c r="I31" s="2464"/>
      <c r="J31" s="2464"/>
      <c r="K31" s="2480"/>
    </row>
    <row r="32" s="2390" customFormat="1" ht="13.5" customHeight="1" spans="1:11">
      <c r="A32" s="2465" t="s">
        <v>1132</v>
      </c>
      <c r="B32" s="2466"/>
      <c r="C32" s="2467">
        <f ca="1">ROUND((C4-C21-C22-C23-C25-C28-C31)/(1+C24+D25+D28),0)</f>
        <v>56930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0.0524</v>
      </c>
      <c r="D28" s="2169" t="s">
        <v>1222</v>
      </c>
      <c r="E28" s="2126" t="s">
        <v>1168</v>
      </c>
      <c r="F28" s="2166">
        <f>'数据-取费表'!B41</f>
        <v>0.055</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0.055</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0.055</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417.8885</v>
      </c>
      <c r="C2" s="2103" t="s">
        <v>1137</v>
      </c>
      <c r="D2" s="2104">
        <f ca="1">C40+J29+L46</f>
        <v>4178885</v>
      </c>
      <c r="E2" s="2105" t="s">
        <v>1321</v>
      </c>
      <c r="F2" s="2106"/>
      <c r="G2" s="2107"/>
      <c r="H2" s="2108"/>
      <c r="I2" s="2108"/>
      <c r="J2" s="2108"/>
      <c r="K2" s="2270"/>
      <c r="L2" s="2108"/>
      <c r="M2" s="2108"/>
    </row>
    <row r="3" ht="18" customHeight="1" spans="1:13">
      <c r="A3" s="2109" t="s">
        <v>1138</v>
      </c>
      <c r="B3" s="2110">
        <f ca="1">IF(ISERROR(D2/F43),0,ROUND(D2/F43,0))</f>
        <v>16734</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246417</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246109</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249.73</v>
      </c>
      <c r="G7" s="799"/>
      <c r="H7" s="2133"/>
      <c r="I7" s="2129"/>
      <c r="J7" s="2134"/>
      <c r="K7" s="2131"/>
      <c r="L7" s="2126" t="s">
        <v>1152</v>
      </c>
      <c r="M7" s="2127">
        <f ca="1">F7</f>
        <v>249.73</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308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1280711</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998920</v>
      </c>
      <c r="D14" s="2159" t="s">
        <v>1165</v>
      </c>
      <c r="E14" s="2160"/>
      <c r="F14" s="2161"/>
      <c r="G14" s="799"/>
      <c r="H14" s="2157" t="s">
        <v>895</v>
      </c>
      <c r="I14" s="2126" t="s">
        <v>1166</v>
      </c>
      <c r="J14" s="1061">
        <f ca="1">C29</f>
        <v>1439001</v>
      </c>
      <c r="K14" s="2282"/>
      <c r="L14" s="2283"/>
      <c r="M14" s="2284"/>
    </row>
    <row r="15" s="2093" customFormat="1" ht="18" customHeight="1" spans="1:37">
      <c r="A15" s="2157" t="s">
        <v>922</v>
      </c>
      <c r="B15" s="2126" t="s">
        <v>1095</v>
      </c>
      <c r="C15" s="1061">
        <f ca="1">ROUND(C14*F15,0)</f>
        <v>29968</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21585</v>
      </c>
      <c r="K16" s="2178" t="s">
        <v>1171</v>
      </c>
      <c r="L16" s="2179"/>
      <c r="M16" s="2121"/>
    </row>
    <row r="17" s="2093" customFormat="1" ht="18" customHeight="1" spans="1:37">
      <c r="A17" s="2157" t="s">
        <v>1172</v>
      </c>
      <c r="B17" s="2126" t="s">
        <v>1173</v>
      </c>
      <c r="C17" s="1061">
        <f ca="1">ROUND(F17*(F43+INDIRECT("'数据-取费表'!S"&amp;$G$1)),0)</f>
        <v>49946</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14984</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1093818</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21876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21585</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46301</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-21585</v>
      </c>
      <c r="K25" s="2197" t="s">
        <v>1209</v>
      </c>
      <c r="L25" s="2198"/>
      <c r="M25" s="2199"/>
    </row>
    <row r="26" ht="18" customHeight="1" spans="1:13">
      <c r="A26" s="2157" t="s">
        <v>918</v>
      </c>
      <c r="B26" s="2126" t="s">
        <v>1210</v>
      </c>
      <c r="C26" s="1061">
        <f ca="1">ROUND((C19+C20)*F26,0)</f>
        <v>167354</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0.0524</v>
      </c>
      <c r="D28" s="2169" t="s">
        <v>1222</v>
      </c>
      <c r="E28" s="2126" t="s">
        <v>1168</v>
      </c>
      <c r="F28" s="2166">
        <f>'数据-取费表'!B41</f>
        <v>0.055</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1439001</v>
      </c>
      <c r="D29" s="2175"/>
      <c r="E29" s="2150"/>
      <c r="F29" s="2176"/>
      <c r="G29" s="2164"/>
      <c r="H29" s="2177" t="s">
        <v>1225</v>
      </c>
      <c r="I29" s="2207" t="s">
        <v>1226</v>
      </c>
      <c r="J29" s="2208">
        <f ca="1">ROUND(J26/(1+F40)^F41,0)</f>
        <v>0</v>
      </c>
      <c r="K29" s="2209" t="s">
        <v>1227</v>
      </c>
      <c r="L29" s="2210"/>
      <c r="M29" s="2211">
        <f ca="1">INDIRECT("'数据-取费表'!k"&amp;$G$1)</f>
        <v>249.73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66988</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41018</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12891</v>
      </c>
      <c r="D32" s="2182" t="s">
        <v>1181</v>
      </c>
      <c r="E32" s="2126" t="s">
        <v>1168</v>
      </c>
      <c r="F32" s="2173">
        <f>'数据-取费表'!B41</f>
        <v>0.055</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28127</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21585</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1921</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2464</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179429</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4135664</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16561</v>
      </c>
      <c r="D43" s="2209" t="s">
        <v>1232</v>
      </c>
      <c r="E43" s="2210" t="s">
        <v>1233</v>
      </c>
      <c r="F43" s="2211">
        <f ca="1">INDIRECT("'数据-取费表'!k"&amp;$G$1)</f>
        <v>249.73</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-450.0185</v>
      </c>
      <c r="D45" s="2216" t="s">
        <v>1329</v>
      </c>
      <c r="E45" s="2212"/>
      <c r="F45" s="2212"/>
      <c r="O45" s="2300" t="s">
        <v>1234</v>
      </c>
      <c r="P45" s="2201"/>
      <c r="Q45" s="2201"/>
      <c r="R45" s="2201"/>
    </row>
    <row r="46" s="799" customFormat="1" ht="13.95" spans="1:18">
      <c r="A46" s="2217" t="s">
        <v>1235</v>
      </c>
      <c r="C46" s="2218">
        <f ca="1">ROUND(C45,0)</f>
        <v>-450</v>
      </c>
      <c r="D46" s="2219" t="str">
        <f>C2</f>
        <v>万元</v>
      </c>
      <c r="I46" s="2301" t="s">
        <v>1236</v>
      </c>
      <c r="J46" s="2302"/>
      <c r="K46" s="2303"/>
      <c r="L46" s="2304">
        <f ca="1">IF(M47="住宅",0,IF(L48&gt;J51,L60,J60))</f>
        <v>43221</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4135664</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43221</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1439001</v>
      </c>
      <c r="R49" s="2354" t="s">
        <v>1244</v>
      </c>
    </row>
    <row r="50" s="799" customFormat="1" ht="13.95" spans="1:18">
      <c r="A50" s="2236"/>
      <c r="B50" s="2237"/>
      <c r="C50" s="2238"/>
      <c r="D50" s="2239"/>
      <c r="E50" s="2240" t="s">
        <v>1152</v>
      </c>
      <c r="F50" s="2241">
        <f ca="1">F7</f>
        <v>249.73</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1639003</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4178885</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1280711</v>
      </c>
      <c r="D56" s="2251"/>
      <c r="E56" s="2252"/>
      <c r="F56" s="2248"/>
      <c r="I56" s="2341" t="s">
        <v>1278</v>
      </c>
      <c r="J56" s="2342" t="s">
        <v>1334</v>
      </c>
      <c r="K56" s="2314" t="s">
        <v>1279</v>
      </c>
      <c r="L56" s="2317" t="str">
        <f ca="1">IF(L48&lt;J51,"——",L48-J51)</f>
        <v>——</v>
      </c>
      <c r="O56" s="2312" t="s">
        <v>1000</v>
      </c>
      <c r="P56" s="2313" t="s">
        <v>1243</v>
      </c>
      <c r="Q56" s="2354">
        <f ca="1">C40+J29</f>
        <v>4135664</v>
      </c>
      <c r="R56" s="2354" t="s">
        <v>1244</v>
      </c>
    </row>
    <row r="57" s="799" customFormat="1" ht="24.75" spans="1:18">
      <c r="A57" s="2253"/>
      <c r="B57" s="2254" t="s">
        <v>1224</v>
      </c>
      <c r="C57" s="440">
        <f ca="1">C29</f>
        <v>1439001</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23506</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575600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0.055</v>
      </c>
      <c r="I60" s="2346" t="s">
        <v>1289</v>
      </c>
      <c r="J60" s="2347">
        <f ca="1">IF(OR(M47="住宅",J51&lt;L48,J56="是"),"0",ROUND(J59/(1+J52)^J53,0))</f>
        <v>43221</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4135664</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21585</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1921</v>
      </c>
      <c r="D65" s="2262" t="s">
        <v>1201</v>
      </c>
      <c r="E65" s="2254" t="s">
        <v>1168</v>
      </c>
      <c r="F65" s="2195">
        <f ca="1" t="shared" si="0"/>
        <v>0.0015</v>
      </c>
      <c r="I65" s="2349" t="s">
        <v>1302</v>
      </c>
      <c r="J65" s="2350">
        <v>40</v>
      </c>
      <c r="K65" s="2350">
        <v>30</v>
      </c>
      <c r="L65" s="2350">
        <v>50</v>
      </c>
      <c r="M65" s="2352">
        <v>0.02</v>
      </c>
      <c r="O65" s="2312" t="s">
        <v>1000</v>
      </c>
      <c r="P65" s="2313" t="s">
        <v>1243</v>
      </c>
      <c r="Q65" s="2354">
        <f ca="1">C40+J29</f>
        <v>4135664</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-23506</v>
      </c>
      <c r="D67" s="2261" t="s">
        <v>1209</v>
      </c>
      <c r="E67" s="2357"/>
      <c r="F67" s="2358"/>
      <c r="O67" s="2320" t="s">
        <v>1255</v>
      </c>
      <c r="P67" s="2313" t="s">
        <v>1286</v>
      </c>
      <c r="Q67" s="2378">
        <f ca="1">L51</f>
        <v>1639003</v>
      </c>
      <c r="R67" s="2354" t="s">
        <v>1303</v>
      </c>
    </row>
    <row r="68" s="799" customFormat="1" ht="17.55" spans="1:18">
      <c r="A68" s="2359" t="s">
        <v>1213</v>
      </c>
      <c r="B68" s="2360" t="s">
        <v>1230</v>
      </c>
      <c r="C68" s="2200">
        <f ca="1">ROUND(C67*(1-((1+F70)/(1+F68))^F69)/(F68-F70),0)</f>
        <v>-364521</v>
      </c>
      <c r="D68" s="2264" t="s">
        <v>1215</v>
      </c>
      <c r="E68" s="2254" t="s">
        <v>1216</v>
      </c>
      <c r="F68" s="2136">
        <f ca="1">F40</f>
        <v>0.055</v>
      </c>
      <c r="O68" s="2320" t="s">
        <v>1259</v>
      </c>
      <c r="P68" s="2377" t="s">
        <v>1304</v>
      </c>
      <c r="Q68" s="2354">
        <f ca="1">ROUND(Q69-Q70*Q71,0)</f>
        <v>89779</v>
      </c>
      <c r="R68" s="2354" t="s">
        <v>1305</v>
      </c>
    </row>
    <row r="69" s="799" customFormat="1" ht="13.95" spans="1:18">
      <c r="A69" s="2361"/>
      <c r="B69" s="2362"/>
      <c r="C69" s="2134"/>
      <c r="D69" s="2363" t="s">
        <v>1219</v>
      </c>
      <c r="E69" s="2254" t="s">
        <v>1220</v>
      </c>
      <c r="F69" s="2204">
        <f ca="1">F41</f>
        <v>35.8</v>
      </c>
      <c r="O69" s="2320" t="s">
        <v>1306</v>
      </c>
      <c r="P69" s="2377" t="s">
        <v>1307</v>
      </c>
      <c r="Q69" s="2354">
        <f ca="1">C39</f>
        <v>179429</v>
      </c>
      <c r="R69" s="2354" t="s">
        <v>1244</v>
      </c>
    </row>
    <row r="70" s="799" customFormat="1" ht="13.95" spans="1:18">
      <c r="A70" s="2364"/>
      <c r="B70" s="2365"/>
      <c r="C70" s="2154"/>
      <c r="D70" s="2266"/>
      <c r="E70" s="2254" t="s">
        <v>1223</v>
      </c>
      <c r="F70" s="2244"/>
      <c r="O70" s="2320" t="s">
        <v>1308</v>
      </c>
      <c r="P70" s="2377" t="s">
        <v>1309</v>
      </c>
      <c r="Q70" s="2354">
        <f ca="1">C13</f>
        <v>1280711</v>
      </c>
      <c r="R70" s="2354" t="s">
        <v>1244</v>
      </c>
    </row>
    <row r="71" s="799" customFormat="1" ht="13.95" spans="1:18">
      <c r="A71" s="2366" t="s">
        <v>1225</v>
      </c>
      <c r="B71" s="2367" t="s">
        <v>1231</v>
      </c>
      <c r="C71" s="2208">
        <f ca="1">ROUND(C68/F71,0)</f>
        <v>-1460</v>
      </c>
      <c r="D71" s="2368" t="s">
        <v>1232</v>
      </c>
      <c r="E71" s="2369" t="s">
        <v>1233</v>
      </c>
      <c r="F71" s="2211">
        <f ca="1">F43</f>
        <v>249.73</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89650</v>
      </c>
      <c r="D75" s="799"/>
      <c r="E75" s="799"/>
      <c r="F75" s="799"/>
      <c r="K75" s="2299"/>
      <c r="L75" s="799"/>
      <c r="O75" s="2312" t="s">
        <v>1097</v>
      </c>
      <c r="P75" s="2313" t="s">
        <v>1273</v>
      </c>
      <c r="Q75" s="2354">
        <f ca="1">Q65+Q66</f>
        <v>4135664</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0.5</v>
      </c>
    </row>
    <row r="80" spans="2:3">
      <c r="B80" s="2371" t="s">
        <v>1319</v>
      </c>
      <c r="C80" s="476">
        <f ca="1">ROUND(C75/C39,3)</f>
        <v>0.5</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417.8885</v>
      </c>
      <c r="C2" s="1882" t="s">
        <v>1451</v>
      </c>
      <c r="D2" s="1883" t="s">
        <v>1452</v>
      </c>
      <c r="E2" s="1884">
        <f>SUM(E6:E13)</f>
        <v>249.73</v>
      </c>
      <c r="F2" s="1878"/>
      <c r="G2" s="1879"/>
      <c r="H2" s="1879"/>
      <c r="I2" s="1879"/>
      <c r="J2" s="1879"/>
      <c r="K2" s="1879"/>
      <c r="L2" s="1879"/>
      <c r="M2" s="1879"/>
      <c r="N2" s="1879"/>
      <c r="O2" s="1879"/>
      <c r="P2" s="1879"/>
      <c r="Q2" s="1879"/>
      <c r="R2" s="1879"/>
      <c r="S2" s="1879"/>
    </row>
    <row r="3" ht="15.6" spans="1:19">
      <c r="A3" s="1880" t="s">
        <v>987</v>
      </c>
      <c r="B3" s="1885">
        <f ca="1">ROUND(B2*10000/E2,0)</f>
        <v>16734</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417.8885</v>
      </c>
      <c r="C6" s="1882" t="s">
        <v>1451</v>
      </c>
      <c r="D6" s="1886"/>
      <c r="E6" s="1896">
        <f>IF(OR(A6=0,F6="否"),0,'数据-取费表'!K6+'数据-取费表'!S6)</f>
        <v>249.73</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249.73</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249.73</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48" sqref="I48:I49"/>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669.4512</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249.73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249.73</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15.1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249.73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4" t="s">
        <v>82</v>
      </c>
    </row>
    <row r="2" spans="1:1">
      <c r="A2" s="3675"/>
    </row>
    <row r="3" ht="17.4" spans="1:1">
      <c r="A3" s="3676" t="str">
        <f>项目基本情况!B5&amp;"："</f>
        <v>：</v>
      </c>
    </row>
    <row r="4" ht="17.4" spans="1:1">
      <c r="A4" s="3677" t="str">
        <f>"受贵公司委托，我公司对"&amp;项目基本情况!S1&amp;"进行了预评估。"</f>
        <v>受贵公司委托，我公司对北京市房地产抵押价值进行了预评估。</v>
      </c>
    </row>
    <row r="5" ht="17.4" spans="1:1">
      <c r="A5" s="3678" t="s">
        <v>83</v>
      </c>
    </row>
    <row r="6" ht="17.4" spans="1:1">
      <c r="A6" s="3679" t="s">
        <v>84</v>
      </c>
    </row>
    <row r="7" ht="52.2"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估价对象为北京市房地产，为所有。根据《国有土地使用证》[]，估价对象（分摊）出让国有建设用地使用权面积为0平方米，建筑面积为249.73平方米。</v>
      </c>
    </row>
    <row r="8" ht="52.2" spans="1:1">
      <c r="A8" s="3680" t="s">
        <v>85</v>
      </c>
    </row>
    <row r="9" ht="17.4" spans="1:1">
      <c r="A9" s="3679" t="s">
        <v>86</v>
      </c>
    </row>
    <row r="10" ht="52.2"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估价对象为北京市房地产,属开发建设的，该项目尚在开发建设中。根据《国有土地使用证》[]，估价对象（分摊）出让国有建设用地使用权面积为0平方米，规划建筑面积为249.73平方米。</v>
      </c>
    </row>
    <row r="11" ht="69.6" spans="1:1">
      <c r="A11" s="3680" t="s">
        <v>87</v>
      </c>
    </row>
    <row r="12" ht="17.4"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2" t="s">
        <v>89</v>
      </c>
    </row>
    <row r="15" ht="17.4" spans="1:1">
      <c r="A15" s="3683" t="str">
        <f>TEXT(项目基本情况!D3,"yyyy年m月d日;;")&amp;IF(项目基本情况!D3=项目基本情况!B3,"（评估专业人员实地查勘之日）","")</f>
        <v>2023年2月14日</v>
      </c>
    </row>
    <row r="16" ht="17.4" spans="1:1">
      <c r="A16" s="3682" t="s">
        <v>90</v>
      </c>
    </row>
    <row r="17" ht="69.6" spans="1:1">
      <c r="A17" s="3677" t="s">
        <v>91</v>
      </c>
    </row>
    <row r="18" ht="69.6"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2" t="s">
        <v>92</v>
      </c>
    </row>
    <row r="24" ht="17.4" spans="1:1">
      <c r="A24" s="3631" t="str">
        <f>"本次评估采用的主估价方法为"&amp;结果表!K4&amp;"和"&amp;结果表!L4&amp;"。"</f>
        <v>本次评估采用的主估价方法为比较法和收益法。</v>
      </c>
    </row>
    <row r="25" ht="17.4" spans="1:1">
      <c r="A25" s="3631"/>
    </row>
    <row r="26" ht="17.4" spans="1:1">
      <c r="A26" s="3684"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249.73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249.73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249.73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278</v>
      </c>
      <c r="C2" s="989" t="s">
        <v>1679</v>
      </c>
      <c r="D2" s="989" t="s">
        <v>1680</v>
      </c>
      <c r="E2" s="991">
        <f ca="1">SUMIF(E6:E13,"&lt;&gt;#ref!",E6:E13)</f>
        <v>249.73</v>
      </c>
      <c r="F2" s="988"/>
      <c r="G2" s="988"/>
      <c r="H2" s="988"/>
      <c r="I2" s="988"/>
      <c r="J2" s="988"/>
      <c r="K2" s="988"/>
      <c r="L2" s="988"/>
      <c r="M2" s="988"/>
      <c r="N2" s="988"/>
      <c r="O2" s="988"/>
      <c r="P2" s="988"/>
    </row>
    <row r="3" ht="15.6" spans="1:16">
      <c r="A3" s="989" t="s">
        <v>1681</v>
      </c>
      <c r="B3" s="990">
        <f ca="1">ROUND(B2*10000/E2,0)</f>
        <v>11132</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278</v>
      </c>
      <c r="C6" s="989" t="s">
        <v>1679</v>
      </c>
      <c r="D6" s="988"/>
      <c r="E6" s="991">
        <f ca="1">SUMIF(INDIRECT("'"&amp;A6&amp;"'"&amp;"!C:C"),"建筑面积",INDIRECT("'"&amp;A6&amp;"'"&amp;"!D:D"))</f>
        <v>249.73</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525.4791</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21042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2917045.93</v>
      </c>
      <c r="D5" s="404" t="s">
        <v>992</v>
      </c>
      <c r="E5" s="405" t="s">
        <v>993</v>
      </c>
      <c r="F5" s="405" t="s">
        <v>890</v>
      </c>
      <c r="G5" s="406"/>
    </row>
    <row r="6" s="384" customFormat="1" ht="13.5" customHeight="1" spans="1:7">
      <c r="A6" s="407" t="s">
        <v>994</v>
      </c>
      <c r="B6" s="408" t="s">
        <v>995</v>
      </c>
      <c r="C6" s="409">
        <f>基准地价修正!D33*基准地价修正!C33</f>
        <v>2782241.93</v>
      </c>
      <c r="D6" s="410"/>
      <c r="E6" s="411"/>
      <c r="F6" s="411"/>
      <c r="G6" s="412"/>
    </row>
    <row r="7" s="384" customFormat="1" ht="13.5" customHeight="1" spans="1:7">
      <c r="A7" s="407" t="s">
        <v>996</v>
      </c>
      <c r="B7" s="408" t="s">
        <v>997</v>
      </c>
      <c r="C7" s="413">
        <f>ROUND(C6*F7,0)</f>
        <v>84858</v>
      </c>
      <c r="D7" s="413"/>
      <c r="E7" s="411"/>
      <c r="F7" s="414">
        <f>IF(项目基本情况!B8="出让",0,'数据-取费表'!B48+'数据-取费表'!B49)</f>
        <v>0.0305</v>
      </c>
      <c r="G7" s="412"/>
    </row>
    <row r="8" s="385" customFormat="1" spans="1:7">
      <c r="A8" s="407" t="s">
        <v>998</v>
      </c>
      <c r="B8" s="408" t="s">
        <v>999</v>
      </c>
      <c r="C8" s="413">
        <f ca="1">IF(G8="已包含在土地购买价格中",0,C9+C10)</f>
        <v>49946</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49946</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249.73</v>
      </c>
      <c r="E19" s="404">
        <f>'数据-取费表'!B31</f>
        <v>200</v>
      </c>
      <c r="F19" s="429"/>
      <c r="G19" s="981" t="s">
        <v>1689</v>
      </c>
    </row>
    <row r="20" s="384" customFormat="1" ht="13.5" customHeight="1" spans="1:7">
      <c r="A20" s="402" t="s">
        <v>1023</v>
      </c>
      <c r="B20" s="403" t="s">
        <v>1024</v>
      </c>
      <c r="C20" s="430">
        <f ca="1">ROUND((C5+C19)*F20,0)</f>
        <v>58341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249560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247139</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2421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446308</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446308</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0.0524</v>
      </c>
      <c r="D30" s="434" t="s">
        <v>1028</v>
      </c>
      <c r="E30" s="443"/>
      <c r="F30" s="437">
        <f>'数据-取费表'!B41</f>
        <v>0.055</v>
      </c>
      <c r="G30" s="435" t="s">
        <v>1047</v>
      </c>
    </row>
    <row r="31" ht="16.5" customHeight="1" spans="1:7">
      <c r="A31" s="452">
        <v>1</v>
      </c>
      <c r="B31" s="403" t="s">
        <v>1048</v>
      </c>
      <c r="C31" s="404">
        <f ca="1">ROUND((C5+C19+C20+C22+C27)/(1-C21-D22-D27-C30),0)</f>
        <v>3974080</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1093818</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998920</v>
      </c>
      <c r="D34" s="410"/>
      <c r="E34" s="413"/>
      <c r="F34" s="459"/>
      <c r="G34" s="412"/>
    </row>
    <row r="35" ht="13.5" customHeight="1" spans="1:7">
      <c r="A35" s="438" t="s">
        <v>996</v>
      </c>
      <c r="B35" s="408" t="s">
        <v>1054</v>
      </c>
      <c r="C35" s="413">
        <f ca="1">ROUND(C34*F35,0)</f>
        <v>29968</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49946</v>
      </c>
      <c r="D37" s="410">
        <f ca="1">D19</f>
        <v>249.73</v>
      </c>
      <c r="E37" s="451">
        <f>'数据-取费表'!B35</f>
        <v>200</v>
      </c>
      <c r="F37" s="460"/>
      <c r="G37" s="462"/>
    </row>
    <row r="38" ht="13.5" customHeight="1" spans="1:7">
      <c r="A38" s="438" t="s">
        <v>1060</v>
      </c>
      <c r="B38" s="408" t="s">
        <v>926</v>
      </c>
      <c r="C38" s="413">
        <f ca="1">ROUND(C34*F38,0)</f>
        <v>14984</v>
      </c>
      <c r="D38" s="413"/>
      <c r="E38" s="413"/>
      <c r="F38" s="460">
        <f>'数据-取费表'!B36</f>
        <v>0.015</v>
      </c>
      <c r="G38" s="412" t="s">
        <v>1055</v>
      </c>
    </row>
    <row r="39" s="384" customFormat="1" ht="13.5" customHeight="1" spans="1:7">
      <c r="A39" s="402" t="s">
        <v>1021</v>
      </c>
      <c r="B39" s="403" t="s">
        <v>1024</v>
      </c>
      <c r="C39" s="430">
        <f ca="1">ROUND(C33*F20,0)</f>
        <v>21876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46301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45393</v>
      </c>
      <c r="D42" s="440"/>
      <c r="E42" s="440"/>
      <c r="F42" s="441"/>
      <c r="G42" s="464" t="s">
        <v>1692</v>
      </c>
    </row>
    <row r="43" ht="13.5" customHeight="1" spans="1:7">
      <c r="A43" s="438" t="s">
        <v>996</v>
      </c>
      <c r="B43" s="408" t="s">
        <v>1034</v>
      </c>
      <c r="C43" s="440">
        <f ca="1">ROUND(IF('数据-取费表'!B22&lt;=1,C39*F22*'数据-取费表'!B20/2,C39*(POWER((1+F22),'数据-取费表'!B20/2)-1)),0)</f>
        <v>908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167354</v>
      </c>
      <c r="D45" s="433">
        <f ca="1">C47</f>
        <v>0.003</v>
      </c>
      <c r="E45" s="434" t="s">
        <v>1062</v>
      </c>
      <c r="F45" s="448">
        <f ca="1">F27</f>
        <v>0.15</v>
      </c>
      <c r="G45" s="449" t="s">
        <v>1065</v>
      </c>
    </row>
    <row r="46" s="384" customFormat="1" ht="13.5" customHeight="1" spans="1:7">
      <c r="A46" s="438" t="s">
        <v>994</v>
      </c>
      <c r="B46" s="450" t="s">
        <v>1066</v>
      </c>
      <c r="C46" s="451">
        <f ca="1">ROUND((C33+C39)*F27,0)</f>
        <v>167354</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0.0524</v>
      </c>
      <c r="D48" s="434" t="s">
        <v>1062</v>
      </c>
      <c r="E48" s="430"/>
      <c r="F48" s="437">
        <f>F30</f>
        <v>0.055</v>
      </c>
      <c r="G48" s="435" t="s">
        <v>1068</v>
      </c>
    </row>
    <row r="49" ht="16.5" customHeight="1" spans="1:7">
      <c r="A49" s="402" t="s">
        <v>1045</v>
      </c>
      <c r="B49" s="403" t="s">
        <v>1693</v>
      </c>
      <c r="C49" s="430">
        <f ca="1">ROUND((C33+C39+C41+C45)/(1-C40-D41-D45-C48),0)</f>
        <v>1439001</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1280711</v>
      </c>
      <c r="D51" s="430"/>
      <c r="E51" s="430"/>
      <c r="F51" s="468"/>
      <c r="G51" s="435" t="s">
        <v>1076</v>
      </c>
    </row>
    <row r="52" s="383" customFormat="1" ht="16.35" spans="1:7">
      <c r="A52" s="469" t="s">
        <v>1077</v>
      </c>
      <c r="B52" s="470"/>
      <c r="C52" s="471">
        <f ca="1">C31+C51</f>
        <v>5254791</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249.73</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278</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11132</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278</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249.73</v>
      </c>
      <c r="E33" s="730">
        <f>ROUND(C33*D33/10000,0)</f>
        <v>278</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28212</v>
      </c>
      <c r="C2" s="396" t="s">
        <v>1329</v>
      </c>
      <c r="D2" s="393"/>
      <c r="E2" s="393"/>
      <c r="F2" s="393"/>
      <c r="G2" s="393"/>
    </row>
    <row r="3" s="382" customFormat="1" ht="18" customHeight="1" spans="1:7">
      <c r="A3" s="397" t="s">
        <v>2146</v>
      </c>
      <c r="B3" s="398">
        <f ca="1">ROUND(B2*10000/'数据-汇总表'!E3,0)</f>
        <v>1129700</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249.73</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249.73</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0.055</v>
      </c>
      <c r="D30" s="434" t="s">
        <v>2188</v>
      </c>
      <c r="E30" s="443"/>
      <c r="F30" s="437">
        <f>'数据-取费表'!B41</f>
        <v>0.055</v>
      </c>
      <c r="G30" s="435" t="s">
        <v>2189</v>
      </c>
    </row>
    <row r="31" ht="16.5" customHeight="1" spans="1:7">
      <c r="A31" s="452">
        <v>1</v>
      </c>
      <c r="B31" s="403" t="s">
        <v>2190</v>
      </c>
      <c r="C31" s="404">
        <f ca="1">ROUND((C5+C19+C20+C22+C27)/(1-C21-D22-D27-C30/(1+'数据-取费表'!B42)),0)</f>
        <v>28083</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110</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100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249.73</v>
      </c>
      <c r="E37" s="451">
        <f>'数据-取费表'!B35</f>
        <v>200</v>
      </c>
      <c r="F37" s="460"/>
      <c r="G37" s="462" t="s">
        <v>2201</v>
      </c>
    </row>
    <row r="38" ht="13.5" customHeight="1" spans="1:7">
      <c r="A38" s="438" t="s">
        <v>1060</v>
      </c>
      <c r="B38" s="408" t="s">
        <v>2159</v>
      </c>
      <c r="C38" s="413">
        <f>ROUND(C34*F38,0)</f>
        <v>2</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5</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5</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17</v>
      </c>
      <c r="D45" s="433">
        <f>C47</f>
        <v>0.003</v>
      </c>
      <c r="E45" s="434" t="s">
        <v>2203</v>
      </c>
      <c r="F45" s="448"/>
      <c r="G45" s="449" t="s">
        <v>2206</v>
      </c>
    </row>
    <row r="46" s="384" customFormat="1" ht="13.5" customHeight="1" spans="1:7">
      <c r="A46" s="438" t="s">
        <v>994</v>
      </c>
      <c r="B46" s="450" t="s">
        <v>2207</v>
      </c>
      <c r="C46" s="451">
        <f>ROUND((C33+C39)*F27,0)</f>
        <v>17</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0.055</v>
      </c>
      <c r="D48" s="434" t="s">
        <v>2209</v>
      </c>
      <c r="E48" s="430"/>
      <c r="F48" s="437"/>
      <c r="G48" s="435" t="s">
        <v>2210</v>
      </c>
    </row>
    <row r="49" ht="16.5" customHeight="1" spans="1:7">
      <c r="A49" s="427" t="s">
        <v>2186</v>
      </c>
      <c r="B49" s="403" t="s">
        <v>2211</v>
      </c>
      <c r="C49" s="430">
        <f ca="1">ROUND((C33+C39+C41+C45)/(1-C40-D41-D45-C48/(1+'数据-取费表'!B42)),0)</f>
        <v>145</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129</v>
      </c>
      <c r="D51" s="430"/>
      <c r="E51" s="430"/>
      <c r="F51" s="468"/>
      <c r="G51" s="435" t="s">
        <v>2218</v>
      </c>
    </row>
    <row r="52" s="383" customFormat="1" ht="16.35" spans="1:7">
      <c r="A52" s="469" t="s">
        <v>2219</v>
      </c>
      <c r="B52" s="470"/>
      <c r="C52" s="471">
        <f ca="1">C31+C51</f>
        <v>28212</v>
      </c>
      <c r="D52" s="470"/>
      <c r="E52" s="470"/>
      <c r="F52" s="470"/>
      <c r="G52" s="472"/>
    </row>
    <row r="55" ht="15" spans="2:3">
      <c r="B55" s="473" t="s">
        <v>2220</v>
      </c>
      <c r="C55" s="474"/>
    </row>
    <row r="56" spans="2:3">
      <c r="B56" s="475" t="s">
        <v>2221</v>
      </c>
      <c r="C56" s="476">
        <f ca="1">ROUND(C51/C52,3)</f>
        <v>0.005</v>
      </c>
    </row>
    <row r="57" spans="2:3">
      <c r="B57" s="475" t="s">
        <v>2222</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4" customWidth="1"/>
    <col min="2" max="2" width="37.2222222222222" style="3644" customWidth="1"/>
    <col min="3" max="3" width="11.3333333333333" style="3644" customWidth="1"/>
    <col min="4" max="4" width="31.7777777777778" style="3644" customWidth="1"/>
    <col min="5" max="5" width="0.444444444444444" style="3644" customWidth="1"/>
    <col min="6" max="7" width="13" style="3644" customWidth="1"/>
    <col min="8" max="16384" width="9" style="3644"/>
  </cols>
  <sheetData>
    <row r="1" ht="17.4"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7.4" spans="1:5">
      <c r="A3" s="3648" t="str">
        <f>IF(项目基本情况!B9="房地产市场价值","估价结果一览表（市场价值不需“结果表-1”）","估价结果一览表")</f>
        <v>估价结果一览表</v>
      </c>
      <c r="B3" s="3648"/>
      <c r="C3" s="3648"/>
      <c r="D3" s="3648"/>
      <c r="E3" s="3648"/>
    </row>
    <row r="4" ht="18.15" spans="1:5">
      <c r="A4" s="3648"/>
      <c r="B4" s="3649" t="s">
        <v>95</v>
      </c>
      <c r="C4" s="3649"/>
      <c r="D4" s="3649"/>
      <c r="E4" s="3648"/>
    </row>
    <row r="5" ht="16.35" spans="1:5">
      <c r="A5" s="3646"/>
      <c r="B5" s="3650" t="s">
        <v>96</v>
      </c>
      <c r="C5" s="3651" t="s">
        <v>97</v>
      </c>
      <c r="D5" s="3652">
        <f ca="1">结果表!H101</f>
        <v>569</v>
      </c>
      <c r="E5" s="3646"/>
    </row>
    <row r="6" ht="15.6" spans="1:5">
      <c r="A6" s="3646"/>
      <c r="B6" s="3650"/>
      <c r="C6" s="3651" t="s">
        <v>98</v>
      </c>
      <c r="D6" s="3652" t="str">
        <f ca="1">NUMBERSTRING(INT(D5*10000),2)&amp;"元整"</f>
        <v>伍佰陆拾玖万元整</v>
      </c>
      <c r="E6" s="3646"/>
    </row>
    <row r="7" ht="15.6" spans="1:5">
      <c r="A7" s="3646"/>
      <c r="B7" s="3653"/>
      <c r="C7" s="3654" t="s">
        <v>99</v>
      </c>
      <c r="D7" s="3655">
        <f ca="1">结果表!H102</f>
        <v>22778</v>
      </c>
      <c r="E7" s="3646"/>
    </row>
    <row r="8" ht="15.6" spans="1:5">
      <c r="A8" s="3646"/>
      <c r="B8" s="3656" t="str">
        <f>结果表!E103</f>
        <v>2.估价师知悉的法定优先受偿款</v>
      </c>
      <c r="C8" s="3657" t="s">
        <v>100</v>
      </c>
      <c r="D8" s="3655">
        <f>结果表!H103</f>
        <v>0</v>
      </c>
      <c r="E8" s="3646"/>
    </row>
    <row r="9" ht="15.6" spans="1:5">
      <c r="A9" s="3646"/>
      <c r="B9" s="3658"/>
      <c r="C9" s="3651" t="s">
        <v>98</v>
      </c>
      <c r="D9" s="3652" t="str">
        <f>NUMBERSTRING(INT(D8*10000),2)&amp;"元整"</f>
        <v>零元整</v>
      </c>
      <c r="E9" s="3646"/>
    </row>
    <row r="10" ht="15.6" spans="1:5">
      <c r="A10" s="3646"/>
      <c r="B10" s="3659" t="s">
        <v>101</v>
      </c>
      <c r="C10" s="3660" t="s">
        <v>102</v>
      </c>
      <c r="D10" s="3661">
        <f>结果表!H104</f>
        <v>0</v>
      </c>
      <c r="E10" s="3646"/>
    </row>
    <row r="11" ht="15.6" spans="1:5">
      <c r="A11" s="3646"/>
      <c r="B11" s="3659" t="s">
        <v>103</v>
      </c>
      <c r="C11" s="3660" t="s">
        <v>102</v>
      </c>
      <c r="D11" s="3661">
        <f>结果表!H105</f>
        <v>0</v>
      </c>
      <c r="E11" s="3646"/>
    </row>
    <row r="12" ht="15.6" spans="1:5">
      <c r="A12" s="3646"/>
      <c r="B12" s="3659" t="s">
        <v>104</v>
      </c>
      <c r="C12" s="3660" t="s">
        <v>102</v>
      </c>
      <c r="D12" s="3661">
        <f>结果表!H106</f>
        <v>0</v>
      </c>
      <c r="E12" s="3646"/>
    </row>
    <row r="13" ht="15.6" spans="1:5">
      <c r="A13" s="3646"/>
      <c r="B13" s="3662" t="str">
        <f>结果表!E107</f>
        <v>3.房地产抵押价值</v>
      </c>
      <c r="C13" s="3663" t="s">
        <v>97</v>
      </c>
      <c r="D13" s="3664">
        <f ca="1">结果表!H107</f>
        <v>569</v>
      </c>
      <c r="E13" s="3646"/>
    </row>
    <row r="14" ht="15.6" spans="1:5">
      <c r="A14" s="3646"/>
      <c r="B14" s="3650"/>
      <c r="C14" s="3651" t="s">
        <v>98</v>
      </c>
      <c r="D14" s="3652" t="str">
        <f ca="1">NUMBERSTRING(INT(D13*10000),2)&amp;"元整"</f>
        <v>伍佰陆拾玖万元整</v>
      </c>
      <c r="E14" s="3646"/>
    </row>
    <row r="15" ht="15.6" spans="1:5">
      <c r="A15" s="3646"/>
      <c r="B15" s="3653"/>
      <c r="C15" s="3654" t="s">
        <v>99</v>
      </c>
      <c r="D15" s="3665">
        <f ca="1">结果表!H108</f>
        <v>22778</v>
      </c>
      <c r="E15" s="3646"/>
    </row>
    <row r="16" ht="15.6" spans="1:5">
      <c r="A16" s="3646"/>
      <c r="B16" s="3656" t="str">
        <f>结果表!E109</f>
        <v>——</v>
      </c>
      <c r="C16" s="3663" t="s">
        <v>97</v>
      </c>
      <c r="D16" s="3666" t="str">
        <f ca="1">结果表!H109</f>
        <v>——</v>
      </c>
      <c r="E16" s="3646"/>
    </row>
    <row r="17" ht="15.6" spans="1:5">
      <c r="A17" s="3646"/>
      <c r="B17" s="3667"/>
      <c r="C17" s="3651" t="s">
        <v>98</v>
      </c>
      <c r="D17" s="3652" t="e">
        <f ca="1">NUMBERSTRING(INT(D16*10000),2)&amp;"元整"</f>
        <v>#VALUE!</v>
      </c>
      <c r="E17" s="3646"/>
    </row>
    <row r="18" ht="15.6" spans="1:5">
      <c r="A18" s="3646"/>
      <c r="B18" s="3658"/>
      <c r="C18" s="3654" t="s">
        <v>99</v>
      </c>
      <c r="D18" s="3665" t="str">
        <f ca="1">结果表!H110</f>
        <v>——</v>
      </c>
      <c r="E18" s="3646"/>
    </row>
    <row r="19" ht="15.6" spans="1:5">
      <c r="A19" s="3646"/>
      <c r="B19" s="3662" t="str">
        <f>结果表!E111</f>
        <v>——</v>
      </c>
      <c r="C19" s="3663" t="s">
        <v>97</v>
      </c>
      <c r="D19" s="3655" t="str">
        <f ca="1">结果表!H111</f>
        <v>——</v>
      </c>
      <c r="E19" s="3646"/>
    </row>
    <row r="20" ht="15.6" spans="1:5">
      <c r="A20" s="3646"/>
      <c r="B20" s="3650"/>
      <c r="C20" s="3651" t="s">
        <v>98</v>
      </c>
      <c r="D20" s="3652" t="e">
        <f ca="1">NUMBERSTRING(INT(D19*10000),2)&amp;"元整"</f>
        <v>#VALUE!</v>
      </c>
      <c r="E20" s="3646"/>
    </row>
    <row r="21" ht="16.35" spans="1:5">
      <c r="A21" s="3646"/>
      <c r="B21" s="3668"/>
      <c r="C21" s="3669" t="s">
        <v>99</v>
      </c>
      <c r="D21" s="3670" t="str">
        <f ca="1">结果表!H112</f>
        <v>——</v>
      </c>
      <c r="E21" s="3646"/>
    </row>
    <row r="22" ht="14.55" spans="1:5">
      <c r="A22" s="3646"/>
      <c r="B22" s="3671" t="s">
        <v>105</v>
      </c>
      <c r="C22" s="3646"/>
      <c r="D22" s="3646"/>
      <c r="E22" s="3646"/>
    </row>
    <row r="23" spans="1:5">
      <c r="A23" s="3646"/>
      <c r="B23" s="3646"/>
      <c r="C23" s="3646"/>
      <c r="D23" s="3646"/>
      <c r="E23" s="3646"/>
    </row>
    <row r="24" ht="17.4"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6" spans="1:9">
      <c r="A3" s="3635"/>
      <c r="B3" s="3635"/>
      <c r="C3" s="3635"/>
      <c r="D3" s="3635" t="s">
        <v>110</v>
      </c>
      <c r="E3" s="3635" t="s">
        <v>111</v>
      </c>
      <c r="F3" s="3635" t="s">
        <v>110</v>
      </c>
      <c r="G3" s="3635" t="s">
        <v>111</v>
      </c>
      <c r="H3" s="3635" t="s">
        <v>110</v>
      </c>
      <c r="I3" s="3635" t="s">
        <v>111</v>
      </c>
    </row>
    <row r="4" ht="15.6" spans="1:9">
      <c r="A4" s="3636" t="str">
        <f>项目基本情况!S2</f>
        <v>北京市房地产</v>
      </c>
      <c r="B4" s="3635">
        <f>项目基本情况!C17</f>
        <v>249.73</v>
      </c>
      <c r="C4" s="3635">
        <f>项目基本情况!C18</f>
        <v>0</v>
      </c>
      <c r="D4" s="3635" t="e">
        <f ca="1">结果表!D118</f>
        <v>#REF!</v>
      </c>
      <c r="E4" s="3635" t="e">
        <f ca="1">结果表!E118</f>
        <v>#REF!</v>
      </c>
      <c r="F4" s="3635" t="e">
        <f ca="1">结果表!F118</f>
        <v>#REF!</v>
      </c>
      <c r="G4" s="3635" t="e">
        <f ca="1">结果表!G118</f>
        <v>#REF!</v>
      </c>
      <c r="H4" s="3635">
        <f ca="1">结果表!H118</f>
        <v>569</v>
      </c>
      <c r="I4" s="3635">
        <f ca="1">结果表!I118</f>
        <v>22778</v>
      </c>
    </row>
    <row r="5" ht="30" customHeight="1" spans="1:9">
      <c r="A5" s="3635" t="s">
        <v>112</v>
      </c>
      <c r="B5" s="3635"/>
      <c r="C5" s="3635"/>
      <c r="D5" s="3635" t="e">
        <f ca="1">结果表!D119</f>
        <v>#REF!</v>
      </c>
      <c r="E5" s="3635"/>
      <c r="F5" s="3635" t="e">
        <f ca="1">结果表!F119</f>
        <v>#REF!</v>
      </c>
      <c r="G5" s="3635"/>
      <c r="H5" s="3635" t="str">
        <f ca="1">结果表!H119</f>
        <v>伍佰陆拾玖万元整</v>
      </c>
      <c r="I5" s="3635"/>
    </row>
    <row r="6" ht="15.6"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6" spans="1:9">
      <c r="A8" s="3637" t="str">
        <f>结果表!A122</f>
        <v>房地产抵押价值</v>
      </c>
      <c r="B8" s="3637"/>
      <c r="C8" s="3637"/>
      <c r="D8" s="3637">
        <f ca="1">结果表!D122</f>
        <v>569</v>
      </c>
      <c r="E8" s="3637"/>
      <c r="F8" s="3637"/>
      <c r="G8" s="3637"/>
      <c r="H8" s="3637"/>
      <c r="I8" s="3637"/>
    </row>
    <row r="9" ht="15" spans="1:9">
      <c r="A9" s="3635" t="s">
        <v>112</v>
      </c>
      <c r="B9" s="3635"/>
      <c r="C9" s="3635"/>
      <c r="D9" s="3635" t="str">
        <f ca="1">结果表!D123</f>
        <v>伍佰陆拾玖万元整</v>
      </c>
      <c r="E9" s="3635"/>
      <c r="F9" s="3635"/>
      <c r="G9" s="3635"/>
      <c r="H9" s="3635"/>
      <c r="I9" s="3635"/>
    </row>
    <row r="10" ht="15.6"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6"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ht="14.55" spans="1:9">
      <c r="A14" s="3641" t="s">
        <v>113</v>
      </c>
      <c r="B14" s="3641"/>
      <c r="C14" s="3641"/>
      <c r="D14" s="3641"/>
      <c r="E14" s="3641"/>
      <c r="F14" s="3641"/>
      <c r="G14" s="3641"/>
      <c r="H14" s="3641"/>
      <c r="I14" s="3641"/>
    </row>
    <row r="16" ht="17.4" spans="1:9">
      <c r="A16" s="3642"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3" t="s">
        <v>114</v>
      </c>
      <c r="B1" s="3613"/>
      <c r="C1" s="3613"/>
      <c r="D1" s="3613"/>
    </row>
    <row r="2" ht="17.4" spans="1:4">
      <c r="A2" s="3614" t="s">
        <v>115</v>
      </c>
      <c r="B2" s="3614"/>
      <c r="C2" s="3614"/>
      <c r="D2" s="3614"/>
    </row>
    <row r="3" ht="17.4"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7.4" spans="1:4">
      <c r="A6" s="3614" t="s">
        <v>121</v>
      </c>
      <c r="B6" s="3614"/>
      <c r="C6" s="3614"/>
      <c r="D6" s="3614"/>
    </row>
    <row r="7" ht="17.4"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4"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9"/>
      <c r="C23" s="1879"/>
      <c r="D23" s="1879"/>
    </row>
    <row r="24" spans="1:4">
      <c r="A24" s="3629"/>
      <c r="B24" s="1879"/>
      <c r="C24" s="1879"/>
      <c r="D24" s="1879"/>
    </row>
    <row r="25" ht="17.4" spans="1:1">
      <c r="A25" s="3630" t="s">
        <v>130</v>
      </c>
    </row>
    <row r="26" ht="17.4" spans="1:1">
      <c r="A26" s="3631"/>
    </row>
    <row r="27" ht="17.4" spans="1:1">
      <c r="A27" s="3631" t="s">
        <v>131</v>
      </c>
    </row>
    <row r="30" ht="17.4"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9" customWidth="1"/>
    <col min="3" max="10" width="12.4444444444444" style="3609" customWidth="1"/>
    <col min="11" max="16384" width="9" style="3609"/>
  </cols>
  <sheetData>
    <row r="1" ht="17.4" spans="1:10">
      <c r="A1" s="3610" t="s">
        <v>133</v>
      </c>
      <c r="B1" s="3611"/>
      <c r="C1" s="3611"/>
      <c r="D1" s="3611"/>
      <c r="E1" s="3611"/>
      <c r="F1" s="3611"/>
      <c r="G1" s="3611"/>
      <c r="H1" s="3611"/>
      <c r="I1" s="3611"/>
      <c r="J1" s="3611"/>
    </row>
    <row r="2" ht="17.4"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5" customWidth="1"/>
    <col min="2" max="16384" width="14.4444444444444" style="3534"/>
  </cols>
  <sheetData>
    <row r="1" s="3584" customFormat="1" ht="17.4"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4" spans="1:3">
      <c r="A15" s="3595" t="s">
        <v>146</v>
      </c>
      <c r="B15" s="3596" t="s">
        <v>147</v>
      </c>
      <c r="C15" s="3597"/>
    </row>
    <row r="16" ht="14.4" spans="1:3">
      <c r="A16" s="3598"/>
      <c r="B16" s="3596" t="s">
        <v>148</v>
      </c>
      <c r="C16" s="3597"/>
    </row>
    <row r="17" ht="14.4" spans="1:3">
      <c r="A17" s="3598"/>
      <c r="B17" s="3599" t="s">
        <v>149</v>
      </c>
      <c r="C17" s="3599" t="s">
        <v>146</v>
      </c>
    </row>
    <row r="18" ht="14.4" spans="1:3">
      <c r="A18" s="3598"/>
      <c r="B18" s="3599"/>
      <c r="C18" s="3599" t="s">
        <v>150</v>
      </c>
    </row>
    <row r="19" ht="14.4" spans="1:3">
      <c r="A19" s="3598"/>
      <c r="B19" s="3599"/>
      <c r="C19" s="3599" t="s">
        <v>151</v>
      </c>
    </row>
    <row r="20" ht="14.4" spans="1:3">
      <c r="A20" s="3600"/>
      <c r="B20" s="3601" t="s">
        <v>152</v>
      </c>
      <c r="C20" s="3597"/>
    </row>
    <row r="21" ht="14.4" spans="1:3">
      <c r="A21" s="3602" t="s">
        <v>153</v>
      </c>
      <c r="B21" s="3603"/>
      <c r="C21" s="3604"/>
    </row>
    <row r="22" ht="14.4" spans="1:3">
      <c r="A22" s="3605" t="s">
        <v>154</v>
      </c>
      <c r="B22" s="3601" t="s">
        <v>155</v>
      </c>
      <c r="C22" s="3597"/>
    </row>
    <row r="23" ht="14.4" spans="1:3">
      <c r="A23" s="3605"/>
      <c r="B23" s="3601" t="s">
        <v>156</v>
      </c>
      <c r="C23" s="3597"/>
    </row>
    <row r="24" ht="14.4" spans="1:3">
      <c r="A24" s="3605"/>
      <c r="B24" s="3601" t="s">
        <v>157</v>
      </c>
      <c r="C24" s="3597"/>
    </row>
    <row r="25" ht="14.4" spans="1:3">
      <c r="A25" s="3605"/>
      <c r="B25" s="3599" t="s">
        <v>158</v>
      </c>
      <c r="C25" s="3599" t="s">
        <v>159</v>
      </c>
    </row>
    <row r="26" ht="14.4" spans="1:3">
      <c r="A26" s="3605"/>
      <c r="B26" s="3599"/>
      <c r="C26" s="3599" t="s">
        <v>160</v>
      </c>
    </row>
    <row r="27" ht="14.4" spans="1:3">
      <c r="A27" s="3605"/>
      <c r="B27" s="3599"/>
      <c r="C27" s="3599" t="s">
        <v>161</v>
      </c>
    </row>
    <row r="28" ht="14.4" spans="1:3">
      <c r="A28" s="3605"/>
      <c r="B28" s="3599"/>
      <c r="C28" s="3599" t="s">
        <v>162</v>
      </c>
    </row>
    <row r="29" ht="14.4" spans="1:3">
      <c r="A29" s="3605"/>
      <c r="B29" s="3599"/>
      <c r="C29" s="3599" t="s">
        <v>163</v>
      </c>
    </row>
    <row r="30" ht="14.4" spans="1:3">
      <c r="A30" s="3605"/>
      <c r="B30" s="3599"/>
      <c r="C30" s="3599" t="s">
        <v>164</v>
      </c>
    </row>
    <row r="31" ht="14.4" spans="1:3">
      <c r="A31" s="3605"/>
      <c r="B31" s="3599"/>
      <c r="C31" s="3599" t="s">
        <v>165</v>
      </c>
    </row>
    <row r="32" ht="14.4" spans="1:3">
      <c r="A32" s="3605"/>
      <c r="B32" s="3599"/>
      <c r="C32" s="3599" t="s">
        <v>166</v>
      </c>
    </row>
    <row r="33" ht="14.4" spans="1:3">
      <c r="A33" s="3605"/>
      <c r="B33" s="3599"/>
      <c r="C33" s="3599" t="s">
        <v>167</v>
      </c>
    </row>
    <row r="34" spans="1:1">
      <c r="A34" s="3606" t="s">
        <v>168</v>
      </c>
    </row>
    <row r="37" spans="1:1">
      <c r="A37" s="3606" t="s">
        <v>169</v>
      </c>
    </row>
    <row r="38" ht="14.4" spans="1:1">
      <c r="A38" s="3607" t="s">
        <v>170</v>
      </c>
    </row>
    <row r="39" ht="14.4" spans="1:1">
      <c r="A39" s="3607" t="s">
        <v>171</v>
      </c>
    </row>
    <row r="40" ht="14.4" spans="1:1">
      <c r="A40" s="3607" t="s">
        <v>172</v>
      </c>
    </row>
    <row r="41" ht="14.4" spans="1:1">
      <c r="A41" s="3608" t="s">
        <v>173</v>
      </c>
    </row>
    <row r="42" ht="14.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111111111111" style="3553" customWidth="1"/>
    <col min="6" max="6" width="35.4444444444444" style="3553" customWidth="1"/>
    <col min="7" max="7" width="31" style="3553" customWidth="1"/>
    <col min="8" max="8" width="37.4444444444444"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44972</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2023-02-15T08:01:50Z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