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<sst xmlns="http://schemas.openxmlformats.org/spreadsheetml/2006/main" count="7848" uniqueCount="2760">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</sst>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176" formatCode="0_ ;[Red]\-0\ "/>
    <numFmt numFmtId="42" formatCode="_ &quot;￥&quot;* #,##0_ ;_ &quot;￥&quot;* \-#,##0_ ;_ &quot;￥&quot;* &quot;-&quot;_ ;_ @_ "/>
    <numFmt numFmtId="177" formatCode="0.000_ "/>
    <numFmt numFmtId="41" formatCode="_ * #,##0_ ;_ * \-#,##0_ ;_ * &quot;-&quot;_ ;_ @_ "/>
    <numFmt numFmtId="43" formatCode="_ * #,##0.00_ ;_ * \-#,##0.00_ ;_ * &quot;-&quot;??_ ;_ @_ "/>
    <numFmt numFmtId="178" formatCode="yyyy&quot;年&quot;m&quot;月&quot;;@"/>
    <numFmt numFmtId="179" formatCode="[DBNum1][$-804]yyyy&quot;年&quot;m&quot;月&quot;d&quot;日&quot;;@"/>
    <numFmt numFmtId="180" formatCode="yyyy/m/d;@"/>
    <numFmt numFmtId="181" formatCode="0_ "/>
    <numFmt numFmtId="182" formatCode="0.00_ "/>
    <numFmt numFmtId="183" formatCode="0_);[Red]\(0\)"/>
    <numFmt numFmtId="184" formatCode="0.000%"/>
    <numFmt numFmtId="185" formatCode="0.0%"/>
    <numFmt numFmtId="186" formatCode="0.0_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i/>
      <sz val="11"/>
      <color rgb="FF7F7F7F"/>
      <name val="宋体"/>
      <charset val="0"/>
      <scheme val="minor"/>
    </font>
    <font>
      <sz val="11"/>
      <color rgb="FF3F3F76"/>
      <name val="宋体"/>
      <charset val="0"/>
      <scheme val="minor"/>
    </font>
    <font>
      <sz val="11"/>
      <color rgb="FF9C0006"/>
      <name val="宋体"/>
      <charset val="0"/>
      <scheme val="minor"/>
    </font>
    <font>
      <sz val="12"/>
      <color theme="1"/>
      <name val="楷体_GB2312"/>
      <charset val="134"/>
    </font>
    <font>
      <b/>
      <sz val="11"/>
      <color theme="1"/>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b/>
      <sz val="14"/>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6"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rgb="FFF2F2F2"/>
        <bgColor indexed="64"/>
      </patternFill>
    </fill>
    <fill>
      <patternFill patternType="solid">
        <fgColor theme="9"/>
        <bgColor indexed="64"/>
      </patternFill>
    </fill>
    <fill>
      <patternFill patternType="solid">
        <fgColor theme="4"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7"/>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0" borderId="178" applyNumberFormat="0" applyFont="0" applyAlignment="0" applyProtection="0">
      <alignment vertical="center"/>
    </xf>
    <xf numFmtId="0" fontId="0" fillId="0" borderId="0"/>
    <xf numFmtId="0" fontId="150" fillId="33"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5" fillId="0" borderId="0">
      <alignment vertical="center"/>
    </xf>
    <xf numFmtId="0" fontId="162" fillId="0" borderId="179" applyNumberFormat="0" applyFill="0" applyAlignment="0" applyProtection="0">
      <alignment vertical="center"/>
    </xf>
    <xf numFmtId="0" fontId="163" fillId="0" borderId="179" applyNumberFormat="0" applyFill="0" applyAlignment="0" applyProtection="0">
      <alignment vertical="center"/>
    </xf>
    <xf numFmtId="0" fontId="150" fillId="29" borderId="0" applyNumberFormat="0" applyBorder="0" applyAlignment="0" applyProtection="0">
      <alignment vertical="center"/>
    </xf>
    <xf numFmtId="0" fontId="159" fillId="0" borderId="180" applyNumberFormat="0" applyFill="0" applyAlignment="0" applyProtection="0">
      <alignment vertical="center"/>
    </xf>
    <xf numFmtId="0" fontId="150" fillId="11" borderId="0" applyNumberFormat="0" applyBorder="0" applyAlignment="0" applyProtection="0">
      <alignment vertical="center"/>
    </xf>
    <xf numFmtId="0" fontId="165" fillId="37" borderId="182" applyNumberFormat="0" applyAlignment="0" applyProtection="0">
      <alignment vertical="center"/>
    </xf>
    <xf numFmtId="0" fontId="166" fillId="37" borderId="176" applyNumberFormat="0" applyAlignment="0" applyProtection="0">
      <alignment vertical="center"/>
    </xf>
    <xf numFmtId="0" fontId="168" fillId="41" borderId="183" applyNumberFormat="0" applyAlignment="0" applyProtection="0">
      <alignment vertical="center"/>
    </xf>
    <xf numFmtId="0" fontId="164" fillId="0" borderId="181" applyNumberFormat="0" applyFill="0" applyAlignment="0" applyProtection="0">
      <alignment vertical="center"/>
    </xf>
    <xf numFmtId="0" fontId="155" fillId="0" borderId="0">
      <alignment vertical="center"/>
    </xf>
    <xf numFmtId="0" fontId="151" fillId="42" borderId="0" applyNumberFormat="0" applyBorder="0" applyAlignment="0" applyProtection="0">
      <alignment vertical="center"/>
    </xf>
    <xf numFmtId="0" fontId="150" fillId="43" borderId="0" applyNumberFormat="0" applyBorder="0" applyAlignment="0" applyProtection="0">
      <alignment vertical="center"/>
    </xf>
    <xf numFmtId="0" fontId="156" fillId="0" borderId="177" applyNumberFormat="0" applyFill="0" applyAlignment="0" applyProtection="0">
      <alignment vertical="center"/>
    </xf>
    <xf numFmtId="0" fontId="169" fillId="44" borderId="0" applyNumberFormat="0" applyBorder="0" applyAlignment="0" applyProtection="0">
      <alignment vertical="center"/>
    </xf>
    <xf numFmtId="0" fontId="0" fillId="0" borderId="0">
      <alignment vertical="center"/>
    </xf>
    <xf numFmtId="0" fontId="0" fillId="0" borderId="0">
      <alignment vertical="center"/>
    </xf>
    <xf numFmtId="0" fontId="167" fillId="40" borderId="0" applyNumberFormat="0" applyBorder="0" applyAlignment="0" applyProtection="0">
      <alignment vertical="center"/>
    </xf>
    <xf numFmtId="0" fontId="155" fillId="0" borderId="0">
      <alignment vertical="center"/>
    </xf>
    <xf numFmtId="0" fontId="151" fillId="28" borderId="0" applyNumberFormat="0" applyBorder="0" applyAlignment="0" applyProtection="0">
      <alignment vertical="center"/>
    </xf>
    <xf numFmtId="0" fontId="150" fillId="22" borderId="0" applyNumberFormat="0" applyBorder="0" applyAlignment="0" applyProtection="0">
      <alignment vertical="center"/>
    </xf>
    <xf numFmtId="0" fontId="151" fillId="39" borderId="0" applyNumberFormat="0" applyBorder="0" applyAlignment="0" applyProtection="0">
      <alignment vertical="center"/>
    </xf>
    <xf numFmtId="0" fontId="151" fillId="25" borderId="0" applyNumberFormat="0" applyBorder="0" applyAlignment="0" applyProtection="0">
      <alignment vertical="center"/>
    </xf>
    <xf numFmtId="0" fontId="151" fillId="36" borderId="0" applyNumberFormat="0" applyBorder="0" applyAlignment="0" applyProtection="0">
      <alignment vertical="center"/>
    </xf>
    <xf numFmtId="0" fontId="151" fillId="45" borderId="0" applyNumberFormat="0" applyBorder="0" applyAlignment="0" applyProtection="0">
      <alignment vertical="center"/>
    </xf>
    <xf numFmtId="0" fontId="150" fillId="24" borderId="0" applyNumberFormat="0" applyBorder="0" applyAlignment="0" applyProtection="0">
      <alignment vertical="center"/>
    </xf>
    <xf numFmtId="0" fontId="0" fillId="0" borderId="0">
      <alignment vertical="center"/>
    </xf>
    <xf numFmtId="0" fontId="150" fillId="47" borderId="0" applyNumberFormat="0" applyBorder="0" applyAlignment="0" applyProtection="0">
      <alignment vertical="center"/>
    </xf>
    <xf numFmtId="0" fontId="151" fillId="32" borderId="0" applyNumberFormat="0" applyBorder="0" applyAlignment="0" applyProtection="0">
      <alignment vertical="center"/>
    </xf>
    <xf numFmtId="0" fontId="151" fillId="46" borderId="0" applyNumberFormat="0" applyBorder="0" applyAlignment="0" applyProtection="0">
      <alignment vertical="center"/>
    </xf>
    <xf numFmtId="0" fontId="150" fillId="35" borderId="0" applyNumberFormat="0" applyBorder="0" applyAlignment="0" applyProtection="0">
      <alignment vertical="center"/>
    </xf>
    <xf numFmtId="0" fontId="0" fillId="0" borderId="0">
      <alignment vertical="center"/>
    </xf>
    <xf numFmtId="0" fontId="151" fillId="15" borderId="0" applyNumberFormat="0" applyBorder="0" applyAlignment="0" applyProtection="0">
      <alignment vertical="center"/>
    </xf>
    <xf numFmtId="0" fontId="150" fillId="9" borderId="0" applyNumberFormat="0" applyBorder="0" applyAlignment="0" applyProtection="0">
      <alignment vertical="center"/>
    </xf>
    <xf numFmtId="0" fontId="150" fillId="38" borderId="0" applyNumberFormat="0" applyBorder="0" applyAlignment="0" applyProtection="0">
      <alignment vertical="center"/>
    </xf>
    <xf numFmtId="0" fontId="151" fillId="31" borderId="0" applyNumberFormat="0" applyBorder="0" applyAlignment="0" applyProtection="0">
      <alignment vertical="center"/>
    </xf>
    <xf numFmtId="0" fontId="150" fillId="34"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5"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7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7" fontId="20" fillId="0" borderId="0" xfId="21" applyNumberFormat="1" applyFont="1" applyAlignment="1">
      <alignment horizontal="left" vertical="center"/>
    </xf>
    <xf numFmtId="177"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xf>
    <xf numFmtId="185"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protection locked="0"/>
    </xf>
    <xf numFmtId="185"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5"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5"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77"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5"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63" fillId="0" borderId="7" xfId="0" applyNumberFormat="1" applyFont="1" applyFill="1" applyBorder="1" applyAlignment="1" applyProtection="1">
      <alignment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3" fontId="128" fillId="0" borderId="7" xfId="62" applyNumberFormat="1" applyFont="1" applyFill="1" applyBorder="1" applyAlignment="1">
      <alignment horizontal="left" vertical="center"/>
    </xf>
    <xf numFmtId="193"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1"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9"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估价对象为北京市房地产，为所有。根据《国有土地使用证》[]，估价对象（分摊）出让国有建设用地使用权面积为0平方米，建筑面积为249.73平方米。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估价对象为北京市房地产,属开发建设的，该项目尚在开发建设中。根据《国有土地使用证》[]，估价对象（分摊）出让国有建设用地使用权面积为0平方米，规划建筑面积为249.73平方米。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569</v>
      </c>
    </row>
    <row r="21" s="3689" customFormat="1" spans="1:2">
      <c r="A21" s="3697" t="s">
        <v>21</v>
      </c>
      <c r="B21" s="3698">
        <f ca="1">'预评函-2'!D7</f>
        <v>22768</v>
      </c>
    </row>
    <row r="22" s="3689" customFormat="1" spans="1:2">
      <c r="A22" s="3697" t="s">
        <v>22</v>
      </c>
      <c r="B22" s="3698" t="str">
        <f ca="1">'预评函-2'!D6</f>
        <v>伍佰陆拾玖万元整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569</v>
      </c>
    </row>
    <row r="31" s="3689" customFormat="1" spans="1:2">
      <c r="A31" s="3697" t="s">
        <v>31</v>
      </c>
      <c r="B31" s="3698">
        <f ca="1">'预评函-2'!D15</f>
        <v>22768</v>
      </c>
    </row>
    <row r="32" s="3689" customFormat="1" spans="1:2">
      <c r="A32" s="3697" t="s">
        <v>32</v>
      </c>
      <c r="B32" s="3698" t="str">
        <f ca="1">'预评函-2'!D14</f>
        <v>伍佰陆拾玖万元整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249.73</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249.73</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249.73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249.73</v>
      </c>
      <c r="H5" s="3240">
        <f t="shared" ref="H5:AT5" si="0">SUM(H13:H656)</f>
        <v>249.73</v>
      </c>
      <c r="I5" s="3240">
        <f t="shared" si="0"/>
        <v>249.73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249.73</v>
      </c>
      <c r="BA5" s="3300">
        <f t="shared" si="1"/>
        <v>249.73</v>
      </c>
      <c r="BB5" s="3300">
        <f t="shared" si="1"/>
        <v>249.73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249.73</v>
      </c>
      <c r="H13" s="3243">
        <f>SUMIF(I$12:AB$12,"总值",I13:AB13)</f>
        <v>249.73</v>
      </c>
      <c r="I13" s="3271">
        <v>249.73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249.73</v>
      </c>
      <c r="BA13" s="3240">
        <f>SUM(BB13:BK13)</f>
        <v>249.73</v>
      </c>
      <c r="BB13" s="3240">
        <f>IF($D13="是",I13-J13,0)</f>
        <v>249.73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249.73</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249.73</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249.73</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249.73</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249.73</v>
      </c>
      <c r="F19" s="3178">
        <f>'数据-基础表'!I13</f>
        <v>249.73</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249.73</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249.73</v>
      </c>
      <c r="F27" s="3185">
        <f>IF(SUM(F19:F26)=E8,SUM(F19:F26),"地上面积有误")</f>
        <v>249.73</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249.73</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249.73</v>
      </c>
      <c r="F31" s="3196">
        <f>F27+F30</f>
        <v>249.73</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25" activePane="bottomRight" state="frozen"/>
      <selection/>
      <selection pane="topRight"/>
      <selection pane="bottomLeft"/>
      <selection pane="bottomRight" activeCell="I49" sqref="I49"/>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249.73</v>
      </c>
      <c r="L6" s="3049">
        <v>4000</v>
      </c>
      <c r="M6" s="3050">
        <f t="shared" ref="M6:M14" si="0">ROUND(K6*L6/10000,0)</f>
        <v>100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417.2981</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249.73</v>
      </c>
      <c r="L16" s="3059">
        <f>ROUND(M16*10000/SUM(K6:K14),0)</f>
        <v>4004</v>
      </c>
      <c r="M16" s="3059">
        <f>SUM(M6:M14)</f>
        <v>100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49946</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249.73</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569</v>
      </c>
      <c r="C5" s="2840">
        <f ca="1">IF(B5=D14,结果表!H102,ROUND(B5*10000/$B$1,0))</f>
        <v>22768</v>
      </c>
      <c r="D5" s="2840" t="e">
        <f ca="1">ROUND(B5*10000/$B$2,0)</f>
        <v>#DIV/0!</v>
      </c>
      <c r="E5" s="2841"/>
      <c r="F5" s="2842"/>
      <c r="G5" s="2842"/>
      <c r="H5" s="2843"/>
      <c r="I5" s="2843"/>
      <c r="J5" s="2843"/>
      <c r="K5" s="2843"/>
    </row>
    <row r="6" ht="15.6" spans="1:11">
      <c r="A6" s="2840" t="s">
        <v>748</v>
      </c>
      <c r="B6" s="2840">
        <f ca="1">SUM(G14:G23)</f>
        <v>569</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249.73</v>
      </c>
      <c r="C14" s="2852"/>
      <c r="D14" s="2852">
        <f ca="1">结果表!H118</f>
        <v>569</v>
      </c>
      <c r="E14" s="2852">
        <f ca="1">结果表!I118</f>
        <v>22768</v>
      </c>
      <c r="F14" s="2852" t="e">
        <f ca="1">ROUND(D14*10000/C14,0)</f>
        <v>#DIV/0!</v>
      </c>
      <c r="G14" s="2852">
        <f ca="1">D14</f>
        <v>569</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63" sqref="N63"/>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249.73</v>
      </c>
      <c r="M18" s="2126">
        <f>IF(C1="",'数据-汇总表'!E3,SUMIF(项目类型,C1,'数据-汇总表'!E17:E26))</f>
        <v>249.73</v>
      </c>
    </row>
    <row r="19" ht="14.4" spans="1:13">
      <c r="A19" s="2518" t="s">
        <v>799</v>
      </c>
      <c r="B19" s="2519" t="s">
        <v>800</v>
      </c>
      <c r="C19" s="2520">
        <f ca="1">SUMIF(INDIRECT("'"&amp;C4&amp;"'"&amp;"!A:A"),结果表!B19,INDIRECT("'"&amp;C4&amp;"'"&amp;"!B:B"))</f>
        <v>669.4512</v>
      </c>
      <c r="D19" s="1531">
        <f ca="1">SUMIF(INDIRECT("'"&amp;D4&amp;"'"&amp;"!A:A"),结果表!B19,INDIRECT("'"&amp;D4&amp;"'"&amp;"!B:B"))</f>
        <v>417.2981</v>
      </c>
      <c r="E19" s="2518" t="s">
        <v>801</v>
      </c>
      <c r="F19" s="2519" t="s">
        <v>800</v>
      </c>
      <c r="G19" s="2521">
        <f ca="1">ROUND(C19*$C$18+D19*$D$18,0)</f>
        <v>569</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0.604251732754115</v>
      </c>
      <c r="E22" s="1050"/>
      <c r="F22" s="1050"/>
      <c r="G22" s="1050"/>
      <c r="H22" s="1050"/>
      <c r="I22" s="1050"/>
    </row>
    <row r="23" ht="15.15" spans="1:10">
      <c r="A23" s="2491"/>
      <c r="B23" s="2491"/>
      <c r="C23" s="2491"/>
      <c r="D23" s="2491"/>
      <c r="E23" s="1050"/>
      <c r="F23" s="1050"/>
      <c r="G23" s="1050"/>
      <c r="H23" s="1050"/>
      <c r="I23" s="1050"/>
      <c r="J23" s="1006">
        <f ca="1">G20*B118</f>
        <v>5685852.64</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569</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569</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569</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30</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30</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30</v>
      </c>
      <c r="E54" s="2192" t="s">
        <v>872</v>
      </c>
      <c r="F54" s="2628">
        <f>'数据-取费表'!B41</f>
        <v>0.056</v>
      </c>
      <c r="G54" s="2629"/>
      <c r="H54" s="2631"/>
      <c r="I54" s="2670"/>
      <c r="J54" s="650">
        <v>3</v>
      </c>
      <c r="K54" s="650" t="s">
        <v>873</v>
      </c>
      <c r="L54" s="650"/>
      <c r="M54" s="2671">
        <f ca="1" t="shared" si="0"/>
        <v>322</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322</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327</v>
      </c>
      <c r="O57" s="2680"/>
      <c r="P57" s="2681">
        <f ca="1">N57/M49</f>
        <v>0.57469244288225</v>
      </c>
    </row>
    <row r="58" ht="25.2" spans="1:15">
      <c r="A58" s="2627" t="s">
        <v>863</v>
      </c>
      <c r="B58" s="2159" t="s">
        <v>882</v>
      </c>
      <c r="C58" s="2160"/>
      <c r="D58" s="2282">
        <f ca="1">IF(H58="转让取得",C81,C97)</f>
        <v>322</v>
      </c>
      <c r="E58" s="2182" t="s">
        <v>877</v>
      </c>
      <c r="F58" s="2126" t="s">
        <v>124</v>
      </c>
      <c r="G58" s="2629"/>
      <c r="H58" s="2633"/>
      <c r="I58" s="2644"/>
      <c r="J58" s="650"/>
      <c r="K58" s="650"/>
      <c r="L58" s="2677" t="s">
        <v>883</v>
      </c>
      <c r="M58" s="2682"/>
      <c r="N58" s="2683" t="str">
        <f ca="1">NUMBERSTRING(INT(N57*10000),2)&amp;"元整"</f>
        <v>叁佰贰拾柒万元整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242</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贰佰肆拾贰万元整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9690</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542</v>
      </c>
      <c r="D63" s="661"/>
      <c r="E63" s="2651"/>
      <c r="F63" s="2644"/>
      <c r="G63" s="2644"/>
      <c r="H63" s="2645"/>
      <c r="I63" s="1050"/>
      <c r="J63" s="2692" t="s">
        <v>893</v>
      </c>
      <c r="K63" s="2692" t="s">
        <v>894</v>
      </c>
      <c r="L63" s="2692">
        <f ca="1">IF(M49&gt;10000,M49*0.5%,IF(AND(M49&gt;1000,M49&lt;=10000),M49*1%,IF(AND(M49&gt;100,M49&lt;=1000),M49*3%,IF(AND(M49&gt;10,M49&lt;=100),M49*5%,M49*8%))))</f>
        <v>17.07</v>
      </c>
      <c r="M63" s="2126">
        <f ca="1">ROUND(L63,1)</f>
        <v>17.1</v>
      </c>
      <c r="N63" s="2693"/>
      <c r="Z63" s="2488"/>
      <c r="AI63" s="2489"/>
    </row>
    <row r="64" ht="14.25" customHeight="1" spans="1:35">
      <c r="A64" s="2652" t="s">
        <v>895</v>
      </c>
      <c r="B64" s="584" t="s">
        <v>896</v>
      </c>
      <c r="C64" s="2653">
        <f ca="1">D45</f>
        <v>569</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3.983</v>
      </c>
      <c r="M64" s="2126">
        <f ca="1" t="shared" ref="M64:M65" si="1">ROUND(L64,1)</f>
        <v>4</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2.845</v>
      </c>
      <c r="M65" s="2126">
        <f ca="1" t="shared" si="1"/>
        <v>2.8</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2.845</v>
      </c>
      <c r="M66" s="2126">
        <f ca="1">IF(L66&gt;0.5,0.5,ROUND(L66,0))</f>
        <v>0.5</v>
      </c>
      <c r="N66" s="2297" t="s">
        <v>906</v>
      </c>
      <c r="Z66" s="2488"/>
      <c r="AI66" s="2489"/>
    </row>
    <row r="67" ht="14.25" customHeight="1" spans="1:35">
      <c r="A67" s="2649" t="s">
        <v>907</v>
      </c>
      <c r="B67" s="2696" t="s">
        <v>908</v>
      </c>
      <c r="C67" s="2699">
        <f ca="1">C63-C66</f>
        <v>542</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1.6725</v>
      </c>
      <c r="M67" s="2126">
        <f ca="1">ROUND(L67*0.9,1)</f>
        <v>1.5</v>
      </c>
      <c r="N67" s="2693"/>
      <c r="Z67" s="2488"/>
      <c r="AI67" s="2489"/>
    </row>
    <row r="68" ht="14.25" customHeight="1" spans="1:35">
      <c r="A68" s="2700" t="s">
        <v>910</v>
      </c>
      <c r="B68" s="2701" t="s">
        <v>911</v>
      </c>
      <c r="C68" s="2702">
        <f ca="1">IF(C67&lt;=0,0,ROUND(C67*D68,0))</f>
        <v>30</v>
      </c>
      <c r="D68" s="859">
        <f>'数据-取费表'!B41</f>
        <v>0.056</v>
      </c>
      <c r="E68" s="2703"/>
      <c r="F68" s="2644"/>
      <c r="G68" s="2644"/>
      <c r="H68" s="2645"/>
      <c r="I68" s="1050"/>
      <c r="J68" s="2692"/>
      <c r="K68" s="2692" t="s">
        <v>912</v>
      </c>
      <c r="L68" s="2692">
        <f ca="1">IF(M49&gt;10000,M49*0.5%,IF(AND(M49&gt;5000,M49&lt;=10000),M49*1%,IF(AND(M49&gt;1000,M49&lt;=5000),M49*2%,IF(AND(M49&gt;200,M49&lt;=1000),M49*3%,M49*5%))))</f>
        <v>17.07</v>
      </c>
      <c r="M68" s="2126">
        <f ca="1">ROUND(L68,1)</f>
        <v>17.1</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43</v>
      </c>
      <c r="N69" s="2805">
        <f ca="1">M69/M49</f>
        <v>0.0755711775043937</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542</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539</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179.666666666667</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322</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542</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539</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179.666666666667</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322</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569</v>
      </c>
      <c r="I101" s="1050"/>
    </row>
    <row r="102" ht="18.75" customHeight="1" spans="1:9">
      <c r="A102" s="2764" t="s">
        <v>961</v>
      </c>
      <c r="B102" s="2765" t="s">
        <v>960</v>
      </c>
      <c r="C102" s="2758">
        <f ca="1">IF(D32="楼面单价",ROUND(C19,0),C19)</f>
        <v>669</v>
      </c>
      <c r="D102" s="2759">
        <f ca="1">IF(D32="楼面单价",ROUND(D19,0),D19)</f>
        <v>417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569</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569</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249.73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569</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伍佰陆拾玖万元整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569</v>
      </c>
      <c r="E122" s="2802"/>
      <c r="F122" s="2802"/>
      <c r="G122" s="2802"/>
      <c r="H122" s="2802"/>
      <c r="I122" s="2803"/>
      <c r="AA122" s="1006"/>
    </row>
    <row r="123" ht="18.75" customHeight="1" spans="1:27">
      <c r="A123" s="2504" t="s">
        <v>976</v>
      </c>
      <c r="B123" s="2504"/>
      <c r="C123" s="2504"/>
      <c r="D123" s="2799" t="str">
        <f ca="1">NUMBERSTRING(INT(D122*10000),2)&amp;"元整"</f>
        <v>伍佰陆拾玖万元整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68247</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2732831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49946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49946</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249.73</v>
      </c>
      <c r="E19" s="404">
        <f>'数据-取费表'!B31</f>
        <v>200</v>
      </c>
      <c r="F19" s="429"/>
      <c r="G19" s="981"/>
    </row>
    <row r="20" s="384" customFormat="1" ht="13.5" customHeight="1" spans="1:7">
      <c r="A20" s="402" t="s">
        <v>1023</v>
      </c>
      <c r="B20" s="403" t="s">
        <v>1024</v>
      </c>
      <c r="C20" s="430">
        <f ca="1">ROUND((C5+C19)*F20,0)</f>
        <v>999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4273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4232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41</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7643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7643</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68118</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110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100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249.73</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5</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5</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0.003</v>
      </c>
      <c r="E45" s="434" t="s">
        <v>1062</v>
      </c>
      <c r="F45" s="448">
        <f ca="1">F27</f>
        <v>0.15</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145</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129</v>
      </c>
      <c r="D51" s="430"/>
      <c r="E51" s="430"/>
      <c r="F51" s="468"/>
      <c r="G51" s="435" t="s">
        <v>1076</v>
      </c>
    </row>
    <row r="52" s="383" customFormat="1" ht="16.35" spans="1:7">
      <c r="A52" s="469" t="s">
        <v>1077</v>
      </c>
      <c r="B52" s="470"/>
      <c r="C52" s="471">
        <f ca="1">C31+C51</f>
        <v>68247</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56930</v>
      </c>
      <c r="C2" s="2402" t="s">
        <v>1082</v>
      </c>
      <c r="D2" s="2402"/>
      <c r="E2" s="2400"/>
      <c r="F2" s="2400"/>
      <c r="G2" s="2400"/>
      <c r="H2" s="2400"/>
      <c r="I2" s="2400"/>
      <c r="J2" s="2400"/>
      <c r="K2" s="2400"/>
    </row>
    <row r="3" ht="18" customHeight="1" spans="1:11">
      <c r="A3" s="397" t="s">
        <v>987</v>
      </c>
      <c r="B3" s="398">
        <f ca="1">ROUND(B2*10000/IF(C1="",'数据-汇总表'!E3,INDIRECT("'数据-取费表'!K"&amp;$K$1)),0)</f>
        <v>2279662</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249.73</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249.73</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-49941</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249.73</v>
      </c>
      <c r="E20" s="1061">
        <f>'数据-取费表'!B28</f>
        <v>200</v>
      </c>
      <c r="F20" s="2426"/>
      <c r="G20" s="2282"/>
      <c r="H20" s="2433"/>
      <c r="I20" s="2433"/>
      <c r="J20" s="2433"/>
      <c r="K20" s="2478"/>
    </row>
    <row r="21" s="2391" customFormat="1" ht="13.5" customHeight="1" spans="1:11">
      <c r="A21" s="2409" t="s">
        <v>895</v>
      </c>
      <c r="B21" s="2434" t="s">
        <v>1113</v>
      </c>
      <c r="C21" s="2435">
        <f ca="1">C16+C17+C18</f>
        <v>-49941</v>
      </c>
      <c r="D21" s="2436"/>
      <c r="E21" s="2437"/>
      <c r="F21" s="2437"/>
      <c r="G21" s="2168" t="s">
        <v>1114</v>
      </c>
      <c r="H21" s="2283"/>
      <c r="I21" s="2283"/>
      <c r="J21" s="2283"/>
      <c r="K21" s="2284"/>
    </row>
    <row r="22" s="2391" customFormat="1" ht="13.5" customHeight="1" spans="1:11">
      <c r="A22" s="2409" t="s">
        <v>899</v>
      </c>
      <c r="B22" s="2434" t="s">
        <v>1115</v>
      </c>
      <c r="C22" s="2435">
        <f ca="1">ROUND(C21*F22,0)</f>
        <v>-999</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-7641</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-7641</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56930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0" sqref="C30:C33"/>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417.2981</v>
      </c>
      <c r="C2" s="2103" t="s">
        <v>1137</v>
      </c>
      <c r="D2" s="2104">
        <f ca="1">C40+J29+L46</f>
        <v>4172981</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246417</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246109</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249.73</v>
      </c>
      <c r="G7" s="799"/>
      <c r="H7" s="2133"/>
      <c r="I7" s="2129"/>
      <c r="J7" s="2134"/>
      <c r="K7" s="2131"/>
      <c r="L7" s="2126" t="s">
        <v>1152</v>
      </c>
      <c r="M7" s="2127">
        <f ca="1">F7</f>
        <v>249.73</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308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1281960</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998920</v>
      </c>
      <c r="D14" s="2159" t="s">
        <v>1165</v>
      </c>
      <c r="E14" s="2160"/>
      <c r="F14" s="2161"/>
      <c r="G14" s="799"/>
      <c r="H14" s="2157" t="s">
        <v>895</v>
      </c>
      <c r="I14" s="2126" t="s">
        <v>1166</v>
      </c>
      <c r="J14" s="1061">
        <f ca="1">C29</f>
        <v>1440404</v>
      </c>
      <c r="K14" s="2282"/>
      <c r="L14" s="2283"/>
      <c r="M14" s="2284"/>
    </row>
    <row r="15" s="2093" customFormat="1" ht="18" customHeight="1" spans="1:37">
      <c r="A15" s="2157" t="s">
        <v>922</v>
      </c>
      <c r="B15" s="2126" t="s">
        <v>1095</v>
      </c>
      <c r="C15" s="1061">
        <f ca="1">ROUND(C14*F15,0)</f>
        <v>29968</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21606</v>
      </c>
      <c r="K16" s="2178" t="s">
        <v>1171</v>
      </c>
      <c r="L16" s="2179"/>
      <c r="M16" s="2121"/>
    </row>
    <row r="17" s="2093" customFormat="1" ht="18" customHeight="1" spans="1:37">
      <c r="A17" s="2157" t="s">
        <v>1172</v>
      </c>
      <c r="B17" s="2126" t="s">
        <v>1173</v>
      </c>
      <c r="C17" s="1061">
        <f ca="1">ROUND(F17*(F43+INDIRECT("'数据-取费表'!S"&amp;$G$1)),0)</f>
        <v>49946</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14984</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1093818</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21876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21606</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46301</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-21606</v>
      </c>
      <c r="K25" s="2197" t="s">
        <v>1209</v>
      </c>
      <c r="L25" s="2198"/>
      <c r="M25" s="2199"/>
    </row>
    <row r="26" ht="18" customHeight="1" spans="1:13">
      <c r="A26" s="2157" t="s">
        <v>918</v>
      </c>
      <c r="B26" s="2126" t="s">
        <v>1210</v>
      </c>
      <c r="C26" s="1061">
        <f ca="1">ROUND((C19+C20)*F26,0)</f>
        <v>167354</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1440404</v>
      </c>
      <c r="D29" s="2175"/>
      <c r="E29" s="2150"/>
      <c r="F29" s="2176"/>
      <c r="G29" s="2164"/>
      <c r="H29" s="2177" t="s">
        <v>1225</v>
      </c>
      <c r="I29" s="2207" t="s">
        <v>1226</v>
      </c>
      <c r="J29" s="2208">
        <f ca="1">ROUND(J26/(1+F40)^F41,0)</f>
        <v>0</v>
      </c>
      <c r="K29" s="2209" t="s">
        <v>1227</v>
      </c>
      <c r="L29" s="2210"/>
      <c r="M29" s="2211">
        <f ca="1">INDIRECT("'数据-取费表'!k"&amp;$G$1)</f>
        <v>249.73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67246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41253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13126</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28127</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21606</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1923</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2464</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179171</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4129718</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249.73</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-449.4596</v>
      </c>
      <c r="D45" s="2216" t="s">
        <v>1329</v>
      </c>
      <c r="E45" s="2212"/>
      <c r="F45" s="2212"/>
      <c r="O45" s="2300" t="s">
        <v>1234</v>
      </c>
      <c r="P45" s="2201"/>
      <c r="Q45" s="2201"/>
      <c r="R45" s="2201"/>
    </row>
    <row r="46" s="799" customFormat="1" ht="13.95" spans="1:18">
      <c r="A46" s="2217" t="s">
        <v>1235</v>
      </c>
      <c r="C46" s="2218">
        <f ca="1">ROUND(C45,0)</f>
        <v>-449</v>
      </c>
      <c r="D46" s="2219" t="str">
        <f>C2</f>
        <v>万元</v>
      </c>
      <c r="I46" s="2301" t="s">
        <v>1236</v>
      </c>
      <c r="J46" s="2302"/>
      <c r="K46" s="2303"/>
      <c r="L46" s="2304">
        <f ca="1">IF(M47="住宅",0,IF(L48&gt;J51,L60,J60))</f>
        <v>43263</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4129718</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43263</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1440404</v>
      </c>
      <c r="R49" s="2354" t="s">
        <v>1244</v>
      </c>
    </row>
    <row r="50" s="799" customFormat="1" ht="13.95" spans="1:18">
      <c r="A50" s="2236"/>
      <c r="B50" s="2237"/>
      <c r="C50" s="2238"/>
      <c r="D50" s="2239"/>
      <c r="E50" s="2240" t="s">
        <v>1152</v>
      </c>
      <c r="F50" s="2241">
        <f ca="1">F7</f>
        <v>249.73</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1632697</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4172981</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1281960</v>
      </c>
      <c r="D56" s="2251"/>
      <c r="E56" s="2252"/>
      <c r="F56" s="2248"/>
      <c r="I56" s="2341" t="s">
        <v>1278</v>
      </c>
      <c r="J56" s="2342" t="s">
        <v>1334</v>
      </c>
      <c r="K56" s="2314" t="s">
        <v>1279</v>
      </c>
      <c r="L56" s="2317" t="str">
        <f ca="1">IF(L48&lt;J51,"——",L48-J51)</f>
        <v>——</v>
      </c>
      <c r="O56" s="2312" t="s">
        <v>1000</v>
      </c>
      <c r="P56" s="2313" t="s">
        <v>1243</v>
      </c>
      <c r="Q56" s="2354">
        <f ca="1">C40+J29</f>
        <v>4129718</v>
      </c>
      <c r="R56" s="2354" t="s">
        <v>1244</v>
      </c>
    </row>
    <row r="57" s="799" customFormat="1" ht="24.75" spans="1:18">
      <c r="A57" s="2253"/>
      <c r="B57" s="2254" t="s">
        <v>1224</v>
      </c>
      <c r="C57" s="440">
        <f ca="1">C29</f>
        <v>1440404</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23529</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576162</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43263</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4129718</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21606</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1923</v>
      </c>
      <c r="D65" s="2262" t="s">
        <v>1201</v>
      </c>
      <c r="E65" s="2254" t="s">
        <v>1168</v>
      </c>
      <c r="F65" s="2195">
        <f ca="1" t="shared" si="0"/>
        <v>0.0015</v>
      </c>
      <c r="I65" s="2349" t="s">
        <v>1302</v>
      </c>
      <c r="J65" s="2350">
        <v>40</v>
      </c>
      <c r="K65" s="2350">
        <v>30</v>
      </c>
      <c r="L65" s="2350">
        <v>50</v>
      </c>
      <c r="M65" s="2352">
        <v>0.02</v>
      </c>
      <c r="O65" s="2312" t="s">
        <v>1000</v>
      </c>
      <c r="P65" s="2313" t="s">
        <v>1243</v>
      </c>
      <c r="Q65" s="2354">
        <f ca="1">C40+J29</f>
        <v>4129718</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-23529</v>
      </c>
      <c r="D67" s="2261" t="s">
        <v>1209</v>
      </c>
      <c r="E67" s="2357"/>
      <c r="F67" s="2358"/>
      <c r="O67" s="2320" t="s">
        <v>1255</v>
      </c>
      <c r="P67" s="2313" t="s">
        <v>1286</v>
      </c>
      <c r="Q67" s="2378">
        <f ca="1">L51</f>
        <v>1632697</v>
      </c>
      <c r="R67" s="2354" t="s">
        <v>1303</v>
      </c>
    </row>
    <row r="68" s="799" customFormat="1" ht="17.55" spans="1:18">
      <c r="A68" s="2359" t="s">
        <v>1213</v>
      </c>
      <c r="B68" s="2360" t="s">
        <v>1230</v>
      </c>
      <c r="C68" s="2200">
        <f ca="1">ROUND(C67*(1-((1+F70)/(1+F68))^F69)/(F68-F70),0)</f>
        <v>-364878</v>
      </c>
      <c r="D68" s="2264" t="s">
        <v>1215</v>
      </c>
      <c r="E68" s="2254" t="s">
        <v>1216</v>
      </c>
      <c r="F68" s="2136">
        <f ca="1">F40</f>
        <v>0.055</v>
      </c>
      <c r="O68" s="2320" t="s">
        <v>1259</v>
      </c>
      <c r="P68" s="2377" t="s">
        <v>1304</v>
      </c>
      <c r="Q68" s="2354">
        <f ca="1">ROUND(Q69-Q70*Q71,0)</f>
        <v>89434</v>
      </c>
      <c r="R68" s="2354" t="s">
        <v>1305</v>
      </c>
    </row>
    <row r="69" s="799" customFormat="1" ht="13.95" spans="1:18">
      <c r="A69" s="2361"/>
      <c r="B69" s="2362"/>
      <c r="C69" s="2134"/>
      <c r="D69" s="2363" t="s">
        <v>1219</v>
      </c>
      <c r="E69" s="2254" t="s">
        <v>1220</v>
      </c>
      <c r="F69" s="2204">
        <f ca="1">F41</f>
        <v>35.8</v>
      </c>
      <c r="O69" s="2320" t="s">
        <v>1306</v>
      </c>
      <c r="P69" s="2377" t="s">
        <v>1307</v>
      </c>
      <c r="Q69" s="2354">
        <f ca="1">C39</f>
        <v>179171</v>
      </c>
      <c r="R69" s="2354" t="s">
        <v>1244</v>
      </c>
    </row>
    <row r="70" s="799" customFormat="1" ht="13.95" spans="1:18">
      <c r="A70" s="2364"/>
      <c r="B70" s="2365"/>
      <c r="C70" s="2154"/>
      <c r="D70" s="2266"/>
      <c r="E70" s="2254" t="s">
        <v>1223</v>
      </c>
      <c r="F70" s="2244"/>
      <c r="O70" s="2320" t="s">
        <v>1308</v>
      </c>
      <c r="P70" s="2377" t="s">
        <v>1309</v>
      </c>
      <c r="Q70" s="2354">
        <f ca="1">C13</f>
        <v>1281960</v>
      </c>
      <c r="R70" s="2354" t="s">
        <v>1244</v>
      </c>
    </row>
    <row r="71" s="799" customFormat="1" ht="13.95" spans="1:18">
      <c r="A71" s="2366" t="s">
        <v>1225</v>
      </c>
      <c r="B71" s="2367" t="s">
        <v>1231</v>
      </c>
      <c r="C71" s="2208">
        <f ca="1">ROUND(C68/F71,0)</f>
        <v>-1461</v>
      </c>
      <c r="D71" s="2368" t="s">
        <v>1232</v>
      </c>
      <c r="E71" s="2369" t="s">
        <v>1233</v>
      </c>
      <c r="F71" s="2211">
        <f ca="1">F43</f>
        <v>249.73</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89737</v>
      </c>
      <c r="D75" s="799"/>
      <c r="E75" s="799"/>
      <c r="F75" s="799"/>
      <c r="K75" s="2299"/>
      <c r="L75" s="799"/>
      <c r="O75" s="2312" t="s">
        <v>1097</v>
      </c>
      <c r="P75" s="2313" t="s">
        <v>1273</v>
      </c>
      <c r="Q75" s="2354">
        <f ca="1">Q65+Q66</f>
        <v>4129718</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417.2981</v>
      </c>
      <c r="C2" s="1882" t="s">
        <v>1451</v>
      </c>
      <c r="D2" s="1883" t="s">
        <v>1452</v>
      </c>
      <c r="E2" s="1884">
        <f>SUM(E6:E13)</f>
        <v>249.73</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417.2981</v>
      </c>
      <c r="C6" s="1882" t="s">
        <v>1451</v>
      </c>
      <c r="D6" s="1886"/>
      <c r="E6" s="1896">
        <f>IF(OR(A6=0,F6="否"),0,'数据-取费表'!K6+'数据-取费表'!S6)</f>
        <v>249.73</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249.73</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249.73</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0" sqref="I20"/>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669.4512</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249.73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249.73</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249.73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估价对象为北京市房地产，为所有。根据《国有土地使用证》[]，估价对象（分摊）出让国有建设用地使用权面积为0平方米，建筑面积为249.73平方米。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估价对象为北京市房地产,属开发建设的，该项目尚在开发建设中。根据《国有土地使用证》[]，估价对象（分摊）出让国有建设用地使用权面积为0平方米，规划建筑面积为249.73平方米。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249.73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249.73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249.73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278</v>
      </c>
      <c r="C2" s="989" t="s">
        <v>1679</v>
      </c>
      <c r="D2" s="989" t="s">
        <v>1680</v>
      </c>
      <c r="E2" s="991">
        <f ca="1">SUMIF(E6:E13,"&lt;&gt;#ref!",E6:E13)</f>
        <v>249.73</v>
      </c>
      <c r="F2" s="988"/>
      <c r="G2" s="988"/>
      <c r="H2" s="988"/>
      <c r="I2" s="988"/>
      <c r="J2" s="988"/>
      <c r="K2" s="988"/>
      <c r="L2" s="988"/>
      <c r="M2" s="988"/>
      <c r="N2" s="988"/>
      <c r="O2" s="988"/>
      <c r="P2" s="988"/>
    </row>
    <row r="3" ht="15.6" spans="1:16">
      <c r="A3" s="989" t="s">
        <v>1681</v>
      </c>
      <c r="B3" s="990">
        <f ca="1">ROUND(B2*10000/E2,0)</f>
        <v>11132</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278</v>
      </c>
      <c r="C6" s="989" t="s">
        <v>1679</v>
      </c>
      <c r="D6" s="988"/>
      <c r="E6" s="991">
        <f ca="1">SUMIF(INDIRECT("'"&amp;A6&amp;"'"&amp;"!C:C"),"建筑面积",INDIRECT("'"&amp;A6&amp;"'"&amp;"!D:D"))</f>
        <v>249.73</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525.9915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2917045.93</v>
      </c>
      <c r="D5" s="404" t="s">
        <v>992</v>
      </c>
      <c r="E5" s="405" t="s">
        <v>993</v>
      </c>
      <c r="F5" s="405" t="s">
        <v>890</v>
      </c>
      <c r="G5" s="406"/>
    </row>
    <row r="6" s="384" customFormat="1" ht="13.5" customHeight="1" spans="1:7">
      <c r="A6" s="407" t="s">
        <v>994</v>
      </c>
      <c r="B6" s="408" t="s">
        <v>995</v>
      </c>
      <c r="C6" s="409">
        <f>基准地价修正!D33*基准地价修正!C33</f>
        <v>2782241.93</v>
      </c>
      <c r="D6" s="410"/>
      <c r="E6" s="411"/>
      <c r="F6" s="411"/>
      <c r="G6" s="412"/>
    </row>
    <row r="7" s="384" customFormat="1" ht="13.5" customHeight="1" spans="1:7">
      <c r="A7" s="407" t="s">
        <v>996</v>
      </c>
      <c r="B7" s="408" t="s">
        <v>997</v>
      </c>
      <c r="C7" s="413">
        <f>ROUND(C6*F7,0)</f>
        <v>84858</v>
      </c>
      <c r="D7" s="413"/>
      <c r="E7" s="411"/>
      <c r="F7" s="414">
        <f>IF(项目基本情况!B8="出让",0,'数据-取费表'!B48+'数据-取费表'!B49)</f>
        <v>0.0305</v>
      </c>
      <c r="G7" s="412"/>
    </row>
    <row r="8" s="385" customFormat="1" spans="1:7">
      <c r="A8" s="407" t="s">
        <v>998</v>
      </c>
      <c r="B8" s="408" t="s">
        <v>999</v>
      </c>
      <c r="C8" s="413">
        <f ca="1">IF(G8="已包含在土地购买价格中",0,C9+C10)</f>
        <v>49946</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49946</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249.73</v>
      </c>
      <c r="E19" s="404">
        <f>'数据-取费表'!B31</f>
        <v>200</v>
      </c>
      <c r="F19" s="429"/>
      <c r="G19" s="981" t="s">
        <v>1689</v>
      </c>
    </row>
    <row r="20" s="384" customFormat="1" ht="13.5" customHeight="1" spans="1:7">
      <c r="A20" s="402" t="s">
        <v>1023</v>
      </c>
      <c r="B20" s="403" t="s">
        <v>1024</v>
      </c>
      <c r="C20" s="430">
        <f ca="1">ROUND((C5+C19)*F20,0)</f>
        <v>58341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249560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247139</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2421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446308</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446308</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3977955</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1093818</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998920</v>
      </c>
      <c r="D34" s="410"/>
      <c r="E34" s="413"/>
      <c r="F34" s="459"/>
      <c r="G34" s="412"/>
    </row>
    <row r="35" ht="13.5" customHeight="1" spans="1:7">
      <c r="A35" s="438" t="s">
        <v>996</v>
      </c>
      <c r="B35" s="408" t="s">
        <v>1054</v>
      </c>
      <c r="C35" s="413">
        <f ca="1">ROUND(C34*F35,0)</f>
        <v>29968</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49946</v>
      </c>
      <c r="D37" s="410">
        <f ca="1">D19</f>
        <v>249.73</v>
      </c>
      <c r="E37" s="451">
        <f>'数据-取费表'!B35</f>
        <v>200</v>
      </c>
      <c r="F37" s="460"/>
      <c r="G37" s="462"/>
    </row>
    <row r="38" ht="13.5" customHeight="1" spans="1:7">
      <c r="A38" s="438" t="s">
        <v>1060</v>
      </c>
      <c r="B38" s="408" t="s">
        <v>926</v>
      </c>
      <c r="C38" s="413">
        <f ca="1">ROUND(C34*F38,0)</f>
        <v>14984</v>
      </c>
      <c r="D38" s="413"/>
      <c r="E38" s="413"/>
      <c r="F38" s="460">
        <f>'数据-取费表'!B36</f>
        <v>0.015</v>
      </c>
      <c r="G38" s="412" t="s">
        <v>1055</v>
      </c>
    </row>
    <row r="39" s="384" customFormat="1" ht="13.5" customHeight="1" spans="1:7">
      <c r="A39" s="402" t="s">
        <v>1021</v>
      </c>
      <c r="B39" s="403" t="s">
        <v>1024</v>
      </c>
      <c r="C39" s="430">
        <f ca="1">ROUND(C33*F20,0)</f>
        <v>21876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46301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45393</v>
      </c>
      <c r="D42" s="440"/>
      <c r="E42" s="440"/>
      <c r="F42" s="441"/>
      <c r="G42" s="464" t="s">
        <v>1692</v>
      </c>
    </row>
    <row r="43" ht="13.5" customHeight="1" spans="1:7">
      <c r="A43" s="438" t="s">
        <v>996</v>
      </c>
      <c r="B43" s="408" t="s">
        <v>1034</v>
      </c>
      <c r="C43" s="440">
        <f ca="1">ROUND(IF('数据-取费表'!B22&lt;=1,C39*F22*'数据-取费表'!B20/2,C39*(POWER((1+F22),'数据-取费表'!B20/2)-1)),0)</f>
        <v>908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167354</v>
      </c>
      <c r="D45" s="433">
        <f ca="1">C47</f>
        <v>0.003</v>
      </c>
      <c r="E45" s="434" t="s">
        <v>1062</v>
      </c>
      <c r="F45" s="448">
        <f ca="1">F27</f>
        <v>0.15</v>
      </c>
      <c r="G45" s="449" t="s">
        <v>1065</v>
      </c>
    </row>
    <row r="46" s="384" customFormat="1" ht="13.5" customHeight="1" spans="1:7">
      <c r="A46" s="438" t="s">
        <v>994</v>
      </c>
      <c r="B46" s="450" t="s">
        <v>1066</v>
      </c>
      <c r="C46" s="451">
        <f ca="1">ROUND((C33+C39)*F27,0)</f>
        <v>167354</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1440404</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1281960</v>
      </c>
      <c r="D51" s="430"/>
      <c r="E51" s="430"/>
      <c r="F51" s="468"/>
      <c r="G51" s="435" t="s">
        <v>1076</v>
      </c>
    </row>
    <row r="52" s="383" customFormat="1" ht="16.35" spans="1:7">
      <c r="A52" s="469" t="s">
        <v>1077</v>
      </c>
      <c r="B52" s="470"/>
      <c r="C52" s="471">
        <f ca="1">C31+C51</f>
        <v>5259915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249.73</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278</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11132</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278</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249.73</v>
      </c>
      <c r="E33" s="730">
        <f>ROUND(C33*D33/10000,0)</f>
        <v>278</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50:C58 C61:C69 C72:C80 C83:C91 C93:C101">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28241</v>
      </c>
      <c r="C2" s="396" t="s">
        <v>1329</v>
      </c>
      <c r="D2" s="393"/>
      <c r="E2" s="393"/>
      <c r="F2" s="393"/>
      <c r="G2" s="393"/>
    </row>
    <row r="3" s="382" customFormat="1" ht="18" customHeight="1" spans="1:7">
      <c r="A3" s="397" t="s">
        <v>2146</v>
      </c>
      <c r="B3" s="398">
        <f ca="1">ROUND(B2*10000/'数据-汇总表'!E3,0)</f>
        <v>1130861</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249.73</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249.73</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110</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100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249.73</v>
      </c>
      <c r="E37" s="451">
        <f>'数据-取费表'!B35</f>
        <v>200</v>
      </c>
      <c r="F37" s="460"/>
      <c r="G37" s="462" t="s">
        <v>2201</v>
      </c>
    </row>
    <row r="38" ht="13.5" customHeight="1" spans="1:7">
      <c r="A38" s="438" t="s">
        <v>1060</v>
      </c>
      <c r="B38" s="408" t="s">
        <v>2159</v>
      </c>
      <c r="C38" s="413">
        <f>ROUND(C34*F38,0)</f>
        <v>2</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5</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5</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17</v>
      </c>
      <c r="D45" s="433">
        <f>C47</f>
        <v>0.003</v>
      </c>
      <c r="E45" s="434" t="s">
        <v>2203</v>
      </c>
      <c r="F45" s="448"/>
      <c r="G45" s="449" t="s">
        <v>2206</v>
      </c>
    </row>
    <row r="46" s="384" customFormat="1" ht="13.5" customHeight="1" spans="1:7">
      <c r="A46" s="438" t="s">
        <v>994</v>
      </c>
      <c r="B46" s="450" t="s">
        <v>2207</v>
      </c>
      <c r="C46" s="451">
        <f>ROUND((C33+C39)*F27,0)</f>
        <v>17</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145</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129</v>
      </c>
      <c r="D51" s="430"/>
      <c r="E51" s="430"/>
      <c r="F51" s="468"/>
      <c r="G51" s="435" t="s">
        <v>2218</v>
      </c>
    </row>
    <row r="52" s="383" customFormat="1" ht="16.35" spans="1:7">
      <c r="A52" s="469" t="s">
        <v>2219</v>
      </c>
      <c r="B52" s="470"/>
      <c r="C52" s="471">
        <f ca="1">C31+C51</f>
        <v>28241</v>
      </c>
      <c r="D52" s="470"/>
      <c r="E52" s="470"/>
      <c r="F52" s="470"/>
      <c r="G52" s="472"/>
    </row>
    <row r="55" ht="15" spans="2:3">
      <c r="B55" s="473" t="s">
        <v>2220</v>
      </c>
      <c r="C55" s="474"/>
    </row>
    <row r="56" spans="2:3">
      <c r="B56" s="475" t="s">
        <v>2221</v>
      </c>
      <c r="C56" s="476">
        <f ca="1">ROUND(C51/C52,3)</f>
        <v>0.005</v>
      </c>
    </row>
    <row r="57" spans="2:3">
      <c r="B57" s="475" t="s">
        <v>2222</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569</v>
      </c>
      <c r="E5" s="3643"/>
    </row>
    <row r="6" ht="15.6" spans="1:5">
      <c r="A6" s="3643"/>
      <c r="B6" s="3647"/>
      <c r="C6" s="3648" t="s">
        <v>98</v>
      </c>
      <c r="D6" s="3649" t="str">
        <f ca="1">NUMBERSTRING(INT(D5*10000),2)&amp;"元整"</f>
        <v>伍佰陆拾玖万元整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569</v>
      </c>
      <c r="E13" s="3643"/>
    </row>
    <row r="14" ht="15.6" spans="1:5">
      <c r="A14" s="3643"/>
      <c r="B14" s="3647"/>
      <c r="C14" s="3648" t="s">
        <v>98</v>
      </c>
      <c r="D14" s="3649" t="str">
        <f ca="1">NUMBERSTRING(INT(D13*10000),2)&amp;"元整"</f>
        <v>伍佰陆拾玖万元整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249.73</v>
      </c>
      <c r="C4" s="3632">
        <f>项目基本情况!C18</f>
        <v>0</v>
      </c>
      <c r="D4" s="3632" t="e">
        <f ca="1">结果表!D118</f>
        <v>#REF!</v>
      </c>
      <c r="E4" s="3632" t="e">
        <f ca="1">结果表!E118</f>
        <v>#REF!</v>
      </c>
      <c r="F4" s="3632" t="e">
        <f ca="1">结果表!F118</f>
        <v>#REF!</v>
      </c>
      <c r="G4" s="3632" t="e">
        <f ca="1">结果表!G118</f>
        <v>#REF!</v>
      </c>
      <c r="H4" s="3632">
        <f ca="1">结果表!H118</f>
        <v>569</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伍佰陆拾玖万元整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569</v>
      </c>
      <c r="E8" s="3634"/>
      <c r="F8" s="3634"/>
      <c r="G8" s="3634"/>
      <c r="H8" s="3634"/>
      <c r="I8" s="3634"/>
    </row>
    <row r="9" ht="15" spans="1:9">
      <c r="A9" s="3632" t="s">
        <v>112</v>
      </c>
      <c r="B9" s="3632"/>
      <c r="C9" s="3632"/>
      <c r="D9" s="3632" t="str">
        <f ca="1">结果表!D123</f>
        <v>伍佰陆拾玖万元整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44972</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2023-02-15T09:31:11Z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