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45" windowWidth="7575" windowHeight="5250" tabRatio="899" firstSheet="10"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抵押物清单（分楼）" sheetId="42" state="hidden" r:id="rId13"/>
    <sheet name="东" sheetId="77" r:id="rId14"/>
    <sheet name="西" sheetId="78" r:id="rId15"/>
    <sheet name="数据-汇总表" sheetId="6" r:id="rId16"/>
    <sheet name="数据-取费表" sheetId="1" r:id="rId17"/>
    <sheet name="估价对象房地状况" sheetId="20" state="hidden" r:id="rId18"/>
    <sheet name="租金表" sheetId="79" r:id="rId19"/>
    <sheet name="系统读取表" sheetId="74" r:id="rId20"/>
    <sheet name="结果表" sheetId="9" r:id="rId21"/>
    <sheet name="成本法" sheetId="68" r:id="rId22"/>
    <sheet name="成本法 (元)" sheetId="69" state="hidden" r:id="rId23"/>
    <sheet name="假设开发法" sheetId="12" state="hidden" r:id="rId24"/>
    <sheet name="基准地价修正" sheetId="43" r:id="rId25"/>
    <sheet name="收益法" sheetId="15" r:id="rId26"/>
    <sheet name="收益法 (元)" sheetId="67" state="hidden" r:id="rId27"/>
    <sheet name="收益法（汇总）" sheetId="70" state="hidden" r:id="rId28"/>
    <sheet name="酒店收入计算" sheetId="66" state="hidden" r:id="rId29"/>
    <sheet name="比较法-住宅" sheetId="21" state="hidden" r:id="rId30"/>
    <sheet name="比较法-商业" sheetId="33" state="hidden" r:id="rId31"/>
    <sheet name="比较法-办公" sheetId="34" state="hidden" r:id="rId32"/>
    <sheet name="比较法-工业" sheetId="37" state="hidden" r:id="rId33"/>
    <sheet name="比较法-车位" sheetId="35" state="hidden" r:id="rId34"/>
    <sheet name="比较法-仓储" sheetId="36" state="hidden" r:id="rId35"/>
    <sheet name="土地比较法-住宅、综合" sheetId="39" state="hidden" r:id="rId36"/>
    <sheet name="土地比较法-工业" sheetId="40" state="hidden" r:id="rId37"/>
    <sheet name="修正" sheetId="45" state="hidden" r:id="rId38"/>
    <sheet name="容积率修正" sheetId="46" state="hidden" r:id="rId39"/>
    <sheet name="基准地价（汇总）" sheetId="76" state="hidden" r:id="rId40"/>
    <sheet name="地价" sheetId="71" state="hidden" r:id="rId41"/>
    <sheet name="典型户型修正" sheetId="31" state="hidden"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s>
  <externalReferences>
    <externalReference r:id="rId48"/>
    <externalReference r:id="rId49"/>
  </externalReference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0" hidden="1">'比较法-商业'!$A$1:$L$49</definedName>
    <definedName name="_xlnm._FilterDatabase" localSheetId="29" hidden="1">'比较法-住宅'!$A$1:$L$49</definedName>
    <definedName name="_xlnm._FilterDatabase" localSheetId="11" hidden="1">'数据-基础表'!$A$12:$AT$587</definedName>
    <definedName name="_xlnm._FilterDatabase" localSheetId="36" hidden="1">'土地比较法-工业'!$A$1:$L$43</definedName>
    <definedName name="_xlnm._FilterDatabase" localSheetId="35" hidden="1">'土地比较法-住宅、综合'!$A$1:$L$48</definedName>
    <definedName name="_xlnm._FilterDatabase" localSheetId="10" hidden="1">项目基本情况!$A$42:$N$42</definedName>
    <definedName name="_xlnm._FilterDatabase" localSheetId="18" hidden="1">租金表!$A$1:$WVQ$60</definedName>
    <definedName name="_xlnm.Print_Area" localSheetId="8">估价师及机构信息!$A$1:$F$29</definedName>
    <definedName name="_xlnm.Print_Area" localSheetId="25">收益法!$A$1:$AK$69</definedName>
    <definedName name="_xlnm.Print_Area" localSheetId="26">'收益法 (元)'!$A$1:$AK$69</definedName>
    <definedName name="_xlnm.Print_Area" localSheetId="15">'数据-汇总表'!$A$1:$P$32</definedName>
    <definedName name="八级">区片价!$O$1:$O$40</definedName>
    <definedName name="办公层高" localSheetId="13">'[1]比较法-办公'!$B$119:$M$119</definedName>
    <definedName name="办公层高" localSheetId="14">'[2]比较法-办公'!$B$119:$M$119</definedName>
    <definedName name="办公层高">'比较法-办公'!$B$119:$M$119</definedName>
    <definedName name="办公朝向" localSheetId="13">'[1]比较法-办公'!$B$91:$M$91</definedName>
    <definedName name="办公朝向" localSheetId="14">'[2]比较法-办公'!$B$91:$M$91</definedName>
    <definedName name="办公朝向">'比较法-办公'!$B$91:$M$91</definedName>
    <definedName name="办公道路级别" localSheetId="13">'[1]比较法-办公'!$B$87:$M$87</definedName>
    <definedName name="办公道路级别" localSheetId="14">'[2]比较法-办公'!$B$87:$M$87</definedName>
    <definedName name="办公道路级别">'比较法-办公'!$B$87:$M$87</definedName>
    <definedName name="办公公共部分装修" localSheetId="13">'[1]比较法-办公'!$B$108:$M$108</definedName>
    <definedName name="办公公共部分装修" localSheetId="14">'[2]比较法-办公'!$B$108:$M$108</definedName>
    <definedName name="办公公共部分装修">'比较法-办公'!$B$108:$M$108</definedName>
    <definedName name="办公基础设施水平" localSheetId="13">'[1]比较法-办公'!$B$117:$M$117</definedName>
    <definedName name="办公基础设施水平" localSheetId="14">'[2]比较法-办公'!$B$117:$M$117</definedName>
    <definedName name="办公基础设施水平">'比较法-办公'!$B$117:$M$117</definedName>
    <definedName name="办公集聚程度" localSheetId="13">[1]定义!$M$1:$M$6</definedName>
    <definedName name="办公集聚程度" localSheetId="14">[2]定义!$M$1:$M$6</definedName>
    <definedName name="办公集聚程度">定义!$M$1:$M$6</definedName>
    <definedName name="办公建筑结构" localSheetId="13">'[1]比较法-办公'!$B$106:$M$106</definedName>
    <definedName name="办公建筑结构" localSheetId="14">'[2]比较法-办公'!$B$106:$M$106</definedName>
    <definedName name="办公建筑结构">'比较法-办公'!$B$106:$M$106</definedName>
    <definedName name="办公建筑类型" localSheetId="13">'[1]比较法-办公'!$B$101:$M$101</definedName>
    <definedName name="办公建筑类型" localSheetId="14">'[2]比较法-办公'!$B$101:$M$101</definedName>
    <definedName name="办公建筑类型">'比较法-办公'!$B$101:$M$101</definedName>
    <definedName name="办公交易情况" localSheetId="13">'[1]比较法-办公'!$A$62:$M$62</definedName>
    <definedName name="办公交易情况" localSheetId="14">'[2]比较法-办公'!$A$62:$M$62</definedName>
    <definedName name="办公交易情况">'比较法-办公'!$A$62:$M$62</definedName>
    <definedName name="办公楼层" localSheetId="13">'[1]比较法-办公'!$B$89:$M$89</definedName>
    <definedName name="办公楼层" localSheetId="14">'[2]比较法-办公'!$B$89:$M$89</definedName>
    <definedName name="办公楼层">'比较法-办公'!$B$89:$M$89</definedName>
    <definedName name="办公内部装修" localSheetId="13">'[1]比较法-办公'!$B$123:$M$123</definedName>
    <definedName name="办公内部装修" localSheetId="14">'[2]比较法-办公'!$B$123:$M$123</definedName>
    <definedName name="办公内部装修">'比较法-办公'!$B$123:$M$123</definedName>
    <definedName name="办公物业管理" localSheetId="13">'[1]比较法-办公'!$B$115:$M$115</definedName>
    <definedName name="办公物业管理" localSheetId="14">'[2]比较法-办公'!$B$115:$M$115</definedName>
    <definedName name="办公物业管理">'比较法-办公'!$B$115:$M$115</definedName>
    <definedName name="办公用途" localSheetId="13">'[1]比较法-办公'!$B$64:$M$64</definedName>
    <definedName name="办公用途" localSheetId="14">'[2]比较法-办公'!$B$64:$M$64</definedName>
    <definedName name="办公用途">'比较法-办公'!$B$64:$M$64</definedName>
    <definedName name="仓储公共部分装修" localSheetId="13">'[1]比较法-仓储'!$B$77:$M$77</definedName>
    <definedName name="仓储公共部分装修" localSheetId="14">'[2]比较法-仓储'!$B$77:$M$77</definedName>
    <definedName name="仓储公共部分装修">'比较法-仓储'!$B$77:$M$77</definedName>
    <definedName name="仓储交易情况" localSheetId="13">'[1]比较法-仓储'!$A$49:$M$49</definedName>
    <definedName name="仓储交易情况" localSheetId="14">'[2]比较法-仓储'!$A$49:$M$49</definedName>
    <definedName name="仓储交易情况">'比较法-仓储'!$A$49:$M$49</definedName>
    <definedName name="仓储楼层" localSheetId="13">'[1]比较法-仓储'!$B$69:$M$69</definedName>
    <definedName name="仓储楼层" localSheetId="14">'[2]比较法-仓储'!$B$69:$M$69</definedName>
    <definedName name="仓储楼层">'比较法-仓储'!$B$69:$M$69</definedName>
    <definedName name="仓储物业等级" localSheetId="13">'[1]比较法-仓储'!$B$82:$M$82</definedName>
    <definedName name="仓储物业等级" localSheetId="14">'[2]比较法-仓储'!$B$82:$M$82</definedName>
    <definedName name="仓储物业等级">'比较法-仓储'!$B$82:$M$82</definedName>
    <definedName name="仓储用途" localSheetId="13">'[1]比较法-仓储'!$B$51:$M$51</definedName>
    <definedName name="仓储用途" localSheetId="14">'[2]比较法-仓储'!$B$51:$M$51</definedName>
    <definedName name="仓储用途">'比较法-仓储'!$B$51:$M$51</definedName>
    <definedName name="产业集聚程度" localSheetId="13">[1]定义!$N$1:$N$6</definedName>
    <definedName name="产业集聚程度" localSheetId="14">[2]定义!$N$1:$N$6</definedName>
    <definedName name="产业集聚程度">定义!$N$1:$N$6</definedName>
    <definedName name="车位公共部分装修" localSheetId="13">'[1]比较法-车位'!$B$83:$M$83</definedName>
    <definedName name="车位公共部分装修" localSheetId="14">'[2]比较法-车位'!$B$83:$M$83</definedName>
    <definedName name="车位公共部分装修">'比较法-车位'!$B$83:$M$83</definedName>
    <definedName name="车位交易情况" localSheetId="13">'[1]比较法-车位'!$A$51:$M$51</definedName>
    <definedName name="车位交易情况" localSheetId="14">'[2]比较法-车位'!$A$51:$M$51</definedName>
    <definedName name="车位交易情况">'比较法-车位'!$A$51:$M$51</definedName>
    <definedName name="车位类型" localSheetId="13">'[1]比较法-车位'!$B$93:$M$93</definedName>
    <definedName name="车位类型" localSheetId="14">'[2]比较法-车位'!$B$93:$M$93</definedName>
    <definedName name="车位类型">'比较法-车位'!$B$93:$M$93</definedName>
    <definedName name="车位楼层" localSheetId="13">'[1]比较法-车位'!$B$71:$M$71</definedName>
    <definedName name="车位楼层" localSheetId="14">'[2]比较法-车位'!$B$71:$M$71</definedName>
    <definedName name="车位楼层">'比较法-车位'!$B$71:$M$71</definedName>
    <definedName name="车位配套类型" localSheetId="13">'[1]比较法-车位'!$B$79:$M$79</definedName>
    <definedName name="车位配套类型" localSheetId="14">'[2]比较法-车位'!$B$79:$M$79</definedName>
    <definedName name="车位配套类型">'比较法-车位'!$B$79:$M$79</definedName>
    <definedName name="车位物业等级" localSheetId="13">'[1]比较法-车位'!$B$88:$M$88</definedName>
    <definedName name="车位物业等级" localSheetId="14">'[2]比较法-车位'!$B$88:$M$88</definedName>
    <definedName name="车位物业等级">'比较法-车位'!$B$88:$M$88</definedName>
    <definedName name="车位用途" localSheetId="13">'[1]比较法-车位'!$B$53:$M$53</definedName>
    <definedName name="车位用途" localSheetId="14">'[2]比较法-车位'!$B$53:$M$53</definedName>
    <definedName name="车位用途">'比较法-车位'!$B$53:$M$53</definedName>
    <definedName name="城镇土地纳税等级分级范围" localSheetId="13">'[1]数据-取费表'!$A$53:$A$63</definedName>
    <definedName name="城镇土地纳税等级分级范围" localSheetId="14">'[2]数据-取费表'!$A$53:$A$63</definedName>
    <definedName name="城镇土地纳税等级分级范围">'数据-取费表'!$A$53:$A$63</definedName>
    <definedName name="单价内涵" localSheetId="13">[1]定义!$V$1:$V$3</definedName>
    <definedName name="单价内涵" localSheetId="14">[2]定义!$V$1:$V$3</definedName>
    <definedName name="单价内涵">定义!$V$1:$V$3</definedName>
    <definedName name="地类判定" localSheetId="13">[1]定义!$H$1:$H$9</definedName>
    <definedName name="地类判定" localSheetId="14">[2]定义!$H$1:$H$9</definedName>
    <definedName name="地类判定">定义!$H$1:$H$9</definedName>
    <definedName name="二级">区片价!$I$1:$I$20</definedName>
    <definedName name="二级分类" localSheetId="13">[1]修正!$C$17:$C$39</definedName>
    <definedName name="二级分类" localSheetId="14">[2]修正!$C$17:$C$39</definedName>
    <definedName name="二级分类">修正!$C$17:$C$39</definedName>
    <definedName name="法定最高年限" localSheetId="13">[1]定义!$G$1:$G$4</definedName>
    <definedName name="法定最高年限" localSheetId="14">[2]定义!$G$1:$G$4</definedName>
    <definedName name="法定最高年限">定义!$G$1:$G$4</definedName>
    <definedName name="工业公共部分装修" localSheetId="13">'[1]比较法-工业'!$B$95:$M$95</definedName>
    <definedName name="工业公共部分装修" localSheetId="14">'[2]比较法-工业'!$B$95:$M$95</definedName>
    <definedName name="工业公共部分装修">'比较法-工业'!$B$95:$M$95</definedName>
    <definedName name="工业基础设施水平" localSheetId="13">'[1]比较法-工业'!$B$102:$M$102</definedName>
    <definedName name="工业基础设施水平" localSheetId="14">'[2]比较法-工业'!$B$102:$M$102</definedName>
    <definedName name="工业基础设施水平">'比较法-工业'!$B$102:$M$102</definedName>
    <definedName name="工业建筑结构" localSheetId="13">'[1]比较法-工业'!$B$93:$M$93</definedName>
    <definedName name="工业建筑结构" localSheetId="14">'[2]比较法-工业'!$B$93:$M$93</definedName>
    <definedName name="工业建筑结构">'比较法-工业'!$B$93:$M$93</definedName>
    <definedName name="工业建筑类型" localSheetId="13">'[1]比较法-工业'!$B$88:$M$88</definedName>
    <definedName name="工业建筑类型" localSheetId="14">'[2]比较法-工业'!$B$88:$M$88</definedName>
    <definedName name="工业建筑类型">'比较法-工业'!$B$88:$M$88</definedName>
    <definedName name="工业交易情况" localSheetId="13">'[1]比较法-工业'!$A$55:$M$55</definedName>
    <definedName name="工业交易情况" localSheetId="14">'[2]比较法-工业'!$A$55:$M$55</definedName>
    <definedName name="工业交易情况">'比较法-工业'!$A$55:$M$55</definedName>
    <definedName name="工业内部装修" localSheetId="13">'[1]比较法-工业'!$B$104:$M$104</definedName>
    <definedName name="工业内部装修" localSheetId="14">'[2]比较法-工业'!$B$104:$M$104</definedName>
    <definedName name="工业内部装修">'比较法-工业'!$B$104:$M$104</definedName>
    <definedName name="工业物业管理" localSheetId="13">'[1]比较法-工业'!$B$100:$M$100</definedName>
    <definedName name="工业物业管理" localSheetId="14">'[2]比较法-工业'!$B$100:$M$100</definedName>
    <definedName name="工业物业管理">'比较法-工业'!$B$100:$M$100</definedName>
    <definedName name="工业用途" localSheetId="13">'[1]比较法-工业'!$B$57:$M$57</definedName>
    <definedName name="工业用途" localSheetId="14">'[2]比较法-工业'!$B$57:$M$57</definedName>
    <definedName name="工业用途">'比较法-工业'!$B$57:$M$57</definedName>
    <definedName name="公共配套设施" localSheetId="13">[1]定义!$Q$1:$Q$6</definedName>
    <definedName name="公共配套设施" localSheetId="14">[2]定义!$Q$1:$Q$6</definedName>
    <definedName name="公共配套设施">定义!$Q$1:$Q$6</definedName>
    <definedName name="估价方法" localSheetId="13">[1]定义!$B$1:$B$50</definedName>
    <definedName name="估价方法" localSheetId="14">[2]定义!$B$1:$B$50</definedName>
    <definedName name="估价方法">定义!$B$1:$B$50</definedName>
    <definedName name="环境" localSheetId="13">[1]定义!$S$1:$S$6</definedName>
    <definedName name="环境" localSheetId="14">[2]定义!$S$1:$S$6</definedName>
    <definedName name="环境">定义!$S$1:$S$6</definedName>
    <definedName name="基础设施水平" localSheetId="13">[1]定义!$R$1:$R$6</definedName>
    <definedName name="基础设施水平" localSheetId="14">[2]定义!$R$1:$R$6</definedName>
    <definedName name="基础设施水平">定义!$R$1:$R$6</definedName>
    <definedName name="季度">基准地价修正!$Q$19:$AD$19</definedName>
    <definedName name="价值类型2" localSheetId="13">[1]定义!$B$54:$B$56</definedName>
    <definedName name="价值类型2" localSheetId="14">[2]定义!$B$54:$B$56</definedName>
    <definedName name="价值类型2">定义!$B$54:$B$56</definedName>
    <definedName name="交通便捷度" localSheetId="13">[1]定义!$O$1:$O$6</definedName>
    <definedName name="交通便捷度" localSheetId="14">[2]定义!$O$1:$O$6</definedName>
    <definedName name="交通便捷度">定义!$O$1:$O$6</definedName>
    <definedName name="九级">区片价!$P$1:$P$46</definedName>
    <definedName name="居住社区成熟度" localSheetId="13">[1]定义!$K$1:$K$6</definedName>
    <definedName name="居住社区成熟度" localSheetId="14">[2]定义!$K$1:$K$6</definedName>
    <definedName name="居住社区成熟度">定义!$K$1:$K$6</definedName>
    <definedName name="类别" localSheetId="13">[1]定义!$J$1:$J$3</definedName>
    <definedName name="类别" localSheetId="14">[2]定义!$J$1:$J$3</definedName>
    <definedName name="类别">定义!$J$1:$J$3</definedName>
    <definedName name="临街状况" localSheetId="13">[1]定义!$T$1:$T$5</definedName>
    <definedName name="临街状况" localSheetId="14">[2]定义!$T$1:$T$5</definedName>
    <definedName name="临街状况">定义!$T$1:$T$5</definedName>
    <definedName name="六级">区片价!$M$1:$M$49</definedName>
    <definedName name="内部装修维护情况" localSheetId="13">[1]定义!$U$1:$U$6</definedName>
    <definedName name="内部装修维护情况" localSheetId="14">[2]定义!$U$1:$U$6</definedName>
    <definedName name="内部装修维护情况">定义!$U$1:$U$6</definedName>
    <definedName name="判定" localSheetId="13">[1]定义!$D$1:$D$4</definedName>
    <definedName name="判定" localSheetId="14">[2]定义!$D$1:$D$4</definedName>
    <definedName name="判定">定义!$D$1:$D$4</definedName>
    <definedName name="七级">区片价!$N$1:$N$49</definedName>
    <definedName name="七通一平" localSheetId="13">[1]修正!$A$6:$A$14</definedName>
    <definedName name="七通一平" localSheetId="14">[2]修正!$A$6:$A$14</definedName>
    <definedName name="七通一平">修正!$A$6:$A$14</definedName>
    <definedName name="区域土地利用方向" localSheetId="13">[1]定义!$P$1:$P$6</definedName>
    <definedName name="区域土地利用方向" localSheetId="14">[2]定义!$P$1:$P$6</definedName>
    <definedName name="区域土地利用方向">定义!$P$1:$P$6</definedName>
    <definedName name="三级">区片价!$J$1:$J$21</definedName>
    <definedName name="商业层高" localSheetId="13">'[1]比较法-商业'!$B$116:$M$116</definedName>
    <definedName name="商业层高" localSheetId="14">'[2]比较法-商业'!$B$116:$M$116</definedName>
    <definedName name="商业层高">'比较法-商业'!$B$116:$M$116</definedName>
    <definedName name="商业成新度">'比较法-商业'!$B$109:$M$109</definedName>
    <definedName name="商业繁华度" localSheetId="13">[1]定义!$L$1:$L$6</definedName>
    <definedName name="商业繁华度" localSheetId="14">[2]定义!$L$1:$L$6</definedName>
    <definedName name="商业繁华度">定义!$L$1:$L$6</definedName>
    <definedName name="商业公共部分装修" localSheetId="13">'[1]比较法-商业'!$B$107:$M$107</definedName>
    <definedName name="商业公共部分装修" localSheetId="14">'[2]比较法-商业'!$B$107:$M$107</definedName>
    <definedName name="商业公共部分装修">'比较法-商业'!$B$107:$M$107</definedName>
    <definedName name="商业基础设施水平" localSheetId="13">'[1]比较法-商业'!$B$112:$M$112</definedName>
    <definedName name="商业基础设施水平" localSheetId="14">'[2]比较法-商业'!$B$112:$M$112</definedName>
    <definedName name="商业基础设施水平">'比较法-商业'!$B$112:$M$112</definedName>
    <definedName name="商业建筑结构" localSheetId="13">'[1]比较法-商业'!$B$105:$M$105</definedName>
    <definedName name="商业建筑结构" localSheetId="14">'[2]比较法-商业'!$B$105:$M$105</definedName>
    <definedName name="商业建筑结构">'比较法-商业'!$B$105:$M$105</definedName>
    <definedName name="商业交易情况" localSheetId="13">'[1]比较法-商业'!$A$61:$M$61</definedName>
    <definedName name="商业交易情况" localSheetId="14">'[2]比较法-商业'!$A$61:$M$61</definedName>
    <definedName name="商业交易情况">'比较法-商业'!$A$61:$M$61</definedName>
    <definedName name="商业街名称" localSheetId="13">[1]修正!$C$59:$C$119</definedName>
    <definedName name="商业街名称" localSheetId="14">[2]修正!$C$59:$C$119</definedName>
    <definedName name="商业街名称">修正!$C$59:$C$119</definedName>
    <definedName name="商业进深比" localSheetId="13">'[1]比较法-商业'!$B$120:$M$120</definedName>
    <definedName name="商业进深比" localSheetId="14">'[2]比较法-商业'!$B$120:$M$120</definedName>
    <definedName name="商业进深比">'比较法-商业'!$B$120:$M$120</definedName>
    <definedName name="商业类型" localSheetId="13">'[1]比较法-商业'!$B$100:$M$100</definedName>
    <definedName name="商业类型" localSheetId="14">'[2]比较法-商业'!$B$100:$M$100</definedName>
    <definedName name="商业类型">'比较法-商业'!$B$100:$M$100</definedName>
    <definedName name="商业临街状况" localSheetId="13">'[1]比较法-商业'!$B$86:$M$86</definedName>
    <definedName name="商业临街状况" localSheetId="14">'[2]比较法-商业'!$B$86:$M$86</definedName>
    <definedName name="商业临街状况">'比较法-商业'!$B$86:$M$86</definedName>
    <definedName name="商业楼层" localSheetId="13">'[1]比较法-商业'!$B$92:$M$92</definedName>
    <definedName name="商业楼层" localSheetId="14">'[2]比较法-商业'!$B$92:$M$92</definedName>
    <definedName name="商业楼层">'比较法-商业'!$B$92:$M$92</definedName>
    <definedName name="商业内部装修" localSheetId="13">'[1]比较法-商业'!$B$122:$M$122</definedName>
    <definedName name="商业内部装修" localSheetId="14">'[2]比较法-商业'!$B$122:$M$122</definedName>
    <definedName name="商业内部装修">'比较法-商业'!$B$122:$M$122</definedName>
    <definedName name="商业人流量" localSheetId="13">'[1]比较法-商业'!$B$90:$M$90</definedName>
    <definedName name="商业人流量" localSheetId="14">'[2]比较法-商业'!$B$90:$M$90</definedName>
    <definedName name="商业人流量">'比较法-商业'!$B$90:$M$90</definedName>
    <definedName name="商业业态" localSheetId="13">'[1]比较法-商业'!$B$114:$M$114</definedName>
    <definedName name="商业业态" localSheetId="14">'[2]比较法-商业'!$B$114:$M$114</definedName>
    <definedName name="商业业态">'比较法-商业'!$B$114:$M$114</definedName>
    <definedName name="商业用途" localSheetId="13">'[1]比较法-商业'!$B$63:$M$63</definedName>
    <definedName name="商业用途" localSheetId="14">'[2]比较法-商业'!$B$63:$M$63</definedName>
    <definedName name="商业用途">'比较法-商业'!$B$63:$M$63</definedName>
    <definedName name="十二级">区片价!$S$1:$S$8</definedName>
    <definedName name="十级">区片价!$Q$1:$Q$27</definedName>
    <definedName name="十一级">区片价!$R$1:$R$22</definedName>
    <definedName name="是否封闭" localSheetId="13">'[1]比较法-仓储'!$B$89:$M$89</definedName>
    <definedName name="是否封闭" localSheetId="14">'[2]比较法-仓储'!$B$89:$M$89</definedName>
    <definedName name="是否封闭">'比较法-仓储'!$B$89:$M$89</definedName>
    <definedName name="是否直接入户" localSheetId="13">'[1]比较法-车位'!$B$95:$M$95</definedName>
    <definedName name="是否直接入户" localSheetId="14">'[2]比较法-车位'!$B$95:$M$95</definedName>
    <definedName name="是否直接入户">'比较法-车位'!$B$95:$M$95</definedName>
    <definedName name="四级">区片价!$K$1:$K$28</definedName>
    <definedName name="套工道路等级" localSheetId="13">'[1]土地比较法-工业'!$B$97:$M$97</definedName>
    <definedName name="套工道路等级" localSheetId="14">'[2]土地比较法-工业'!$B$97:$M$97</definedName>
    <definedName name="套工道路等级">'土地比较法-工业'!$B$97:$M$97</definedName>
    <definedName name="套工地质条件" localSheetId="13">'[1]土地比较法-工业'!$B$114:$M$114</definedName>
    <definedName name="套工地质条件" localSheetId="14">'[2]土地比较法-工业'!$B$114:$M$114</definedName>
    <definedName name="套工地质条件">'土地比较法-工业'!$B$114:$M$114</definedName>
    <definedName name="套工交易情况" localSheetId="13">'[1]土地比较法-住宅、综合'!$A$73:$M$73</definedName>
    <definedName name="套工交易情况" localSheetId="14">'[2]土地比较法-住宅、综合'!$A$73:$M$73</definedName>
    <definedName name="套工交易情况">'土地比较法-住宅、综合'!$A$73:$M$73</definedName>
    <definedName name="套工土地级别" localSheetId="13">'[1]土地比较法-工业'!$B$99:$M$99</definedName>
    <definedName name="套工土地级别" localSheetId="14">'[2]土地比较法-工业'!$B$99:$M$99</definedName>
    <definedName name="套工土地级别">'土地比较法-工业'!$B$99:$M$99</definedName>
    <definedName name="套工用途" localSheetId="13">'[1]土地比较法-工业'!$B$70:$M$70</definedName>
    <definedName name="套工用途" localSheetId="14">'[2]土地比较法-工业'!$B$70:$M$70</definedName>
    <definedName name="套工用途">'土地比较法-工业'!$B$70:$M$70</definedName>
    <definedName name="套工宗地开发程度" localSheetId="13">'[1]土地比较法-工业'!$B$112:$M$112</definedName>
    <definedName name="套工宗地开发程度" localSheetId="14">'[2]土地比较法-工业'!$B$112:$M$112</definedName>
    <definedName name="套工宗地开发程度">'土地比较法-工业'!$B$112:$M$112</definedName>
    <definedName name="套工宗地形状" localSheetId="13">'[1]土地比较法-工业'!$B$110:$M$110</definedName>
    <definedName name="套工宗地形状" localSheetId="14">'[2]土地比较法-工业'!$B$110:$M$110</definedName>
    <definedName name="套工宗地形状">'土地比较法-工业'!$B$110:$M$110</definedName>
    <definedName name="套综道路等级" localSheetId="13">'[1]土地比较法-住宅、综合'!$B$106:$M$106</definedName>
    <definedName name="套综道路等级" localSheetId="14">'[2]土地比较法-住宅、综合'!$B$106:$M$106</definedName>
    <definedName name="套综道路等级">'土地比较法-住宅、综合'!$B$106:$M$106</definedName>
    <definedName name="套综工程地质条件" localSheetId="13">'[1]土地比较法-住宅、综合'!$B$125:$M$125</definedName>
    <definedName name="套综工程地质条件" localSheetId="14">'[2]土地比较法-住宅、综合'!$B$125:$M$125</definedName>
    <definedName name="套综工程地质条件">'土地比较法-住宅、综合'!$B$125:$M$125</definedName>
    <definedName name="套综交易情况" localSheetId="13">'[1]土地比较法-住宅、综合'!$A$73:$M$73</definedName>
    <definedName name="套综交易情况" localSheetId="14">'[2]土地比较法-住宅、综合'!$A$73:$M$73</definedName>
    <definedName name="套综交易情况">'土地比较法-住宅、综合'!$A$73:$M$73</definedName>
    <definedName name="套综临街宽度及深度" localSheetId="13">'[1]土地比较法-住宅、综合'!$B$121:$M$121</definedName>
    <definedName name="套综临街宽度及深度" localSheetId="14">'[2]土地比较法-住宅、综合'!$B$121:$M$121</definedName>
    <definedName name="套综临街宽度及深度">'土地比较法-住宅、综合'!$B$121:$M$121</definedName>
    <definedName name="套综土地级别" localSheetId="13">'[1]土地比较法-住宅、综合'!$B$108:$M$108</definedName>
    <definedName name="套综土地级别" localSheetId="14">'[2]土地比较法-住宅、综合'!$B$108:$M$108</definedName>
    <definedName name="套综土地级别">'土地比较法-住宅、综合'!$B$108:$M$108</definedName>
    <definedName name="套综用途" localSheetId="13">'[1]土地比较法-住宅、综合'!$B$75:$M$75</definedName>
    <definedName name="套综用途" localSheetId="14">'[2]土地比较法-住宅、综合'!$B$75:$M$75</definedName>
    <definedName name="套综用途">'土地比较法-住宅、综合'!$B$75:$M$75</definedName>
    <definedName name="套综宗地内开发程度" localSheetId="13">'[1]土地比较法-住宅、综合'!$B$123:$M$123</definedName>
    <definedName name="套综宗地内开发程度" localSheetId="14">'[2]土地比较法-住宅、综合'!$B$123:$M$123</definedName>
    <definedName name="套综宗地内开发程度">'土地比较法-住宅、综合'!$B$123:$M$123</definedName>
    <definedName name="套综宗地形状" localSheetId="13">'[1]土地比较法-住宅、综合'!$B$119:$M$119</definedName>
    <definedName name="套综宗地形状" localSheetId="14">'[2]土地比较法-住宅、综合'!$B$119:$M$119</definedName>
    <definedName name="套综宗地形状">'土地比较法-住宅、综合'!$B$119:$M$119</definedName>
    <definedName name="土地估价师">估价师及机构信息!$D$3:$D$24</definedName>
    <definedName name="土地级别" localSheetId="13">[1]定义!$C$1:$C$14</definedName>
    <definedName name="土地级别" localSheetId="14">[2]定义!$C$1:$C$14</definedName>
    <definedName name="土地级别">定义!$C$1:$C$14</definedName>
    <definedName name="土地利用方向">定义!$P$1:$P$6</definedName>
    <definedName name="土地年限区间" localSheetId="13">[1]定义!$I$1:$I$8</definedName>
    <definedName name="土地年限区间" localSheetId="14">[2]定义!$I$1:$I$8</definedName>
    <definedName name="土地年限区间">定义!$I$1:$I$8</definedName>
    <definedName name="位置" localSheetId="13">[1]定义!$E$2:$E$4</definedName>
    <definedName name="位置" localSheetId="14">[2]定义!$E$2:$E$4</definedName>
    <definedName name="位置">定义!$E$2:$E$4</definedName>
    <definedName name="五等判定" localSheetId="13">[1]定义!$W$1:$W$6</definedName>
    <definedName name="五等判定" localSheetId="14">[2]定义!$W$1:$W$6</definedName>
    <definedName name="五等判定">定义!$W$1:$W$6</definedName>
    <definedName name="五级">区片价!$L$1:$L$35</definedName>
    <definedName name="项目类型" localSheetId="13">'[1]数据-汇总表'!$C$17:$C$26</definedName>
    <definedName name="项目类型" localSheetId="14">'[2]数据-汇总表'!$C$17:$C$26</definedName>
    <definedName name="项目类型">'数据-汇总表'!$C$17:$C$26</definedName>
    <definedName name="写字楼等级" localSheetId="13">'[1]比较法-办公'!$B$113:$M$113</definedName>
    <definedName name="写字楼等级" localSheetId="14">'[2]比较法-办公'!$B$113:$M$113</definedName>
    <definedName name="写字楼等级">'比较法-办公'!$B$113:$M$113</definedName>
    <definedName name="一级">区片价!$H$1:$H$6</definedName>
    <definedName name="一修多修正项2" localSheetId="13">[1]典型户型修正!$5:$5</definedName>
    <definedName name="一修多修正项2" localSheetId="14">[2]典型户型修正!$5:$5</definedName>
    <definedName name="一修多修正项2">典型户型修正!$5:$5</definedName>
    <definedName name="一修多修正项3" localSheetId="13">[1]典型户型修正!$7:$7</definedName>
    <definedName name="一修多修正项3" localSheetId="14">[2]典型户型修正!$7:$7</definedName>
    <definedName name="一修多修正项3">典型户型修正!$7:$7</definedName>
    <definedName name="一修多修正项4" localSheetId="13">[1]典型户型修正!$9:$9</definedName>
    <definedName name="一修多修正项4" localSheetId="14">[2]典型户型修正!$9:$9</definedName>
    <definedName name="一修多修正项4">典型户型修正!$9:$9</definedName>
    <definedName name="一修多修正项5" localSheetId="13">[1]典型户型修正!$11:$11</definedName>
    <definedName name="一修多修正项5" localSheetId="14">[2]典型户型修正!$11:$11</definedName>
    <definedName name="一修多修正项5">典型户型修正!$11:$11</definedName>
    <definedName name="一修多修正项6" localSheetId="13">[1]典型户型修正!$13:$13</definedName>
    <definedName name="一修多修正项6" localSheetId="14">[2]典型户型修正!$13:$13</definedName>
    <definedName name="一修多修正项6">典型户型修正!$13:$13</definedName>
    <definedName name="一修多修正项7" localSheetId="13">[1]典型户型修正!$15:$15</definedName>
    <definedName name="一修多修正项7" localSheetId="14">[2]典型户型修正!$15:$15</definedName>
    <definedName name="一修多修正项7">典型户型修正!$15:$15</definedName>
    <definedName name="一修多修正项8" localSheetId="13">[1]典型户型修正!$17:$17</definedName>
    <definedName name="一修多修正项8" localSheetId="14">[2]典型户型修正!$17:$17</definedName>
    <definedName name="一修多修正项8">典型户型修正!$17:$17</definedName>
    <definedName name="用途明细" localSheetId="13">[1]定义!$A$1:$A$50</definedName>
    <definedName name="用途明细" localSheetId="14">[2]定义!$A$1:$A$50</definedName>
    <definedName name="用途明细">定义!$A$1:$A$50</definedName>
    <definedName name="有无电梯" localSheetId="13">'[1]比较法-仓储'!$B$84:$M$84</definedName>
    <definedName name="有无电梯" localSheetId="14">'[2]比较法-仓储'!$B$84:$M$84</definedName>
    <definedName name="有无电梯">'比较法-仓储'!$B$84:$M$84</definedName>
    <definedName name="主用途" localSheetId="13">[1]定义!$F$1:$F$10</definedName>
    <definedName name="主用途" localSheetId="14">[2]定义!$F$1:$F$10</definedName>
    <definedName name="主用途">定义!$F$1:$F$10</definedName>
    <definedName name="住宅朝向" localSheetId="13">'[1]比较法-住宅'!$B$88:$M$88</definedName>
    <definedName name="住宅朝向" localSheetId="14">'[2]比较法-住宅'!$B$88:$M$88</definedName>
    <definedName name="住宅朝向">'比较法-住宅'!$B$88:$M$88</definedName>
    <definedName name="住宅房型" localSheetId="13">'[1]比较法-住宅'!$B$118:$M$118</definedName>
    <definedName name="住宅房型" localSheetId="14">'[2]比较法-住宅'!$B$118:$M$118</definedName>
    <definedName name="住宅房型">'比较法-住宅'!$B$118:$M$118</definedName>
    <definedName name="住宅公共部分装修" localSheetId="13">'[1]比较法-住宅'!$B$109:$M$109</definedName>
    <definedName name="住宅公共部分装修" localSheetId="14">'[2]比较法-住宅'!$B$109:$M$109</definedName>
    <definedName name="住宅公共部分装修">'比较法-住宅'!$B$109:$M$109</definedName>
    <definedName name="住宅基础设施水平" localSheetId="13">'[1]比较法-住宅'!$B$116:$M$116</definedName>
    <definedName name="住宅基础设施水平" localSheetId="14">'[2]比较法-住宅'!$B$116:$M$116</definedName>
    <definedName name="住宅基础设施水平">'比较法-住宅'!$B$116:$M$116</definedName>
    <definedName name="住宅建筑结构" localSheetId="13">'[1]比较法-住宅'!$B$105:$M$105</definedName>
    <definedName name="住宅建筑结构" localSheetId="14">'[2]比较法-住宅'!$B$105:$M$105</definedName>
    <definedName name="住宅建筑结构">'比较法-住宅'!$B$105:$M$105</definedName>
    <definedName name="住宅建筑类型" localSheetId="13">'[1]比较法-住宅'!$B$100:$M$100</definedName>
    <definedName name="住宅建筑类型" localSheetId="14">'[2]比较法-住宅'!$B$100:$M$100</definedName>
    <definedName name="住宅建筑类型">'比较法-住宅'!$B$100:$M$100</definedName>
    <definedName name="住宅建筑品质" localSheetId="13">'[1]比较法-住宅'!$B$107:$M$107</definedName>
    <definedName name="住宅建筑品质" localSheetId="14">'[2]比较法-住宅'!$B$107:$M$107</definedName>
    <definedName name="住宅建筑品质">'比较法-住宅'!$B$107:$M$107</definedName>
    <definedName name="住宅交易情况" localSheetId="13">'[1]比较法-住宅'!$A$61:$M$61</definedName>
    <definedName name="住宅交易情况" localSheetId="14">'[2]比较法-住宅'!$A$61:$M$61</definedName>
    <definedName name="住宅交易情况">'比较法-住宅'!$A$61:$M$61</definedName>
    <definedName name="住宅楼层" localSheetId="13">'[1]比较法-住宅'!$B$86:$M$86</definedName>
    <definedName name="住宅楼层" localSheetId="14">'[2]比较法-住宅'!$B$86:$M$86</definedName>
    <definedName name="住宅楼层">'比较法-住宅'!$B$86:$M$86</definedName>
    <definedName name="住宅内部装修" localSheetId="13">'[1]比较法-住宅'!$B$122:$M$122</definedName>
    <definedName name="住宅内部装修" localSheetId="14">'[2]比较法-住宅'!$B$122:$M$122</definedName>
    <definedName name="住宅内部装修">'比较法-住宅'!$B$122:$M$122</definedName>
    <definedName name="住宅物业管理" localSheetId="13">'[1]比较法-住宅'!$B$114:$M$114</definedName>
    <definedName name="住宅物业管理" localSheetId="14">'[2]比较法-住宅'!$B$114:$M$114</definedName>
    <definedName name="住宅物业管理">'比较法-住宅'!$B$114:$M$114</definedName>
    <definedName name="住宅用途" localSheetId="13">'[1]比较法-住宅'!$B$63:$M$63</definedName>
    <definedName name="住宅用途" localSheetId="14">'[2]比较法-住宅'!$B$63:$M$63</definedName>
    <definedName name="住宅用途">'比较法-住宅'!$B$63:$M$63</definedName>
    <definedName name="住宅主力户型面积">'比较法-住宅'!$B$120:$M$120</definedName>
    <definedName name="注册房地产估价师" localSheetId="13">[1]估价师及机构信息!$A$3:$A$24</definedName>
    <definedName name="注册房地产估价师" localSheetId="14">[2]估价师及机构信息!$A$3:$A$24</definedName>
    <definedName name="注册房地产估价师">估价师及机构信息!$A$3:$A$24</definedName>
  </definedNames>
  <calcPr calcId="144525" iterate="1"/>
</workbook>
</file>

<file path=xl/calcChain.xml><?xml version="1.0" encoding="utf-8"?>
<calcChain xmlns="http://schemas.openxmlformats.org/spreadsheetml/2006/main">
  <c r="Z6" i="1" l="1"/>
  <c r="L2" i="79"/>
  <c r="L54" i="79"/>
  <c r="K3" i="79"/>
  <c r="K4" i="79"/>
  <c r="K5" i="79"/>
  <c r="K6" i="79"/>
  <c r="K7" i="79"/>
  <c r="K8" i="79"/>
  <c r="K9" i="79"/>
  <c r="K10" i="79"/>
  <c r="K11" i="79"/>
  <c r="K12" i="79"/>
  <c r="K13" i="79"/>
  <c r="K14" i="79"/>
  <c r="K15" i="79"/>
  <c r="K16" i="79"/>
  <c r="K17" i="79"/>
  <c r="K18" i="79"/>
  <c r="K19" i="79"/>
  <c r="K20" i="79"/>
  <c r="K21" i="79"/>
  <c r="K22" i="79"/>
  <c r="K23" i="79"/>
  <c r="K24" i="79"/>
  <c r="K25" i="79"/>
  <c r="K26" i="79"/>
  <c r="K27" i="79"/>
  <c r="K28" i="79"/>
  <c r="K29" i="79"/>
  <c r="K30" i="79"/>
  <c r="K31" i="79"/>
  <c r="K32" i="79"/>
  <c r="K33" i="79"/>
  <c r="K34" i="79"/>
  <c r="K35" i="79"/>
  <c r="K36" i="79"/>
  <c r="K37" i="79"/>
  <c r="K38" i="79"/>
  <c r="K39" i="79"/>
  <c r="K40" i="79"/>
  <c r="K41" i="79"/>
  <c r="K42" i="79"/>
  <c r="K43" i="79"/>
  <c r="K44" i="79"/>
  <c r="K45" i="79"/>
  <c r="K46" i="79"/>
  <c r="K47" i="79"/>
  <c r="K48" i="79"/>
  <c r="K49" i="79"/>
  <c r="K50" i="79"/>
  <c r="K51" i="79"/>
  <c r="K52" i="79"/>
  <c r="K53" i="79"/>
  <c r="K54" i="79"/>
  <c r="K55" i="79"/>
  <c r="K56" i="79"/>
  <c r="K57" i="79"/>
  <c r="K58" i="79"/>
  <c r="K59" i="79"/>
  <c r="AD6" i="1" l="1"/>
  <c r="D60" i="79"/>
  <c r="K2" i="79" l="1"/>
  <c r="K60" i="79" s="1"/>
  <c r="G60" i="79" s="1"/>
  <c r="I14" i="78" l="1"/>
  <c r="M13" i="78"/>
  <c r="M11" i="78"/>
  <c r="M10" i="78"/>
  <c r="M9" i="78"/>
  <c r="M7" i="78"/>
  <c r="M14" i="78" s="1"/>
  <c r="Y6" i="1" l="1"/>
  <c r="N22" i="1"/>
  <c r="N19" i="1"/>
  <c r="G41" i="43"/>
  <c r="D29" i="43"/>
  <c r="B29" i="1"/>
  <c r="F19" i="6"/>
  <c r="B5" i="4"/>
  <c r="B7" i="4"/>
  <c r="C11" i="4"/>
  <c r="I13" i="4"/>
  <c r="A3" i="3"/>
  <c r="I13" i="3"/>
  <c r="I24" i="77"/>
  <c r="L23" i="77"/>
  <c r="L22" i="77"/>
  <c r="L21" i="77"/>
  <c r="L20" i="77"/>
  <c r="L19" i="77"/>
  <c r="L18" i="77"/>
  <c r="L14" i="77"/>
  <c r="L13" i="77"/>
  <c r="L12" i="77"/>
  <c r="L11" i="77"/>
  <c r="L10" i="77"/>
  <c r="L9" i="77"/>
  <c r="L8" i="77"/>
  <c r="L7" i="77"/>
  <c r="L24" i="77" s="1"/>
  <c r="D3" i="4" l="1"/>
  <c r="M15" i="45" l="1"/>
  <c r="L15" i="45"/>
  <c r="K15" i="45"/>
  <c r="J15" i="45"/>
  <c r="I15" i="45"/>
  <c r="H15" i="45"/>
  <c r="G15" i="45"/>
  <c r="F15" i="45"/>
  <c r="E15" i="45"/>
  <c r="D15" i="45"/>
  <c r="C15" i="45"/>
  <c r="B15" i="45"/>
  <c r="V6" i="71"/>
  <c r="U6" i="71"/>
  <c r="T6" i="71"/>
  <c r="S6" i="71"/>
  <c r="AH5" i="71" l="1"/>
  <c r="AG5" i="71"/>
  <c r="AE5" i="71"/>
  <c r="AF5" i="71" s="1"/>
  <c r="AD5" i="71"/>
  <c r="Q5" i="71"/>
  <c r="P5" i="71"/>
  <c r="O5" i="71"/>
  <c r="N5" i="71"/>
  <c r="AD6" i="71" l="1"/>
  <c r="AH6" i="71"/>
  <c r="AG6" i="71"/>
  <c r="AE6" i="71"/>
  <c r="AF6" i="71" s="1"/>
  <c r="Q6" i="71"/>
  <c r="AB5" i="71" s="1"/>
  <c r="P6" i="71"/>
  <c r="AA5" i="71" s="1"/>
  <c r="O6" i="71"/>
  <c r="Y5" i="71" s="1"/>
  <c r="Z5" i="71" s="1"/>
  <c r="N6" i="71"/>
  <c r="X5" i="71" s="1"/>
  <c r="L3" i="71" l="1"/>
  <c r="AH3" i="71" s="1"/>
  <c r="K3" i="71"/>
  <c r="AG3" i="71" s="1"/>
  <c r="J3" i="71"/>
  <c r="AE3" i="71" s="1"/>
  <c r="I3" i="71"/>
  <c r="AH7" i="71"/>
  <c r="AG7" i="71"/>
  <c r="AE7" i="71"/>
  <c r="AF7" i="71" s="1"/>
  <c r="AD7" i="71"/>
  <c r="Q7" i="71"/>
  <c r="AB6" i="71" s="1"/>
  <c r="Q8" i="71"/>
  <c r="AB7" i="71"/>
  <c r="P7" i="71"/>
  <c r="AA6" i="71" s="1"/>
  <c r="P8" i="71"/>
  <c r="AA7" i="71"/>
  <c r="O7" i="71"/>
  <c r="O8" i="71"/>
  <c r="Y7" i="71"/>
  <c r="Z7" i="71" s="1"/>
  <c r="N7" i="71"/>
  <c r="X6" i="71" s="1"/>
  <c r="N8" i="71"/>
  <c r="X7" i="71"/>
  <c r="F8" i="71"/>
  <c r="E8" i="71"/>
  <c r="C8" i="71"/>
  <c r="B8" i="71"/>
  <c r="B7" i="71"/>
  <c r="B6" i="71" s="1"/>
  <c r="B5" i="71" s="1"/>
  <c r="N9" i="71"/>
  <c r="X8" i="71"/>
  <c r="AH8" i="71"/>
  <c r="AG8" i="71"/>
  <c r="AE8" i="71"/>
  <c r="AF8" i="71"/>
  <c r="AD8" i="71"/>
  <c r="Q9" i="71"/>
  <c r="AB8" i="71"/>
  <c r="P9" i="71"/>
  <c r="AA8" i="71"/>
  <c r="O9" i="71"/>
  <c r="Y8" i="71"/>
  <c r="Z8" i="71"/>
  <c r="F9" i="71"/>
  <c r="E9" i="71"/>
  <c r="C9" i="71"/>
  <c r="D8" i="71"/>
  <c r="B9" i="71"/>
  <c r="D9" i="71"/>
  <c r="M19" i="43"/>
  <c r="J53" i="67"/>
  <c r="D11" i="71"/>
  <c r="AH9" i="71"/>
  <c r="AG9" i="71"/>
  <c r="AE9" i="71"/>
  <c r="AF9" i="71"/>
  <c r="AD9" i="71"/>
  <c r="AD10" i="71"/>
  <c r="AG10" i="71"/>
  <c r="AH10" i="71"/>
  <c r="AE10" i="71"/>
  <c r="AF10" i="71"/>
  <c r="N10" i="71"/>
  <c r="X9" i="71"/>
  <c r="Q10" i="71"/>
  <c r="AB9" i="71"/>
  <c r="P10" i="71"/>
  <c r="AA9" i="71"/>
  <c r="O10" i="71"/>
  <c r="Y9" i="71"/>
  <c r="Z9" i="71"/>
  <c r="C10" i="71"/>
  <c r="T10" i="71"/>
  <c r="Q11" i="71"/>
  <c r="F10" i="71"/>
  <c r="P11" i="71"/>
  <c r="E10" i="71"/>
  <c r="O11" i="71"/>
  <c r="N11" i="71"/>
  <c r="B10" i="71"/>
  <c r="S10" i="71"/>
  <c r="V10" i="71"/>
  <c r="D10" i="71"/>
  <c r="U10" i="71"/>
  <c r="AB10" i="71"/>
  <c r="Y10" i="71"/>
  <c r="Z10" i="71"/>
  <c r="X10" i="71"/>
  <c r="AA10" i="71"/>
  <c r="A2" i="53"/>
  <c r="K59" i="67"/>
  <c r="P61" i="67"/>
  <c r="K59" i="15"/>
  <c r="P74" i="15" s="1"/>
  <c r="P74" i="67"/>
  <c r="D116" i="39"/>
  <c r="E116" i="39"/>
  <c r="F116" i="39"/>
  <c r="G116" i="39"/>
  <c r="H116" i="39"/>
  <c r="I116" i="39"/>
  <c r="J116" i="39"/>
  <c r="K116" i="39"/>
  <c r="L116" i="39"/>
  <c r="M116" i="39"/>
  <c r="C116" i="39"/>
  <c r="A21" i="62"/>
  <c r="B67" i="72" s="1"/>
  <c r="A20" i="62"/>
  <c r="A22" i="51"/>
  <c r="A21" i="51"/>
  <c r="A20" i="51"/>
  <c r="A14" i="62"/>
  <c r="B60" i="72" s="1"/>
  <c r="A13" i="62"/>
  <c r="A19" i="62"/>
  <c r="A12" i="62"/>
  <c r="B58" i="72" s="1"/>
  <c r="A120" i="9"/>
  <c r="H2" i="52"/>
  <c r="A1" i="52"/>
  <c r="A3" i="53"/>
  <c r="Q12" i="71"/>
  <c r="P12" i="71"/>
  <c r="O12" i="71"/>
  <c r="N12" i="71"/>
  <c r="A15" i="51"/>
  <c r="B12" i="72" s="1"/>
  <c r="C76" i="9"/>
  <c r="I107" i="40"/>
  <c r="K6" i="4"/>
  <c r="M56" i="9" s="1"/>
  <c r="B22" i="31"/>
  <c r="N56" i="9"/>
  <c r="K56" i="9"/>
  <c r="E16" i="74"/>
  <c r="F16" i="74"/>
  <c r="E17" i="74"/>
  <c r="F17" i="74"/>
  <c r="E18" i="74"/>
  <c r="F18" i="74"/>
  <c r="E19" i="74"/>
  <c r="F19" i="74"/>
  <c r="E20" i="74"/>
  <c r="F20" i="74"/>
  <c r="E21" i="74"/>
  <c r="F21" i="74"/>
  <c r="E22" i="74"/>
  <c r="F22" i="74"/>
  <c r="E23" i="74"/>
  <c r="F23" i="74"/>
  <c r="B3" i="74"/>
  <c r="C91" i="9"/>
  <c r="B8" i="72"/>
  <c r="O13" i="71"/>
  <c r="P13" i="71"/>
  <c r="Q13" i="71"/>
  <c r="N13"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H25" i="71"/>
  <c r="AG25" i="71"/>
  <c r="AE25" i="71"/>
  <c r="AF25" i="71"/>
  <c r="AD25" i="71"/>
  <c r="AD26" i="71"/>
  <c r="AE26" i="71"/>
  <c r="AF26" i="71"/>
  <c r="AG26" i="71"/>
  <c r="AH26" i="71"/>
  <c r="S2" i="31"/>
  <c r="M2" i="31"/>
  <c r="N2" i="31"/>
  <c r="O2" i="31"/>
  <c r="P2" i="31"/>
  <c r="Q2" i="31"/>
  <c r="R2" i="31"/>
  <c r="C1" i="73"/>
  <c r="L1" i="73" s="1"/>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s="1"/>
  <c r="A12" i="52" s="1"/>
  <c r="B56" i="72" s="1"/>
  <c r="E109" i="9"/>
  <c r="A124" i="9"/>
  <c r="B44" i="72"/>
  <c r="B42" i="72"/>
  <c r="B69" i="72"/>
  <c r="B68" i="72"/>
  <c r="B63" i="72"/>
  <c r="B62" i="72"/>
  <c r="B16" i="72"/>
  <c r="B65" i="72"/>
  <c r="B59" i="72"/>
  <c r="B66" i="72"/>
  <c r="B10" i="72"/>
  <c r="C53" i="10"/>
  <c r="B51" i="10"/>
  <c r="B19" i="72"/>
  <c r="A18" i="51"/>
  <c r="B13" i="72" s="1"/>
  <c r="C8" i="68"/>
  <c r="B49" i="48"/>
  <c r="B5" i="72"/>
  <c r="I19" i="43"/>
  <c r="D75" i="71"/>
  <c r="F74" i="71"/>
  <c r="E74" i="71"/>
  <c r="E73" i="71"/>
  <c r="E72" i="71"/>
  <c r="C74" i="71"/>
  <c r="D74" i="71"/>
  <c r="B74" i="71"/>
  <c r="F73" i="71"/>
  <c r="F72" i="71"/>
  <c r="B73" i="71"/>
  <c r="B72" i="71"/>
  <c r="D71" i="71"/>
  <c r="F70" i="71"/>
  <c r="E70" i="71"/>
  <c r="E69" i="71"/>
  <c r="E68" i="71"/>
  <c r="C70" i="71"/>
  <c r="D70" i="71"/>
  <c r="B70" i="71"/>
  <c r="F69" i="71"/>
  <c r="F68" i="71"/>
  <c r="B69" i="71"/>
  <c r="B68" i="71"/>
  <c r="D67" i="71"/>
  <c r="Q66" i="71"/>
  <c r="P66" i="71"/>
  <c r="O66" i="71"/>
  <c r="N66" i="71"/>
  <c r="F66" i="71"/>
  <c r="V66" i="71"/>
  <c r="E66" i="71"/>
  <c r="U66" i="71"/>
  <c r="C66" i="71"/>
  <c r="T66" i="71"/>
  <c r="B66" i="71"/>
  <c r="S66" i="71"/>
  <c r="Q65" i="71"/>
  <c r="P65" i="71"/>
  <c r="O65" i="71"/>
  <c r="N65" i="71"/>
  <c r="F65" i="71"/>
  <c r="F64" i="71"/>
  <c r="B65" i="71"/>
  <c r="B64" i="71"/>
  <c r="Q64" i="71"/>
  <c r="P64" i="71"/>
  <c r="O64" i="71"/>
  <c r="N64" i="71"/>
  <c r="Q63" i="71"/>
  <c r="P63" i="71"/>
  <c r="O63" i="71"/>
  <c r="N63"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Q58" i="71"/>
  <c r="P58" i="71"/>
  <c r="O58" i="71"/>
  <c r="N58" i="71"/>
  <c r="F58" i="71"/>
  <c r="V58" i="71"/>
  <c r="E58" i="71"/>
  <c r="U58" i="71"/>
  <c r="C58" i="71"/>
  <c r="T58" i="71"/>
  <c r="B58" i="71"/>
  <c r="S58" i="71"/>
  <c r="Q57" i="71"/>
  <c r="P57" i="71"/>
  <c r="O57" i="71"/>
  <c r="N57" i="71"/>
  <c r="F57" i="71"/>
  <c r="F56" i="71"/>
  <c r="B57" i="71"/>
  <c r="B56" i="71"/>
  <c r="Q56" i="71"/>
  <c r="P56" i="71"/>
  <c r="O56" i="71"/>
  <c r="N56" i="71"/>
  <c r="Q55" i="71"/>
  <c r="P55" i="71"/>
  <c r="O55" i="71"/>
  <c r="N55" i="71"/>
  <c r="D55" i="71"/>
  <c r="F54" i="71"/>
  <c r="V54" i="71"/>
  <c r="E54" i="71"/>
  <c r="P54" i="71"/>
  <c r="C54" i="71"/>
  <c r="B54" i="71"/>
  <c r="S54" i="71"/>
  <c r="F53" i="71"/>
  <c r="F52" i="71"/>
  <c r="Q52" i="71"/>
  <c r="B53" i="71"/>
  <c r="D51" i="71"/>
  <c r="Q50" i="71"/>
  <c r="P50" i="71"/>
  <c r="O50" i="71"/>
  <c r="N50" i="71"/>
  <c r="Q49" i="71"/>
  <c r="P49" i="71"/>
  <c r="O49" i="71"/>
  <c r="N49" i="71"/>
  <c r="Q48" i="71"/>
  <c r="P48" i="71"/>
  <c r="O48" i="71"/>
  <c r="N48" i="71"/>
  <c r="Q47" i="71"/>
  <c r="F48" i="71"/>
  <c r="F49" i="71"/>
  <c r="F50" i="71"/>
  <c r="V50" i="71"/>
  <c r="P47" i="71"/>
  <c r="E48" i="71"/>
  <c r="O47" i="71"/>
  <c r="C48" i="71"/>
  <c r="N47" i="71"/>
  <c r="B48" i="71"/>
  <c r="B49" i="71"/>
  <c r="B50" i="71"/>
  <c r="S50" i="71"/>
  <c r="D47" i="71"/>
  <c r="Q46" i="71"/>
  <c r="P46" i="71"/>
  <c r="O46" i="71"/>
  <c r="N46" i="71"/>
  <c r="Q45" i="71"/>
  <c r="P45" i="71"/>
  <c r="O45" i="71"/>
  <c r="N45" i="71"/>
  <c r="Q44" i="71"/>
  <c r="P44" i="71"/>
  <c r="O44" i="71"/>
  <c r="N44" i="71"/>
  <c r="Q43" i="71"/>
  <c r="F44" i="71"/>
  <c r="F45" i="71"/>
  <c r="F46" i="71"/>
  <c r="V46" i="71"/>
  <c r="P43" i="71"/>
  <c r="E44" i="71"/>
  <c r="O43" i="71"/>
  <c r="C44" i="71"/>
  <c r="N43" i="71"/>
  <c r="B44" i="71"/>
  <c r="B45" i="71"/>
  <c r="B46" i="71"/>
  <c r="S46" i="71"/>
  <c r="D43" i="71"/>
  <c r="Q42" i="71"/>
  <c r="P42" i="71"/>
  <c r="O42" i="71"/>
  <c r="N42" i="71"/>
  <c r="Q41" i="71"/>
  <c r="P41" i="71"/>
  <c r="O41" i="71"/>
  <c r="N41" i="71"/>
  <c r="Q40" i="71"/>
  <c r="P40" i="71"/>
  <c r="O40" i="71"/>
  <c r="N40" i="71"/>
  <c r="C40" i="71"/>
  <c r="Q39" i="71"/>
  <c r="F40" i="71"/>
  <c r="F41" i="71"/>
  <c r="F42" i="71"/>
  <c r="V42" i="71"/>
  <c r="P39" i="71"/>
  <c r="E40" i="71"/>
  <c r="O39" i="71"/>
  <c r="N39" i="71"/>
  <c r="B40" i="71"/>
  <c r="B41" i="71"/>
  <c r="B42" i="71"/>
  <c r="S42" i="71"/>
  <c r="D39" i="71"/>
  <c r="Q38" i="71"/>
  <c r="P38" i="71"/>
  <c r="O38" i="71"/>
  <c r="N38" i="71"/>
  <c r="Q37" i="71"/>
  <c r="P37" i="71"/>
  <c r="O37" i="71"/>
  <c r="N37" i="71"/>
  <c r="Q36" i="71"/>
  <c r="P36" i="71"/>
  <c r="O36" i="71"/>
  <c r="N36" i="71"/>
  <c r="Q35" i="71"/>
  <c r="F36" i="71"/>
  <c r="P35" i="71"/>
  <c r="E36" i="71"/>
  <c r="E37" i="71"/>
  <c r="E38" i="71"/>
  <c r="U38" i="71"/>
  <c r="O35" i="71"/>
  <c r="C36" i="71"/>
  <c r="N35" i="71"/>
  <c r="B36" i="71"/>
  <c r="B37" i="71"/>
  <c r="B38" i="71"/>
  <c r="S38" i="71"/>
  <c r="D35" i="71"/>
  <c r="T34" i="71"/>
  <c r="Q34" i="71"/>
  <c r="P34" i="71"/>
  <c r="O34" i="71"/>
  <c r="N34" i="71"/>
  <c r="D34" i="71"/>
  <c r="Q33" i="71"/>
  <c r="P33" i="71"/>
  <c r="O33" i="71"/>
  <c r="N33" i="71"/>
  <c r="Q32" i="71"/>
  <c r="P32" i="71"/>
  <c r="O32" i="71"/>
  <c r="N32" i="71"/>
  <c r="F32" i="71"/>
  <c r="F33" i="71"/>
  <c r="F34" i="71"/>
  <c r="V34" i="71"/>
  <c r="Q31" i="71"/>
  <c r="P31" i="71"/>
  <c r="E32" i="71"/>
  <c r="E33" i="71"/>
  <c r="E34" i="71"/>
  <c r="U34" i="71"/>
  <c r="O31" i="71"/>
  <c r="C32" i="71"/>
  <c r="N31" i="71"/>
  <c r="B32" i="71"/>
  <c r="B33" i="71"/>
  <c r="B34" i="71"/>
  <c r="S34" i="71"/>
  <c r="D31" i="71"/>
  <c r="Q30" i="71"/>
  <c r="P30" i="71"/>
  <c r="O30" i="71"/>
  <c r="N30" i="71"/>
  <c r="Q29" i="71"/>
  <c r="P29" i="71"/>
  <c r="O29" i="71"/>
  <c r="N29" i="71"/>
  <c r="Q28" i="71"/>
  <c r="P28" i="71"/>
  <c r="O28" i="71"/>
  <c r="N28" i="71"/>
  <c r="F28" i="71"/>
  <c r="F29" i="71"/>
  <c r="F30" i="71"/>
  <c r="V30" i="71"/>
  <c r="Q27" i="71"/>
  <c r="P27" i="71"/>
  <c r="E28" i="71"/>
  <c r="E29" i="71"/>
  <c r="E30" i="71"/>
  <c r="U30" i="71"/>
  <c r="O27" i="71"/>
  <c r="C28" i="71"/>
  <c r="N27" i="71"/>
  <c r="B28" i="71"/>
  <c r="B29" i="71"/>
  <c r="B30" i="71"/>
  <c r="S30" i="71"/>
  <c r="D27" i="71"/>
  <c r="Q26" i="71"/>
  <c r="P26" i="71"/>
  <c r="O26" i="71"/>
  <c r="N26" i="71"/>
  <c r="AB25" i="71"/>
  <c r="Q25" i="71"/>
  <c r="P25" i="71"/>
  <c r="AA25" i="71"/>
  <c r="O25" i="71"/>
  <c r="Y25" i="71"/>
  <c r="Z25" i="71"/>
  <c r="N25" i="71"/>
  <c r="X25" i="71"/>
  <c r="Q24" i="71"/>
  <c r="AB24" i="71"/>
  <c r="P24" i="71"/>
  <c r="O24" i="71"/>
  <c r="Y24" i="71"/>
  <c r="Z24" i="71"/>
  <c r="N24" i="71"/>
  <c r="F24" i="71"/>
  <c r="F25" i="71"/>
  <c r="F26" i="71"/>
  <c r="V26" i="71"/>
  <c r="Q23" i="71"/>
  <c r="P23" i="71"/>
  <c r="O23" i="71"/>
  <c r="N23" i="71"/>
  <c r="D23" i="71"/>
  <c r="Q22" i="71"/>
  <c r="AB22" i="71"/>
  <c r="P22" i="71"/>
  <c r="O22" i="71"/>
  <c r="Y22" i="71"/>
  <c r="Z22" i="71"/>
  <c r="N22" i="71"/>
  <c r="Q21" i="71"/>
  <c r="AB21" i="71"/>
  <c r="P21" i="71"/>
  <c r="O21" i="71"/>
  <c r="Y21" i="71"/>
  <c r="Z21" i="71"/>
  <c r="N21" i="71"/>
  <c r="Q20" i="71"/>
  <c r="AB20" i="71"/>
  <c r="P20" i="71"/>
  <c r="O20" i="71"/>
  <c r="Y20" i="71"/>
  <c r="Z20" i="71"/>
  <c r="N20" i="71"/>
  <c r="F20" i="71"/>
  <c r="F21" i="71"/>
  <c r="F22" i="71"/>
  <c r="V22" i="71"/>
  <c r="Q19" i="71"/>
  <c r="P19" i="71"/>
  <c r="O19" i="71"/>
  <c r="N19" i="71"/>
  <c r="D19" i="71"/>
  <c r="Q18" i="71"/>
  <c r="AB18" i="71"/>
  <c r="P18" i="71"/>
  <c r="O18" i="71"/>
  <c r="Y18" i="71"/>
  <c r="Z18" i="71"/>
  <c r="N18" i="71"/>
  <c r="Q17" i="71"/>
  <c r="AB17" i="71"/>
  <c r="P17" i="71"/>
  <c r="O17" i="71"/>
  <c r="Y17" i="71"/>
  <c r="Z17" i="71"/>
  <c r="N17" i="71"/>
  <c r="Q16" i="71"/>
  <c r="AB16" i="71"/>
  <c r="P16" i="71"/>
  <c r="O16" i="71"/>
  <c r="Y16" i="71"/>
  <c r="Z16" i="71"/>
  <c r="N16" i="71"/>
  <c r="F16" i="71"/>
  <c r="F17" i="71"/>
  <c r="F18" i="71"/>
  <c r="V18" i="71"/>
  <c r="Q15" i="71"/>
  <c r="P15" i="71"/>
  <c r="O15" i="71"/>
  <c r="N15" i="71"/>
  <c r="D15" i="71"/>
  <c r="O14" i="71"/>
  <c r="N14" i="71"/>
  <c r="B16" i="71"/>
  <c r="B17" i="71"/>
  <c r="B18" i="71"/>
  <c r="S18" i="71"/>
  <c r="X15" i="71"/>
  <c r="E16" i="71"/>
  <c r="E17" i="71"/>
  <c r="E18" i="71"/>
  <c r="U18" i="71"/>
  <c r="AA15" i="71"/>
  <c r="B20" i="71"/>
  <c r="B21" i="71"/>
  <c r="B22" i="71"/>
  <c r="S22" i="71"/>
  <c r="X19" i="71"/>
  <c r="B24" i="71"/>
  <c r="B25" i="71"/>
  <c r="B26" i="71"/>
  <c r="S26" i="71"/>
  <c r="X23" i="71"/>
  <c r="E24" i="71"/>
  <c r="E25" i="71"/>
  <c r="E26" i="71"/>
  <c r="U26" i="71"/>
  <c r="AA23" i="71"/>
  <c r="N54" i="71"/>
  <c r="E20" i="71"/>
  <c r="E21" i="71"/>
  <c r="E22" i="71"/>
  <c r="U22" i="71"/>
  <c r="AA19" i="71"/>
  <c r="C16" i="71"/>
  <c r="Y15" i="71"/>
  <c r="Z15" i="71"/>
  <c r="AB15" i="71"/>
  <c r="X16" i="71"/>
  <c r="AA16" i="71"/>
  <c r="X17" i="71"/>
  <c r="AA17" i="71"/>
  <c r="X18" i="71"/>
  <c r="AA18" i="71"/>
  <c r="C20" i="71"/>
  <c r="C21" i="71"/>
  <c r="Y19" i="71"/>
  <c r="Z19" i="71"/>
  <c r="AB19" i="71"/>
  <c r="X20" i="71"/>
  <c r="AA20" i="71"/>
  <c r="X21" i="71"/>
  <c r="AA21" i="71"/>
  <c r="X22" i="71"/>
  <c r="AA22" i="71"/>
  <c r="C24" i="71"/>
  <c r="Y23" i="71"/>
  <c r="Z23" i="71"/>
  <c r="AB23" i="71"/>
  <c r="X24" i="71"/>
  <c r="AA24" i="71"/>
  <c r="F37" i="71"/>
  <c r="F38" i="71"/>
  <c r="V38" i="71"/>
  <c r="C14" i="71"/>
  <c r="Y3" i="71"/>
  <c r="Z3" i="71" s="1"/>
  <c r="Y11" i="71"/>
  <c r="Z11" i="71"/>
  <c r="Y12" i="71"/>
  <c r="Z12" i="71"/>
  <c r="Y13" i="71"/>
  <c r="Z13" i="71"/>
  <c r="Y14" i="71"/>
  <c r="Z14" i="71"/>
  <c r="B14" i="71"/>
  <c r="B13" i="71"/>
  <c r="B12" i="71"/>
  <c r="X11" i="71"/>
  <c r="X12" i="71"/>
  <c r="X13" i="71"/>
  <c r="X14" i="71"/>
  <c r="C17" i="71"/>
  <c r="D16" i="71"/>
  <c r="D20" i="71"/>
  <c r="C25" i="71"/>
  <c r="D24" i="71"/>
  <c r="C29" i="71"/>
  <c r="D28" i="71"/>
  <c r="C33" i="71"/>
  <c r="D33" i="71"/>
  <c r="D32" i="71"/>
  <c r="C37" i="71"/>
  <c r="D36" i="71"/>
  <c r="P14" i="71"/>
  <c r="E41" i="71"/>
  <c r="E42" i="71"/>
  <c r="U42" i="71"/>
  <c r="E45" i="71"/>
  <c r="E46" i="71"/>
  <c r="U46" i="71"/>
  <c r="E49" i="71"/>
  <c r="E50" i="71"/>
  <c r="U50" i="71"/>
  <c r="Q51" i="71"/>
  <c r="U54" i="71"/>
  <c r="E53" i="71"/>
  <c r="Q14" i="71"/>
  <c r="C41" i="71"/>
  <c r="D40" i="71"/>
  <c r="C45" i="71"/>
  <c r="D44" i="71"/>
  <c r="C49" i="71"/>
  <c r="D48" i="71"/>
  <c r="N53" i="71"/>
  <c r="B52" i="71"/>
  <c r="Q53" i="71"/>
  <c r="T54" i="71"/>
  <c r="O54" i="71"/>
  <c r="D54" i="71"/>
  <c r="C53" i="71"/>
  <c r="Q54" i="71"/>
  <c r="C57" i="71"/>
  <c r="E57" i="71"/>
  <c r="E56" i="71"/>
  <c r="D58" i="71"/>
  <c r="C61" i="71"/>
  <c r="E61" i="71"/>
  <c r="E60" i="71"/>
  <c r="D62" i="71"/>
  <c r="C65" i="71"/>
  <c r="E65" i="71"/>
  <c r="E64" i="71"/>
  <c r="D66" i="71"/>
  <c r="C69" i="71"/>
  <c r="C73" i="71"/>
  <c r="T14" i="71"/>
  <c r="C13" i="71"/>
  <c r="S14" i="71"/>
  <c r="F14" i="71"/>
  <c r="F13" i="71"/>
  <c r="F12" i="71"/>
  <c r="AB11" i="71"/>
  <c r="AB12" i="71"/>
  <c r="AB13" i="71"/>
  <c r="AB14" i="71"/>
  <c r="E14" i="71"/>
  <c r="E13" i="71"/>
  <c r="E12" i="71"/>
  <c r="AA3" i="71"/>
  <c r="AA11" i="71"/>
  <c r="AA12" i="71"/>
  <c r="AA13" i="71"/>
  <c r="AA14" i="71"/>
  <c r="D14" i="71"/>
  <c r="U14" i="71"/>
  <c r="C52" i="71"/>
  <c r="O53" i="71"/>
  <c r="D53" i="71"/>
  <c r="C50" i="71"/>
  <c r="D49" i="71"/>
  <c r="D69" i="71"/>
  <c r="C68" i="71"/>
  <c r="D68" i="71"/>
  <c r="D61" i="71"/>
  <c r="C60" i="71"/>
  <c r="D60" i="71"/>
  <c r="N51" i="71"/>
  <c r="N52" i="71"/>
  <c r="D73" i="71"/>
  <c r="C72" i="71"/>
  <c r="D72" i="71"/>
  <c r="D65" i="71"/>
  <c r="C64" i="71"/>
  <c r="D64" i="71"/>
  <c r="D57" i="71"/>
  <c r="C56" i="71"/>
  <c r="D56" i="71"/>
  <c r="C46" i="71"/>
  <c r="D45" i="71"/>
  <c r="C42" i="71"/>
  <c r="D41" i="71"/>
  <c r="P53" i="71"/>
  <c r="E52" i="71"/>
  <c r="C38" i="71"/>
  <c r="D37" i="71"/>
  <c r="C30" i="71"/>
  <c r="D29" i="71"/>
  <c r="C26" i="71"/>
  <c r="D25" i="71"/>
  <c r="C22" i="71"/>
  <c r="D21" i="71"/>
  <c r="C18" i="71"/>
  <c r="D17" i="71"/>
  <c r="C12" i="71"/>
  <c r="D12" i="71"/>
  <c r="D13" i="71"/>
  <c r="V14" i="71"/>
  <c r="P51" i="71"/>
  <c r="P52" i="71"/>
  <c r="O52" i="71"/>
  <c r="D52" i="71"/>
  <c r="O51" i="71"/>
  <c r="T18" i="71"/>
  <c r="D18" i="71"/>
  <c r="T22" i="71"/>
  <c r="D22" i="71"/>
  <c r="T26" i="71"/>
  <c r="D26" i="71"/>
  <c r="T30" i="71"/>
  <c r="D30" i="71"/>
  <c r="T38" i="71"/>
  <c r="D38" i="71"/>
  <c r="T42" i="71"/>
  <c r="D42" i="71"/>
  <c r="T46" i="71"/>
  <c r="D46" i="71"/>
  <c r="T50" i="71"/>
  <c r="D50"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c r="W21" i="37"/>
  <c r="AC21" i="34"/>
  <c r="W21" i="34"/>
  <c r="AC21" i="33"/>
  <c r="W21" i="33"/>
  <c r="AB21" i="21"/>
  <c r="U21" i="21"/>
  <c r="G83" i="21"/>
  <c r="J21" i="21"/>
  <c r="F38" i="68"/>
  <c r="E37" i="68"/>
  <c r="F36" i="68"/>
  <c r="F35" i="68"/>
  <c r="F21" i="68"/>
  <c r="C21" i="68" s="1"/>
  <c r="F20" i="68"/>
  <c r="E10" i="68"/>
  <c r="E9" i="68"/>
  <c r="F7" i="68"/>
  <c r="W21" i="21"/>
  <c r="AC21" i="21"/>
  <c r="C40" i="68"/>
  <c r="Q72" i="67"/>
  <c r="Q59" i="67"/>
  <c r="Q58" i="67"/>
  <c r="Q51" i="67"/>
  <c r="J50" i="67"/>
  <c r="M47" i="67"/>
  <c r="D46" i="67"/>
  <c r="F33" i="67"/>
  <c r="F61" i="67"/>
  <c r="F23" i="67"/>
  <c r="D24" i="67" s="1"/>
  <c r="F21" i="67"/>
  <c r="F20" i="67"/>
  <c r="M19" i="67"/>
  <c r="F18" i="67"/>
  <c r="F17" i="67"/>
  <c r="F15" i="67"/>
  <c r="D22" i="67"/>
  <c r="D23" i="67"/>
  <c r="S2" i="4"/>
  <c r="C51" i="10" s="1"/>
  <c r="A13" i="51" s="1"/>
  <c r="B11" i="72" s="1"/>
  <c r="S1" i="4"/>
  <c r="A4" i="51" s="1"/>
  <c r="B6" i="72" s="1"/>
  <c r="B1" i="4"/>
  <c r="B37" i="48" s="1"/>
  <c r="B2" i="72" s="1"/>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7" i="43"/>
  <c r="D67" i="43"/>
  <c r="D60" i="43"/>
  <c r="D61" i="43"/>
  <c r="D62" i="43"/>
  <c r="D63" i="43"/>
  <c r="D64" i="43"/>
  <c r="D65" i="43"/>
  <c r="D66" i="43"/>
  <c r="D59" i="43"/>
  <c r="E59" i="43" s="1"/>
  <c r="B57" i="43" s="1"/>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s="1"/>
  <c r="K55" i="43"/>
  <c r="J55" i="43" s="1"/>
  <c r="D55" i="43"/>
  <c r="M54" i="43"/>
  <c r="N54" i="43"/>
  <c r="K54" i="43"/>
  <c r="J54" i="43"/>
  <c r="D54" i="43"/>
  <c r="M53" i="43"/>
  <c r="N53" i="43" s="1"/>
  <c r="K53" i="43"/>
  <c r="J53" i="43" s="1"/>
  <c r="D53" i="43"/>
  <c r="M52" i="43"/>
  <c r="N52" i="43"/>
  <c r="K52" i="43"/>
  <c r="J52" i="43"/>
  <c r="D52" i="43"/>
  <c r="M51" i="43"/>
  <c r="N51" i="43" s="1"/>
  <c r="K51" i="43"/>
  <c r="J51" i="43" s="1"/>
  <c r="D51" i="43"/>
  <c r="M50" i="43"/>
  <c r="N50" i="43"/>
  <c r="K50" i="43"/>
  <c r="J50" i="43"/>
  <c r="D50" i="43"/>
  <c r="M49" i="43"/>
  <c r="N49" i="43" s="1"/>
  <c r="K49" i="43"/>
  <c r="J49" i="43" s="1"/>
  <c r="D49" i="43"/>
  <c r="M48" i="43"/>
  <c r="N48" i="43"/>
  <c r="K48" i="43"/>
  <c r="J48" i="43"/>
  <c r="D48" i="43"/>
  <c r="Q58" i="15"/>
  <c r="Q51"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s="1"/>
  <c r="H59" i="40"/>
  <c r="I59" i="40" s="1"/>
  <c r="C59" i="40" s="1"/>
  <c r="H58" i="40"/>
  <c r="I58" i="40" s="1"/>
  <c r="C58" i="40" s="1"/>
  <c r="H57" i="40"/>
  <c r="I57" i="40"/>
  <c r="C57" i="40" s="1"/>
  <c r="H56" i="40"/>
  <c r="I56" i="40"/>
  <c r="C56" i="40" s="1"/>
  <c r="H55" i="40"/>
  <c r="I55" i="40" s="1"/>
  <c r="C55" i="40" s="1"/>
  <c r="H54" i="40"/>
  <c r="I54" i="40"/>
  <c r="C54" i="40" s="1"/>
  <c r="H53" i="40"/>
  <c r="I53" i="40" s="1"/>
  <c r="C53" i="40" s="1"/>
  <c r="H52" i="40"/>
  <c r="I52" i="40"/>
  <c r="C52" i="40" s="1"/>
  <c r="H65" i="39"/>
  <c r="I65" i="39" s="1"/>
  <c r="C65" i="39" s="1"/>
  <c r="H64" i="39"/>
  <c r="I64" i="39"/>
  <c r="C64" i="39" s="1"/>
  <c r="H60" i="39"/>
  <c r="I60" i="39" s="1"/>
  <c r="C60" i="39" s="1"/>
  <c r="H59" i="39"/>
  <c r="I59" i="39"/>
  <c r="C59" i="39" s="1"/>
  <c r="H58" i="39"/>
  <c r="I58" i="39" s="1"/>
  <c r="C58" i="39" s="1"/>
  <c r="H57" i="39"/>
  <c r="I57" i="39"/>
  <c r="C57" i="39" s="1"/>
  <c r="H61" i="39"/>
  <c r="I61" i="39"/>
  <c r="C61" i="39" s="1"/>
  <c r="H63" i="39"/>
  <c r="I63" i="39" s="1"/>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A15" i="62" s="1"/>
  <c r="B61" i="72" s="1"/>
  <c r="L20" i="4"/>
  <c r="A5" i="62"/>
  <c r="B72" i="72" s="1"/>
  <c r="A4" i="62"/>
  <c r="B70" i="72" s="1"/>
  <c r="F33" i="9"/>
  <c r="B13" i="53"/>
  <c r="B29" i="72" s="1"/>
  <c r="R35" i="4"/>
  <c r="Q35" i="4"/>
  <c r="P35" i="4"/>
  <c r="O35" i="4"/>
  <c r="N35" i="4"/>
  <c r="M35" i="4"/>
  <c r="L35" i="4"/>
  <c r="K34" i="4"/>
  <c r="T34" i="4" s="1"/>
  <c r="G13" i="1"/>
  <c r="I15" i="4"/>
  <c r="H15" i="4"/>
  <c r="G15" i="4"/>
  <c r="E15" i="4"/>
  <c r="D15" i="4"/>
  <c r="F7" i="1"/>
  <c r="G7" i="1" s="1"/>
  <c r="L21" i="4"/>
  <c r="F19" i="4"/>
  <c r="F2" i="52"/>
  <c r="B50" i="72" s="1"/>
  <c r="D2" i="52"/>
  <c r="B46" i="72"/>
  <c r="B8" i="53"/>
  <c r="B23" i="72"/>
  <c r="L4" i="9"/>
  <c r="A24" i="51" s="1"/>
  <c r="B18" i="72" s="1"/>
  <c r="B17" i="72"/>
  <c r="B15" i="72"/>
  <c r="A3" i="51"/>
  <c r="C8" i="11"/>
  <c r="B2" i="49"/>
  <c r="E17" i="49" s="1"/>
  <c r="B40" i="48"/>
  <c r="B3" i="72"/>
  <c r="I2" i="43"/>
  <c r="N1" i="43" s="1"/>
  <c r="F35" i="4"/>
  <c r="J55" i="39"/>
  <c r="H34" i="43"/>
  <c r="H35" i="43"/>
  <c r="H36" i="43"/>
  <c r="H37" i="43"/>
  <c r="H38" i="43"/>
  <c r="H39" i="43"/>
  <c r="H33" i="43"/>
  <c r="J20" i="43"/>
  <c r="C18" i="43"/>
  <c r="F15" i="43"/>
  <c r="E15" i="43"/>
  <c r="D15" i="43"/>
  <c r="C15" i="43"/>
  <c r="C10" i="43"/>
  <c r="C11" i="43" s="1"/>
  <c r="C9" i="43"/>
  <c r="A7" i="43"/>
  <c r="F33" i="15"/>
  <c r="F61" i="15" s="1"/>
  <c r="M19" i="15"/>
  <c r="BR13" i="3"/>
  <c r="M10" i="1"/>
  <c r="O10" i="1" s="1"/>
  <c r="B22" i="1"/>
  <c r="B23" i="1"/>
  <c r="B24" i="1"/>
  <c r="F34" i="11" s="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C18" i="9" s="1"/>
  <c r="D18" i="9" s="1"/>
  <c r="I55" i="9"/>
  <c r="F55" i="9" s="1"/>
  <c r="O53" i="9" s="1"/>
  <c r="D89" i="9"/>
  <c r="C89" i="9"/>
  <c r="C87" i="9" s="1"/>
  <c r="J55" i="9"/>
  <c r="B31" i="1"/>
  <c r="E19" i="69" s="1"/>
  <c r="B52" i="1"/>
  <c r="M20" i="15" s="1"/>
  <c r="T4" i="1"/>
  <c r="F15" i="15"/>
  <c r="F17" i="15"/>
  <c r="F18" i="15"/>
  <c r="F20" i="15"/>
  <c r="F21" i="15"/>
  <c r="D3" i="35"/>
  <c r="E59" i="9"/>
  <c r="N55" i="9"/>
  <c r="K55" i="9"/>
  <c r="F59" i="9"/>
  <c r="N54" i="9"/>
  <c r="N53" i="9"/>
  <c r="E48" i="9"/>
  <c r="N52" i="9"/>
  <c r="O55" i="9"/>
  <c r="F56" i="9"/>
  <c r="O54" i="9"/>
  <c r="D101" i="9"/>
  <c r="C101" i="9"/>
  <c r="H104" i="9"/>
  <c r="D10" i="53" s="1"/>
  <c r="B26" i="72" s="1"/>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s="1"/>
  <c r="B16" i="53"/>
  <c r="B33" i="72" s="1"/>
  <c r="C7" i="37"/>
  <c r="C7" i="34"/>
  <c r="C7" i="36"/>
  <c r="W35" i="40"/>
  <c r="A118" i="9"/>
  <c r="J11" i="39"/>
  <c r="W11" i="39"/>
  <c r="F11" i="39"/>
  <c r="AA11" i="39"/>
  <c r="S11" i="39"/>
  <c r="G4" i="4"/>
  <c r="I4" i="4"/>
  <c r="K5" i="4"/>
  <c r="B47" i="48" s="1"/>
  <c r="N2" i="43"/>
  <c r="F59" i="43"/>
  <c r="H62"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E8" i="6" s="1"/>
  <c r="BR5" i="3"/>
  <c r="G28" i="6"/>
  <c r="AZ380" i="3"/>
  <c r="AZ384" i="3"/>
  <c r="AZ388" i="3"/>
  <c r="AZ392" i="3"/>
  <c r="AZ396" i="3"/>
  <c r="AZ394" i="3"/>
  <c r="AZ499" i="3"/>
  <c r="AZ509" i="3"/>
  <c r="G509" i="3"/>
  <c r="BL493" i="3"/>
  <c r="AZ491" i="3"/>
  <c r="AZ376" i="3"/>
  <c r="AZ390" i="3"/>
  <c r="AZ382" i="3"/>
  <c r="AZ493" i="3"/>
  <c r="U36" i="40"/>
  <c r="N4" i="43"/>
  <c r="F36" i="43"/>
  <c r="H113" i="43"/>
  <c r="F48" i="43"/>
  <c r="H52" i="43" s="1"/>
  <c r="N7" i="43"/>
  <c r="F70" i="43"/>
  <c r="H73" i="43" s="1"/>
  <c r="M6" i="43"/>
  <c r="M11" i="43"/>
  <c r="D17" i="43"/>
  <c r="F39" i="43"/>
  <c r="I17" i="43"/>
  <c r="F35" i="43"/>
  <c r="J17" i="43"/>
  <c r="F6" i="1"/>
  <c r="U17" i="39"/>
  <c r="S14" i="35"/>
  <c r="U43" i="21"/>
  <c r="U35" i="21"/>
  <c r="AC35" i="21"/>
  <c r="U10" i="21"/>
  <c r="F48" i="9"/>
  <c r="O52" i="9" s="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48"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K9" i="1"/>
  <c r="M9" i="1" s="1"/>
  <c r="AE9" i="1"/>
  <c r="D93" i="9"/>
  <c r="E12" i="6"/>
  <c r="E57" i="40" s="1"/>
  <c r="K6" i="1"/>
  <c r="M6" i="1" s="1"/>
  <c r="O6" i="1" s="1"/>
  <c r="G29" i="6"/>
  <c r="E29" i="6" s="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AQ12" i="1" s="1"/>
  <c r="R12" i="1"/>
  <c r="B12" i="1"/>
  <c r="E12" i="1"/>
  <c r="S10" i="1"/>
  <c r="AQ10" i="1" s="1"/>
  <c r="R10" i="1"/>
  <c r="B10" i="1"/>
  <c r="E10" i="1"/>
  <c r="D1" i="66"/>
  <c r="E10" i="66"/>
  <c r="AZ80" i="3"/>
  <c r="AZ84" i="3"/>
  <c r="AZ88" i="3"/>
  <c r="AZ107" i="3"/>
  <c r="AZ111" i="3"/>
  <c r="K12" i="1"/>
  <c r="M12" i="1" s="1"/>
  <c r="O12" i="1" s="1"/>
  <c r="P12" i="1" s="1"/>
  <c r="S13" i="1"/>
  <c r="AR13" i="1" s="1"/>
  <c r="R13" i="1"/>
  <c r="S11" i="1"/>
  <c r="AQ11" i="1" s="1"/>
  <c r="R11" i="1"/>
  <c r="S9" i="1"/>
  <c r="AR9" i="1" s="1"/>
  <c r="R9" i="1"/>
  <c r="J51" i="67"/>
  <c r="C42" i="1"/>
  <c r="H100" i="43"/>
  <c r="C30" i="66"/>
  <c r="E26" i="66"/>
  <c r="AC34" i="33"/>
  <c r="AA34" i="33"/>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C6" i="43" s="1"/>
  <c r="N10" i="43"/>
  <c r="M1" i="43"/>
  <c r="M8" i="43"/>
  <c r="N8" i="43"/>
  <c r="N9" i="43"/>
  <c r="D120" i="9"/>
  <c r="D6" i="52" s="1"/>
  <c r="F34" i="67"/>
  <c r="F62" i="67"/>
  <c r="M20" i="67"/>
  <c r="F34" i="15"/>
  <c r="F62" i="15" s="1"/>
  <c r="G13" i="3"/>
  <c r="G5" i="3" s="1"/>
  <c r="B3" i="3" s="1"/>
  <c r="BA13" i="3"/>
  <c r="BA5" i="3"/>
  <c r="BL17" i="3"/>
  <c r="AZ17" i="3"/>
  <c r="BL13" i="3"/>
  <c r="G30" i="6"/>
  <c r="G31" i="6" s="1"/>
  <c r="J56" i="9"/>
  <c r="J57" i="9"/>
  <c r="J59" i="9" s="1"/>
  <c r="J61" i="9" s="1"/>
  <c r="U29" i="34"/>
  <c r="E14" i="6"/>
  <c r="E32" i="6"/>
  <c r="L19" i="6"/>
  <c r="G1" i="68"/>
  <c r="K1" i="12"/>
  <c r="F30" i="6"/>
  <c r="E28" i="6"/>
  <c r="AR12" i="1"/>
  <c r="T12" i="1"/>
  <c r="T10" i="1"/>
  <c r="E19" i="68"/>
  <c r="E1" i="73"/>
  <c r="G41" i="69"/>
  <c r="G22" i="69"/>
  <c r="G41" i="68"/>
  <c r="G22" i="68"/>
  <c r="G27" i="12"/>
  <c r="G26" i="12"/>
  <c r="G41" i="11"/>
  <c r="G22" i="11"/>
  <c r="G25" i="12"/>
  <c r="C100" i="43"/>
  <c r="E48" i="43"/>
  <c r="B46" i="43" s="1"/>
  <c r="E70" i="43"/>
  <c r="B68" i="43"/>
  <c r="F100" i="43"/>
  <c r="H17" i="43"/>
  <c r="H54" i="43"/>
  <c r="H70" i="43"/>
  <c r="C17" i="43"/>
  <c r="F33" i="43"/>
  <c r="K17" i="43"/>
  <c r="F34" i="43"/>
  <c r="M7" i="43"/>
  <c r="N6" i="43"/>
  <c r="M2" i="43"/>
  <c r="M10" i="43"/>
  <c r="N3" i="43"/>
  <c r="F81" i="43" s="1"/>
  <c r="N11" i="43"/>
  <c r="F38" i="43"/>
  <c r="F37" i="43"/>
  <c r="M9" i="43"/>
  <c r="N12" i="43"/>
  <c r="N5" i="43"/>
  <c r="M5" i="43"/>
  <c r="M12" i="43"/>
  <c r="M4" i="43"/>
  <c r="C7" i="39"/>
  <c r="C68" i="39" s="1"/>
  <c r="C7" i="35"/>
  <c r="C7" i="33"/>
  <c r="C58" i="33" s="1"/>
  <c r="D58" i="33" s="1"/>
  <c r="E58" i="33" s="1"/>
  <c r="F58" i="33" s="1"/>
  <c r="G58" i="33" s="1"/>
  <c r="H58" i="33" s="1"/>
  <c r="I58" i="33" s="1"/>
  <c r="J58" i="33" s="1"/>
  <c r="K58" i="33" s="1"/>
  <c r="L58" i="33" s="1"/>
  <c r="M58" i="33" s="1"/>
  <c r="N58" i="33" s="1"/>
  <c r="O58" i="33" s="1"/>
  <c r="C7" i="21"/>
  <c r="C58" i="21" s="1"/>
  <c r="C7" i="40"/>
  <c r="C63" i="40"/>
  <c r="M47" i="9"/>
  <c r="G19" i="43"/>
  <c r="C46" i="36"/>
  <c r="D46" i="36" s="1"/>
  <c r="C59" i="34"/>
  <c r="D59" i="34"/>
  <c r="C52" i="37"/>
  <c r="D52" i="37"/>
  <c r="C48" i="35"/>
  <c r="D48" i="35"/>
  <c r="C4" i="12"/>
  <c r="H66" i="43"/>
  <c r="H65" i="43"/>
  <c r="H64" i="43"/>
  <c r="H63" i="43"/>
  <c r="H55" i="43"/>
  <c r="H56" i="43"/>
  <c r="H72" i="43"/>
  <c r="L20" i="6"/>
  <c r="B6" i="1"/>
  <c r="E6" i="1" s="1"/>
  <c r="S8" i="1"/>
  <c r="AQ8" i="1" s="1"/>
  <c r="K11" i="1"/>
  <c r="M11" i="1" s="1"/>
  <c r="O11" i="1" s="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AQ13" i="1"/>
  <c r="F52" i="9"/>
  <c r="AQ9" i="1"/>
  <c r="K15" i="1"/>
  <c r="T9" i="1"/>
  <c r="C77" i="9"/>
  <c r="C74" i="9" s="1"/>
  <c r="S7" i="1"/>
  <c r="AR7" i="1" s="1"/>
  <c r="E7" i="70"/>
  <c r="C24" i="12"/>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121" i="9"/>
  <c r="D7" i="52" s="1"/>
  <c r="K14" i="1"/>
  <c r="M14" i="1" s="1"/>
  <c r="O14" i="1" s="1"/>
  <c r="BL5" i="3"/>
  <c r="E263" i="3"/>
  <c r="E244" i="3"/>
  <c r="E301" i="3"/>
  <c r="E262" i="3"/>
  <c r="E245" i="3"/>
  <c r="E196" i="3"/>
  <c r="E159" i="3"/>
  <c r="E136" i="3"/>
  <c r="E191" i="3"/>
  <c r="E156" i="3"/>
  <c r="E99" i="3"/>
  <c r="E61" i="3"/>
  <c r="E236" i="3"/>
  <c r="E254" i="3"/>
  <c r="E188" i="3"/>
  <c r="E135" i="3"/>
  <c r="E148" i="3"/>
  <c r="E91" i="3"/>
  <c r="E228" i="3"/>
  <c r="E290" i="3"/>
  <c r="E269" i="3"/>
  <c r="E221" i="3"/>
  <c r="E181" i="3"/>
  <c r="E161" i="3"/>
  <c r="E122" i="3"/>
  <c r="E180" i="3"/>
  <c r="E157" i="3"/>
  <c r="E117" i="3"/>
  <c r="E89" i="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T8" i="1"/>
  <c r="AQ7" i="1"/>
  <c r="R22" i="31"/>
  <c r="B21" i="31"/>
  <c r="O19" i="43"/>
  <c r="E52" i="37"/>
  <c r="F52" i="37"/>
  <c r="E48" i="35"/>
  <c r="E59" i="34"/>
  <c r="F59" i="34"/>
  <c r="C65" i="40"/>
  <c r="D63" i="40"/>
  <c r="E63" i="40" s="1"/>
  <c r="F63" i="40" s="1"/>
  <c r="AP7" i="1"/>
  <c r="C36" i="69" s="1"/>
  <c r="AB45" i="21"/>
  <c r="AC33" i="21"/>
  <c r="W33" i="21"/>
  <c r="S33" i="21"/>
  <c r="AA33" i="21"/>
  <c r="W32" i="21"/>
  <c r="AC32" i="21"/>
  <c r="AB9" i="21"/>
  <c r="U9" i="21"/>
  <c r="AA32" i="21"/>
  <c r="S32" i="21"/>
  <c r="W9" i="21"/>
  <c r="AC9" i="21"/>
  <c r="AB32" i="21"/>
  <c r="U32" i="21"/>
  <c r="AA10" i="21"/>
  <c r="S10" i="21"/>
  <c r="E6" i="70"/>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D65" i="40"/>
  <c r="F1" i="67"/>
  <c r="Q52" i="67"/>
  <c r="AC11" i="37"/>
  <c r="W11" i="37"/>
  <c r="W11" i="34"/>
  <c r="AC11" i="34"/>
  <c r="R7" i="1"/>
  <c r="C13" i="12"/>
  <c r="F11" i="12"/>
  <c r="E65" i="40"/>
  <c r="R8" i="1"/>
  <c r="G63" i="40"/>
  <c r="G65" i="40" s="1"/>
  <c r="F65" i="40"/>
  <c r="H63" i="40"/>
  <c r="H65" i="40" s="1"/>
  <c r="I63" i="40"/>
  <c r="I65" i="40" s="1"/>
  <c r="J63" i="40"/>
  <c r="K63" i="40" s="1"/>
  <c r="J65" i="40"/>
  <c r="E2" i="70"/>
  <c r="AE7" i="1"/>
  <c r="AE8" i="1"/>
  <c r="H109" i="9"/>
  <c r="H110" i="9"/>
  <c r="D18" i="53" s="1"/>
  <c r="B35" i="72" s="1"/>
  <c r="D124" i="9"/>
  <c r="D16" i="53"/>
  <c r="B34" i="72" s="1"/>
  <c r="D10" i="52"/>
  <c r="H14" i="74"/>
  <c r="D125" i="9"/>
  <c r="D11" i="52" s="1"/>
  <c r="B7" i="74"/>
  <c r="J7" i="33"/>
  <c r="W7" i="33" s="1"/>
  <c r="F7" i="33"/>
  <c r="S7" i="33" s="1"/>
  <c r="H7" i="33"/>
  <c r="AB7" i="33" s="1"/>
  <c r="T48" i="33" s="1"/>
  <c r="G48" i="33" s="1"/>
  <c r="AA7" i="33"/>
  <c r="R48" i="33" s="1"/>
  <c r="H111" i="9"/>
  <c r="D126" i="9" s="1"/>
  <c r="D19" i="53"/>
  <c r="B38" i="72" s="1"/>
  <c r="D59" i="9"/>
  <c r="M55" i="9"/>
  <c r="AD3" i="71"/>
  <c r="E2" i="68"/>
  <c r="F5" i="73"/>
  <c r="B8" i="76"/>
  <c r="AO9" i="1"/>
  <c r="M9" i="15"/>
  <c r="J15" i="15"/>
  <c r="D2" i="33"/>
  <c r="F38" i="67"/>
  <c r="F9" i="67"/>
  <c r="M27" i="67"/>
  <c r="F16" i="15"/>
  <c r="L48" i="67"/>
  <c r="L47" i="15"/>
  <c r="D4" i="73"/>
  <c r="F26" i="67"/>
  <c r="F6" i="15"/>
  <c r="F36" i="67"/>
  <c r="F41" i="67"/>
  <c r="B9" i="76"/>
  <c r="F40" i="67"/>
  <c r="J15" i="67"/>
  <c r="E2" i="69"/>
  <c r="B12" i="76"/>
  <c r="F43" i="67"/>
  <c r="B10" i="76"/>
  <c r="E13" i="76"/>
  <c r="M23" i="15"/>
  <c r="B13" i="76"/>
  <c r="F26" i="15"/>
  <c r="D2" i="37"/>
  <c r="AO12" i="1"/>
  <c r="M24" i="15"/>
  <c r="F16" i="67"/>
  <c r="M8" i="15"/>
  <c r="M29" i="67"/>
  <c r="F20" i="31"/>
  <c r="M24" i="67"/>
  <c r="F3" i="73"/>
  <c r="C76" i="15"/>
  <c r="E11" i="76"/>
  <c r="AO11" i="1"/>
  <c r="D3" i="73"/>
  <c r="AO7" i="1"/>
  <c r="E8" i="76"/>
  <c r="F43" i="15"/>
  <c r="E12" i="76"/>
  <c r="D2" i="21"/>
  <c r="D5" i="73"/>
  <c r="M9" i="67"/>
  <c r="L48" i="15"/>
  <c r="B7" i="76"/>
  <c r="L47" i="67"/>
  <c r="E9" i="76"/>
  <c r="E10" i="76"/>
  <c r="M26" i="15"/>
  <c r="F7" i="67"/>
  <c r="E7" i="76"/>
  <c r="F37" i="67"/>
  <c r="M8" i="67"/>
  <c r="F9" i="15"/>
  <c r="F36" i="15"/>
  <c r="F37" i="15"/>
  <c r="B11" i="76"/>
  <c r="M6" i="67"/>
  <c r="M26" i="67"/>
  <c r="M29" i="15"/>
  <c r="D7" i="73"/>
  <c r="F40" i="15"/>
  <c r="M22" i="15"/>
  <c r="F7" i="73"/>
  <c r="F13" i="67"/>
  <c r="M6" i="15"/>
  <c r="AO10" i="1"/>
  <c r="M22" i="67"/>
  <c r="M28" i="15"/>
  <c r="D6" i="73"/>
  <c r="F6" i="73"/>
  <c r="F35" i="67"/>
  <c r="F6" i="67"/>
  <c r="M28" i="67"/>
  <c r="D2" i="36"/>
  <c r="AO13" i="1"/>
  <c r="F42" i="67"/>
  <c r="D2" i="35"/>
  <c r="AO8" i="1"/>
  <c r="F4" i="73"/>
  <c r="C76" i="67"/>
  <c r="M23" i="67"/>
  <c r="F8" i="67"/>
  <c r="F13" i="15"/>
  <c r="F7" i="15"/>
  <c r="F8" i="15"/>
  <c r="F38" i="15"/>
  <c r="F42" i="15"/>
  <c r="M21" i="67"/>
  <c r="D2" i="34"/>
  <c r="G11" i="1" l="1"/>
  <c r="G9" i="1"/>
  <c r="G12" i="1"/>
  <c r="G10" i="1"/>
  <c r="G8" i="1"/>
  <c r="D20" i="53"/>
  <c r="B40" i="72" s="1"/>
  <c r="I14" i="74"/>
  <c r="B8" i="74" s="1"/>
  <c r="D12" i="52"/>
  <c r="D127" i="9"/>
  <c r="D13" i="52" s="1"/>
  <c r="H112" i="9"/>
  <c r="D21" i="53" s="1"/>
  <c r="B39" i="72" s="1"/>
  <c r="B19" i="53"/>
  <c r="B37" i="72" s="1"/>
  <c r="A2" i="9"/>
  <c r="A4" i="52"/>
  <c r="B41" i="72" s="1"/>
  <c r="K120" i="9"/>
  <c r="A18" i="62" s="1"/>
  <c r="B64" i="72" s="1"/>
  <c r="D9" i="53"/>
  <c r="B25" i="72" s="1"/>
  <c r="B24" i="72"/>
  <c r="E10" i="43"/>
  <c r="E8" i="43"/>
  <c r="E11" i="43"/>
  <c r="E9" i="43"/>
  <c r="H77" i="43"/>
  <c r="H76" i="43"/>
  <c r="H51" i="43"/>
  <c r="H67" i="43"/>
  <c r="H59" i="43"/>
  <c r="H60" i="43"/>
  <c r="H61" i="43"/>
  <c r="H71" i="43"/>
  <c r="H78" i="43"/>
  <c r="H53" i="43"/>
  <c r="H50" i="43"/>
  <c r="H83" i="43"/>
  <c r="G83" i="43" s="1"/>
  <c r="H82" i="43"/>
  <c r="G82" i="43" s="1"/>
  <c r="H81" i="43"/>
  <c r="G81" i="43" s="1"/>
  <c r="H88" i="43"/>
  <c r="G88" i="43" s="1"/>
  <c r="H86" i="43"/>
  <c r="G86" i="43" s="1"/>
  <c r="H87" i="43"/>
  <c r="G87" i="43" s="1"/>
  <c r="H85" i="43"/>
  <c r="G85" i="43" s="1"/>
  <c r="H84" i="43"/>
  <c r="G84" i="43" s="1"/>
  <c r="C94" i="9"/>
  <c r="C92" i="9"/>
  <c r="F54" i="9"/>
  <c r="F28" i="15"/>
  <c r="C28" i="15" s="1"/>
  <c r="M18" i="67"/>
  <c r="D68" i="9"/>
  <c r="M18" i="15"/>
  <c r="F32" i="15"/>
  <c r="F60" i="15" s="1"/>
  <c r="F30" i="69"/>
  <c r="F32" i="67"/>
  <c r="F60" i="67" s="1"/>
  <c r="F31" i="12"/>
  <c r="C31" i="12" s="1"/>
  <c r="F28" i="67"/>
  <c r="C28" i="67" s="1"/>
  <c r="F30" i="11"/>
  <c r="F30" i="68"/>
  <c r="C36" i="11"/>
  <c r="C40" i="69"/>
  <c r="E19" i="11"/>
  <c r="F34" i="68"/>
  <c r="C36" i="68" s="1"/>
  <c r="L27" i="6"/>
  <c r="T13" i="1"/>
  <c r="AR11" i="1"/>
  <c r="T11" i="1"/>
  <c r="AR10" i="1"/>
  <c r="C34" i="69"/>
  <c r="C38" i="69" s="1"/>
  <c r="T7" i="1"/>
  <c r="K16" i="1"/>
  <c r="P10" i="1"/>
  <c r="D17" i="53"/>
  <c r="B36" i="72" s="1"/>
  <c r="F27" i="6"/>
  <c r="E51" i="40"/>
  <c r="E56" i="39"/>
  <c r="E53" i="3"/>
  <c r="E125" i="3"/>
  <c r="E175" i="3"/>
  <c r="E217" i="3"/>
  <c r="E319" i="3"/>
  <c r="E366" i="3"/>
  <c r="E530" i="3"/>
  <c r="E526" i="3"/>
  <c r="E501" i="3"/>
  <c r="E553" i="3"/>
  <c r="E343" i="3"/>
  <c r="E268" i="3"/>
  <c r="E153" i="3"/>
  <c r="E282" i="3"/>
  <c r="E305" i="3"/>
  <c r="E322" i="3"/>
  <c r="E426" i="3"/>
  <c r="N6" i="3"/>
  <c r="E508" i="3"/>
  <c r="AJ6" i="3"/>
  <c r="E328"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H6" i="3" s="1"/>
  <c r="AN6" i="3"/>
  <c r="E16" i="3"/>
  <c r="AI6" i="3"/>
  <c r="E536" i="3"/>
  <c r="E586" i="3"/>
  <c r="AK6" i="3"/>
  <c r="E578" i="3"/>
  <c r="E549" i="3"/>
  <c r="E402" i="3"/>
  <c r="E434" i="3"/>
  <c r="E423" i="3"/>
  <c r="E453" i="3"/>
  <c r="E350" i="3"/>
  <c r="E306" i="3"/>
  <c r="E382" i="3"/>
  <c r="E368" i="3"/>
  <c r="E303" i="3"/>
  <c r="E296" i="3"/>
  <c r="E27" i="6"/>
  <c r="E15" i="6"/>
  <c r="E60" i="40" s="1"/>
  <c r="E65" i="39"/>
  <c r="E62" i="39"/>
  <c r="E5" i="6"/>
  <c r="D19" i="12" s="1"/>
  <c r="C19" i="12" s="1"/>
  <c r="E11" i="6"/>
  <c r="E56" i="40" s="1"/>
  <c r="E10" i="6"/>
  <c r="E13" i="6"/>
  <c r="F22" i="43"/>
  <c r="F101" i="43"/>
  <c r="E22" i="43"/>
  <c r="H22" i="43"/>
  <c r="H101" i="43"/>
  <c r="G22"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S6" i="43"/>
  <c r="S4" i="43"/>
  <c r="S7" i="43"/>
  <c r="J22" i="43"/>
  <c r="B113" i="43"/>
  <c r="K101" i="43"/>
  <c r="N101" i="43"/>
  <c r="G101" i="43"/>
  <c r="C101" i="43"/>
  <c r="J101" i="43"/>
  <c r="N104" i="46"/>
  <c r="L101" i="43"/>
  <c r="D101" i="43"/>
  <c r="M101" i="43"/>
  <c r="I101" i="43"/>
  <c r="E101" i="43"/>
  <c r="S2" i="43"/>
  <c r="S5" i="43"/>
  <c r="C23" i="43"/>
  <c r="C21" i="43" s="1"/>
  <c r="S3" i="43"/>
  <c r="L109" i="43"/>
  <c r="L102" i="43"/>
  <c r="L105" i="43"/>
  <c r="L104" i="43"/>
  <c r="E64" i="39"/>
  <c r="E59" i="40"/>
  <c r="E61" i="39"/>
  <c r="E16" i="6"/>
  <c r="F31" i="6"/>
  <c r="P14" i="1"/>
  <c r="P6" i="1"/>
  <c r="M7" i="1"/>
  <c r="Q16" i="1"/>
  <c r="P11" i="1"/>
  <c r="E30" i="6"/>
  <c r="K21" i="6"/>
  <c r="M21" i="6" s="1"/>
  <c r="I21" i="6" s="1"/>
  <c r="S21" i="6" s="1"/>
  <c r="K22" i="6"/>
  <c r="M22" i="6" s="1"/>
  <c r="I22" i="6" s="1"/>
  <c r="S22" i="6" s="1"/>
  <c r="K25" i="6"/>
  <c r="M25" i="6" s="1"/>
  <c r="I25" i="6" s="1"/>
  <c r="S25" i="6" s="1"/>
  <c r="K23" i="6"/>
  <c r="M23" i="6" s="1"/>
  <c r="I23" i="6" s="1"/>
  <c r="S23" i="6" s="1"/>
  <c r="H107" i="43"/>
  <c r="H106" i="43"/>
  <c r="H105" i="43"/>
  <c r="D9" i="69"/>
  <c r="C9" i="69" s="1"/>
  <c r="E31" i="6"/>
  <c r="AZ13" i="3"/>
  <c r="AZ5" i="3" s="1"/>
  <c r="O9" i="1"/>
  <c r="P9" i="1" s="1"/>
  <c r="O8" i="1"/>
  <c r="P8" i="1" s="1"/>
  <c r="T35" i="4"/>
  <c r="A19" i="51" s="1"/>
  <c r="B14" i="72" s="1"/>
  <c r="H49" i="43"/>
  <c r="H74" i="43"/>
  <c r="O17" i="43"/>
  <c r="M17" i="43"/>
  <c r="N17" i="43"/>
  <c r="L17" i="43"/>
  <c r="E17" i="43"/>
  <c r="E48" i="33"/>
  <c r="R49" i="33"/>
  <c r="G52" i="33"/>
  <c r="H52" i="33" s="1"/>
  <c r="U7" i="33"/>
  <c r="AC7" i="33"/>
  <c r="V48" i="33" s="1"/>
  <c r="I48" i="33" s="1"/>
  <c r="K65" i="40"/>
  <c r="L63" i="40"/>
  <c r="G59" i="34"/>
  <c r="G52" i="37"/>
  <c r="E46" i="36"/>
  <c r="D58" i="21"/>
  <c r="F48" i="35"/>
  <c r="C70" i="39"/>
  <c r="D68" i="39"/>
  <c r="P61" i="15"/>
  <c r="J53" i="15"/>
  <c r="F7" i="71"/>
  <c r="F6" i="71" s="1"/>
  <c r="F5" i="71" s="1"/>
  <c r="Y6" i="71"/>
  <c r="Z6" i="71" s="1"/>
  <c r="B7" i="49"/>
  <c r="E4" i="4" s="1"/>
  <c r="B5" i="62" s="1"/>
  <c r="B73" i="72" s="1"/>
  <c r="E7" i="49"/>
  <c r="B15" i="49"/>
  <c r="AB3" i="71"/>
  <c r="X3" i="71"/>
  <c r="C7" i="71"/>
  <c r="E7" i="71"/>
  <c r="E6" i="71" s="1"/>
  <c r="E5" i="71" s="1"/>
  <c r="E10" i="49"/>
  <c r="B6" i="49"/>
  <c r="E14" i="49"/>
  <c r="AF3" i="71"/>
  <c r="P24" i="43" s="1"/>
  <c r="B66" i="40" s="1"/>
  <c r="P21" i="43"/>
  <c r="P22" i="43"/>
  <c r="C23" i="12"/>
  <c r="B13" i="49"/>
  <c r="C4" i="4" s="1"/>
  <c r="B4" i="49"/>
  <c r="B9" i="49"/>
  <c r="E22" i="49"/>
  <c r="E16" i="49"/>
  <c r="E11" i="49"/>
  <c r="B10" i="49"/>
  <c r="E6" i="49"/>
  <c r="E8" i="49"/>
  <c r="E5" i="49"/>
  <c r="B8" i="49"/>
  <c r="B5" i="49"/>
  <c r="E21" i="49"/>
  <c r="E4" i="49"/>
  <c r="B11" i="49"/>
  <c r="B14" i="49"/>
  <c r="B16" i="49"/>
  <c r="E13" i="49"/>
  <c r="E15" i="49"/>
  <c r="E9" i="49"/>
  <c r="B22" i="49"/>
  <c r="F70" i="67"/>
  <c r="F64" i="67"/>
  <c r="J57" i="15"/>
  <c r="J55" i="15" s="1"/>
  <c r="J58" i="15" s="1"/>
  <c r="Q50" i="15" s="1"/>
  <c r="I54" i="15"/>
  <c r="L56" i="15"/>
  <c r="F71" i="67"/>
  <c r="F66" i="15"/>
  <c r="F50" i="15"/>
  <c r="M7" i="15"/>
  <c r="J6" i="15" s="1"/>
  <c r="B10" i="70"/>
  <c r="F68" i="67"/>
  <c r="F66" i="67"/>
  <c r="L59" i="67"/>
  <c r="M59" i="67"/>
  <c r="N59" i="67"/>
  <c r="L58" i="67"/>
  <c r="F68" i="15"/>
  <c r="F65" i="15"/>
  <c r="C6" i="15"/>
  <c r="Q71" i="67"/>
  <c r="B13" i="70"/>
  <c r="E20" i="43"/>
  <c r="B8" i="70"/>
  <c r="C34" i="67"/>
  <c r="F63" i="67"/>
  <c r="C62" i="67" s="1"/>
  <c r="B20" i="31"/>
  <c r="B7" i="70"/>
  <c r="F69" i="67"/>
  <c r="J20" i="67"/>
  <c r="F71" i="15"/>
  <c r="F65" i="67"/>
  <c r="Q71" i="15"/>
  <c r="M7" i="67"/>
  <c r="J6" i="67" s="1"/>
  <c r="F50" i="67"/>
  <c r="F51" i="67"/>
  <c r="C6" i="67"/>
  <c r="B11" i="70"/>
  <c r="I1" i="73"/>
  <c r="B39" i="1" s="1"/>
  <c r="C27" i="15"/>
  <c r="F51" i="15"/>
  <c r="F64" i="15"/>
  <c r="I54" i="67"/>
  <c r="J57" i="67"/>
  <c r="J55" i="67" s="1"/>
  <c r="J58" i="67" s="1"/>
  <c r="Q50" i="67" s="1"/>
  <c r="L56" i="67"/>
  <c r="C27" i="67"/>
  <c r="B12" i="70"/>
  <c r="B9" i="70"/>
  <c r="K1" i="73"/>
  <c r="M17" i="15"/>
  <c r="F59" i="67"/>
  <c r="F59" i="15"/>
  <c r="F31" i="67"/>
  <c r="M17" i="67"/>
  <c r="F31" i="15"/>
  <c r="G1" i="73"/>
  <c r="C17" i="15"/>
  <c r="C14" i="15"/>
  <c r="C17" i="67"/>
  <c r="C14" i="67"/>
  <c r="C16" i="15"/>
  <c r="C16" i="67"/>
  <c r="M84" i="43" l="1"/>
  <c r="N84" i="43" s="1"/>
  <c r="K84" i="43"/>
  <c r="M87" i="43"/>
  <c r="N87" i="43" s="1"/>
  <c r="K87" i="43"/>
  <c r="J87" i="43" s="1"/>
  <c r="M88" i="43"/>
  <c r="N88" i="43" s="1"/>
  <c r="K88" i="43"/>
  <c r="M82" i="43"/>
  <c r="N82" i="43" s="1"/>
  <c r="K82" i="43"/>
  <c r="C7" i="43"/>
  <c r="M85" i="43"/>
  <c r="N85" i="43" s="1"/>
  <c r="K85" i="43"/>
  <c r="M86" i="43"/>
  <c r="N86" i="43" s="1"/>
  <c r="K86" i="43"/>
  <c r="M81" i="43"/>
  <c r="K81" i="43"/>
  <c r="J81" i="43" s="1"/>
  <c r="M83" i="43"/>
  <c r="K83" i="43"/>
  <c r="J83" i="43" s="1"/>
  <c r="C35" i="69"/>
  <c r="G17" i="43"/>
  <c r="C30" i="11"/>
  <c r="C48" i="11"/>
  <c r="C30" i="69"/>
  <c r="C48" i="69"/>
  <c r="C48" i="68"/>
  <c r="C30" i="68"/>
  <c r="C18" i="15"/>
  <c r="C15" i="15"/>
  <c r="D22" i="43"/>
  <c r="K20" i="6"/>
  <c r="M20" i="6" s="1"/>
  <c r="I20" i="6" s="1"/>
  <c r="S20" i="6" s="1"/>
  <c r="K24" i="6"/>
  <c r="M24" i="6" s="1"/>
  <c r="I24" i="6" s="1"/>
  <c r="S24" i="6" s="1"/>
  <c r="K26" i="6"/>
  <c r="M26" i="6" s="1"/>
  <c r="I26" i="6" s="1"/>
  <c r="S26" i="6" s="1"/>
  <c r="K19" i="6"/>
  <c r="S6" i="1" s="1"/>
  <c r="AC6" i="3"/>
  <c r="E6" i="3" s="1"/>
  <c r="D9" i="68"/>
  <c r="C9" i="68" s="1"/>
  <c r="D9" i="11"/>
  <c r="C9" i="11" s="1"/>
  <c r="E58" i="40"/>
  <c r="E63" i="39"/>
  <c r="E66" i="39" s="1"/>
  <c r="C104" i="43"/>
  <c r="C106" i="43"/>
  <c r="C107" i="43"/>
  <c r="C103" i="43"/>
  <c r="C102" i="43"/>
  <c r="C109" i="43"/>
  <c r="C105" i="43"/>
  <c r="N102" i="43"/>
  <c r="N105" i="43"/>
  <c r="N107" i="43"/>
  <c r="N103" i="43"/>
  <c r="N106" i="43"/>
  <c r="N104" i="43"/>
  <c r="N109" i="43"/>
  <c r="B115" i="43"/>
  <c r="I115" i="43"/>
  <c r="J115" i="43" s="1"/>
  <c r="K115" i="43" s="1"/>
  <c r="L115" i="43" s="1"/>
  <c r="M115" i="43" s="1"/>
  <c r="D118" i="43"/>
  <c r="E118" i="43" s="1"/>
  <c r="F118" i="43" s="1"/>
  <c r="G118" i="43"/>
  <c r="H118" i="43" s="1"/>
  <c r="B118" i="43"/>
  <c r="C118" i="43" s="1"/>
  <c r="I116" i="43"/>
  <c r="J116" i="43" s="1"/>
  <c r="K116" i="43" s="1"/>
  <c r="L116" i="43" s="1"/>
  <c r="M116" i="43" s="1"/>
  <c r="D115" i="43"/>
  <c r="E115" i="43" s="1"/>
  <c r="F115" i="43" s="1"/>
  <c r="G115" i="43" s="1"/>
  <c r="H115" i="43" s="1"/>
  <c r="D117" i="43"/>
  <c r="E117" i="43" s="1"/>
  <c r="F117" i="43" s="1"/>
  <c r="G117" i="43" s="1"/>
  <c r="H117" i="43" s="1"/>
  <c r="I118" i="43"/>
  <c r="J118" i="43" s="1"/>
  <c r="K118" i="43" s="1"/>
  <c r="L118" i="43" s="1"/>
  <c r="M118" i="43" s="1"/>
  <c r="D116" i="43"/>
  <c r="E116" i="43" s="1"/>
  <c r="F116" i="43" s="1"/>
  <c r="G116" i="43" s="1"/>
  <c r="H116" i="43" s="1"/>
  <c r="B116" i="43"/>
  <c r="C116" i="43" s="1"/>
  <c r="I117" i="43"/>
  <c r="J117" i="43" s="1"/>
  <c r="K117" i="43" s="1"/>
  <c r="L117" i="43" s="1"/>
  <c r="M117" i="43" s="1"/>
  <c r="B117" i="43"/>
  <c r="C117" i="43" s="1"/>
  <c r="F104" i="43"/>
  <c r="F102" i="43"/>
  <c r="F103" i="43"/>
  <c r="F107" i="43"/>
  <c r="F106" i="43"/>
  <c r="F105" i="43"/>
  <c r="F109" i="43"/>
  <c r="I109" i="43"/>
  <c r="I102" i="43"/>
  <c r="I106" i="43"/>
  <c r="I103" i="43"/>
  <c r="I104" i="43"/>
  <c r="I107" i="43"/>
  <c r="I105" i="43"/>
  <c r="D109" i="43"/>
  <c r="D103" i="43"/>
  <c r="D104" i="43"/>
  <c r="D107" i="43"/>
  <c r="D105" i="43"/>
  <c r="D106" i="43"/>
  <c r="D102" i="43"/>
  <c r="E102" i="43"/>
  <c r="E106" i="43"/>
  <c r="E103" i="43"/>
  <c r="E109" i="43"/>
  <c r="E104" i="43"/>
  <c r="E107" i="43"/>
  <c r="E105" i="43"/>
  <c r="M109" i="43"/>
  <c r="M102" i="43"/>
  <c r="M106" i="43"/>
  <c r="M103" i="43"/>
  <c r="M104" i="43"/>
  <c r="M107" i="43"/>
  <c r="M105" i="43"/>
  <c r="L106" i="43"/>
  <c r="L103" i="43"/>
  <c r="L107" i="43"/>
  <c r="J104" i="43"/>
  <c r="J107" i="43"/>
  <c r="J102" i="43"/>
  <c r="J106" i="43"/>
  <c r="J105" i="43"/>
  <c r="J103" i="43"/>
  <c r="J109" i="43"/>
  <c r="G105" i="43"/>
  <c r="G102" i="43"/>
  <c r="G107" i="43"/>
  <c r="G104" i="43"/>
  <c r="G109" i="43"/>
  <c r="G103" i="43"/>
  <c r="G106" i="43"/>
  <c r="K103" i="43"/>
  <c r="K102" i="43"/>
  <c r="K106" i="43"/>
  <c r="K107" i="43"/>
  <c r="K104" i="43"/>
  <c r="K105" i="43"/>
  <c r="K109" i="43"/>
  <c r="H102" i="43"/>
  <c r="H104" i="43"/>
  <c r="H103" i="43"/>
  <c r="H109" i="43"/>
  <c r="AY6" i="3"/>
  <c r="E3" i="6"/>
  <c r="O7" i="1"/>
  <c r="O16" i="1" s="1"/>
  <c r="M16" i="1"/>
  <c r="P7" i="1"/>
  <c r="P16" i="1" s="1"/>
  <c r="C11" i="12" s="1"/>
  <c r="F27" i="69"/>
  <c r="F28" i="12"/>
  <c r="C29" i="12" s="1"/>
  <c r="D28" i="12" s="1"/>
  <c r="F27" i="11"/>
  <c r="F27" i="68"/>
  <c r="C16" i="43"/>
  <c r="D5" i="43" s="1"/>
  <c r="K4" i="4"/>
  <c r="B46" i="48" s="1"/>
  <c r="B4" i="72" s="1"/>
  <c r="B4" i="62"/>
  <c r="B71" i="72" s="1"/>
  <c r="G48" i="35"/>
  <c r="E58" i="21"/>
  <c r="H52" i="37"/>
  <c r="M63" i="40"/>
  <c r="L65" i="40"/>
  <c r="I52" i="33"/>
  <c r="J52" i="33" s="1"/>
  <c r="I53" i="33"/>
  <c r="J53" i="33" s="1"/>
  <c r="C49" i="33"/>
  <c r="C48" i="33"/>
  <c r="D70" i="39"/>
  <c r="E68" i="39"/>
  <c r="F46" i="36"/>
  <c r="H59" i="34"/>
  <c r="G53" i="33"/>
  <c r="H53" i="33" s="1"/>
  <c r="E53" i="33"/>
  <c r="F53" i="33" s="1"/>
  <c r="E52" i="33"/>
  <c r="F52" i="33" s="1"/>
  <c r="Q52" i="15"/>
  <c r="F1" i="15"/>
  <c r="P23" i="43"/>
  <c r="B71" i="39" s="1"/>
  <c r="C6" i="71"/>
  <c r="C5" i="71" s="1"/>
  <c r="D5" i="71" s="1"/>
  <c r="D7" i="71"/>
  <c r="P25" i="43"/>
  <c r="C49" i="67"/>
  <c r="C49" i="15"/>
  <c r="B40" i="1"/>
  <c r="C18" i="67"/>
  <c r="C15" i="67"/>
  <c r="M11" i="15"/>
  <c r="J10" i="15" s="1"/>
  <c r="J5" i="15" s="1"/>
  <c r="F11" i="67"/>
  <c r="F11" i="15"/>
  <c r="M11" i="67"/>
  <c r="J10" i="67" s="1"/>
  <c r="J5" i="67" s="1"/>
  <c r="Q73" i="67"/>
  <c r="Q60" i="67"/>
  <c r="P28" i="43"/>
  <c r="G20" i="43" s="1"/>
  <c r="M28" i="43"/>
  <c r="N28" i="43"/>
  <c r="O28" i="43"/>
  <c r="Q61" i="67"/>
  <c r="Q74" i="67"/>
  <c r="AE6" i="1"/>
  <c r="AG6" i="1" l="1"/>
  <c r="H6" i="1"/>
  <c r="H16" i="1" s="1"/>
  <c r="L52" i="15"/>
  <c r="D86" i="43"/>
  <c r="J86" i="43"/>
  <c r="D85" i="43"/>
  <c r="J85" i="43"/>
  <c r="D83" i="43"/>
  <c r="N83" i="43"/>
  <c r="N81" i="43"/>
  <c r="D81" i="43"/>
  <c r="D82" i="43"/>
  <c r="J82" i="43"/>
  <c r="D88" i="43"/>
  <c r="J88" i="43"/>
  <c r="D84" i="43"/>
  <c r="J84" i="43"/>
  <c r="E41" i="43"/>
  <c r="C41" i="43" s="1"/>
  <c r="C20" i="43"/>
  <c r="C19" i="15"/>
  <c r="AQ6" i="1"/>
  <c r="T6" i="1"/>
  <c r="T16" i="1" s="1"/>
  <c r="S16" i="1"/>
  <c r="AR6" i="1"/>
  <c r="K27" i="6"/>
  <c r="M19" i="6"/>
  <c r="C115" i="43"/>
  <c r="D113" i="43" s="1"/>
  <c r="C15" i="12"/>
  <c r="C12" i="12"/>
  <c r="C47" i="11"/>
  <c r="D45" i="11" s="1"/>
  <c r="C29" i="11"/>
  <c r="D27" i="11" s="1"/>
  <c r="C47" i="69"/>
  <c r="D45" i="69" s="1"/>
  <c r="C29" i="69"/>
  <c r="D27" i="69" s="1"/>
  <c r="AY103" i="3"/>
  <c r="AY98"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87"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AY539" i="3"/>
  <c r="AY105" i="3"/>
  <c r="AY100" i="3"/>
  <c r="AY69" i="3"/>
  <c r="AY84" i="3"/>
  <c r="AY52" i="3"/>
  <c r="AY20" i="3"/>
  <c r="AY198" i="3"/>
  <c r="AY193" i="3"/>
  <c r="AY162"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BO6" i="3"/>
  <c r="AY555" i="3"/>
  <c r="AY89" i="3"/>
  <c r="AY85" i="3"/>
  <c r="AY53" i="3"/>
  <c r="AY68" i="3"/>
  <c r="AY36" i="3"/>
  <c r="AY25" i="3"/>
  <c r="AY182" i="3"/>
  <c r="AY178"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578" i="3"/>
  <c r="AY99" i="3"/>
  <c r="AY63" i="3"/>
  <c r="AY46" i="3"/>
  <c r="AY192" i="3"/>
  <c r="AY156" i="3"/>
  <c r="AY135" i="3"/>
  <c r="AY285" i="3"/>
  <c r="AY249" i="3"/>
  <c r="AY232" i="3"/>
  <c r="AY378"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531" i="3"/>
  <c r="BA6" i="3"/>
  <c r="AY94" i="3"/>
  <c r="AY78" i="3"/>
  <c r="AY35" i="3"/>
  <c r="AY187" i="3"/>
  <c r="AY167" i="3"/>
  <c r="AY127" i="3"/>
  <c r="AY280" i="3"/>
  <c r="AY264" i="3"/>
  <c r="AY221" i="3"/>
  <c r="AY376"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C29" i="68"/>
  <c r="D27" i="68" s="1"/>
  <c r="C47" i="68"/>
  <c r="D45" i="68" s="1"/>
  <c r="C34" i="11"/>
  <c r="N16" i="1"/>
  <c r="L16" i="1"/>
  <c r="C34" i="68"/>
  <c r="D3" i="34"/>
  <c r="D3" i="33"/>
  <c r="B2" i="33" s="1"/>
  <c r="B3" i="33" s="1"/>
  <c r="E6" i="6"/>
  <c r="C17" i="4"/>
  <c r="B4" i="52" s="1"/>
  <c r="B43" i="72" s="1"/>
  <c r="L18" i="9"/>
  <c r="D3" i="37"/>
  <c r="D37" i="11"/>
  <c r="C37" i="11" s="1"/>
  <c r="M18" i="9"/>
  <c r="B118" i="9" s="1"/>
  <c r="B14" i="74" s="1"/>
  <c r="D3" i="21"/>
  <c r="D19" i="11"/>
  <c r="C19" i="11" s="1"/>
  <c r="D14" i="12"/>
  <c r="C5" i="43"/>
  <c r="F68" i="39"/>
  <c r="E70" i="39"/>
  <c r="H48" i="35"/>
  <c r="I59" i="34"/>
  <c r="G46" i="36"/>
  <c r="N63" i="40"/>
  <c r="M65" i="40"/>
  <c r="I52" i="37"/>
  <c r="J52" i="37" s="1"/>
  <c r="K52" i="37" s="1"/>
  <c r="L52" i="37" s="1"/>
  <c r="M52" i="37" s="1"/>
  <c r="N52" i="37" s="1"/>
  <c r="O52" i="37" s="1"/>
  <c r="H7" i="37"/>
  <c r="F7" i="37"/>
  <c r="F58" i="21"/>
  <c r="G58" i="21" s="1"/>
  <c r="H58" i="21" s="1"/>
  <c r="I58" i="21" s="1"/>
  <c r="J58" i="21" s="1"/>
  <c r="K58" i="21" s="1"/>
  <c r="L58" i="21" s="1"/>
  <c r="M58" i="21" s="1"/>
  <c r="N58" i="21" s="1"/>
  <c r="O58" i="21" s="1"/>
  <c r="D6" i="71"/>
  <c r="M20" i="43" s="1"/>
  <c r="C19" i="43" s="1"/>
  <c r="C19" i="67"/>
  <c r="C20" i="67" s="1"/>
  <c r="C26" i="67" s="1"/>
  <c r="J24" i="67"/>
  <c r="J26" i="67"/>
  <c r="J29" i="67" s="1"/>
  <c r="J18" i="67"/>
  <c r="C53" i="67"/>
  <c r="C48" i="67" s="1"/>
  <c r="C10" i="67"/>
  <c r="C5" i="67" s="1"/>
  <c r="C20" i="15"/>
  <c r="C26" i="15" s="1"/>
  <c r="J24" i="15"/>
  <c r="J18" i="15"/>
  <c r="C53" i="15"/>
  <c r="C48" i="15" s="1"/>
  <c r="C10" i="15"/>
  <c r="C5" i="15" s="1"/>
  <c r="F24" i="67"/>
  <c r="C24" i="67" s="1"/>
  <c r="F22" i="68"/>
  <c r="F22" i="11"/>
  <c r="F22" i="69"/>
  <c r="F25" i="12"/>
  <c r="F24" i="15"/>
  <c r="C24" i="15" s="1"/>
  <c r="F41" i="15"/>
  <c r="M27" i="15"/>
  <c r="F69" i="15" l="1"/>
  <c r="G6" i="1"/>
  <c r="G16" i="1" s="1"/>
  <c r="H10" i="40" s="1"/>
  <c r="Q59" i="15"/>
  <c r="Q72" i="15"/>
  <c r="N59" i="15"/>
  <c r="L58" i="15"/>
  <c r="M59" i="15"/>
  <c r="L59" i="15" s="1"/>
  <c r="E81" i="43"/>
  <c r="B79" i="43" s="1"/>
  <c r="C24" i="43" s="1"/>
  <c r="T14" i="43" s="1"/>
  <c r="V14" i="43" s="1"/>
  <c r="M27" i="6"/>
  <c r="I19" i="6"/>
  <c r="D17" i="12"/>
  <c r="C17" i="12" s="1"/>
  <c r="C14" i="12"/>
  <c r="C16" i="12" s="1"/>
  <c r="D10" i="11"/>
  <c r="C10" i="11" s="1"/>
  <c r="D20" i="12"/>
  <c r="C20" i="12" s="1"/>
  <c r="C18" i="12" s="1"/>
  <c r="D10" i="68"/>
  <c r="D10" i="69"/>
  <c r="C38" i="11"/>
  <c r="C35" i="11"/>
  <c r="D25" i="6"/>
  <c r="D15" i="6"/>
  <c r="D22" i="6"/>
  <c r="D21" i="6"/>
  <c r="D24" i="6"/>
  <c r="D20" i="6"/>
  <c r="D6" i="6"/>
  <c r="D9" i="6"/>
  <c r="D10" i="6"/>
  <c r="L19" i="9"/>
  <c r="D29" i="6"/>
  <c r="H25" i="6"/>
  <c r="H22" i="6"/>
  <c r="H21" i="6"/>
  <c r="H24" i="6"/>
  <c r="H19" i="6"/>
  <c r="H20" i="6"/>
  <c r="M19" i="9"/>
  <c r="C118" i="9" s="1"/>
  <c r="C14" i="74" s="1"/>
  <c r="D19" i="6"/>
  <c r="D26" i="6"/>
  <c r="C18" i="4"/>
  <c r="D8" i="6"/>
  <c r="D23" i="6"/>
  <c r="D14" i="6"/>
  <c r="D5" i="6"/>
  <c r="D12" i="6"/>
  <c r="D11" i="6"/>
  <c r="D13" i="6"/>
  <c r="D28" i="6"/>
  <c r="D30" i="6" s="1"/>
  <c r="E61" i="40"/>
  <c r="H23" i="6"/>
  <c r="H26" i="6"/>
  <c r="C20" i="11"/>
  <c r="C28" i="11" s="1"/>
  <c r="C27" i="11" s="1"/>
  <c r="C38" i="68"/>
  <c r="C35" i="68"/>
  <c r="F50" i="11"/>
  <c r="F50" i="68"/>
  <c r="F50" i="69"/>
  <c r="AB7" i="37"/>
  <c r="T42" i="37" s="1"/>
  <c r="G42" i="37" s="1"/>
  <c r="U7" i="37"/>
  <c r="H7" i="21"/>
  <c r="F70" i="39"/>
  <c r="G68" i="39"/>
  <c r="F7" i="21"/>
  <c r="AA7" i="37"/>
  <c r="R42" i="37" s="1"/>
  <c r="S7" i="37"/>
  <c r="O63" i="40"/>
  <c r="O65" i="40" s="1"/>
  <c r="N65" i="40"/>
  <c r="J7" i="40" s="1"/>
  <c r="H46" i="36"/>
  <c r="J59" i="34"/>
  <c r="I48" i="35"/>
  <c r="J7" i="37"/>
  <c r="J7" i="21"/>
  <c r="C37" i="43"/>
  <c r="C38" i="43"/>
  <c r="C26" i="68"/>
  <c r="D22" i="68" s="1"/>
  <c r="C44" i="68"/>
  <c r="D41" i="68" s="1"/>
  <c r="C38" i="15"/>
  <c r="C32" i="15"/>
  <c r="C26" i="12"/>
  <c r="D25" i="12" s="1"/>
  <c r="C44" i="11"/>
  <c r="D41" i="11" s="1"/>
  <c r="C23" i="11"/>
  <c r="C26" i="11"/>
  <c r="D22" i="11" s="1"/>
  <c r="C24" i="11"/>
  <c r="C25" i="11"/>
  <c r="C23" i="67"/>
  <c r="C29" i="67" s="1"/>
  <c r="C66" i="15"/>
  <c r="C60" i="15"/>
  <c r="C60" i="67"/>
  <c r="C66" i="67"/>
  <c r="C44" i="69"/>
  <c r="D41" i="69" s="1"/>
  <c r="C26" i="69"/>
  <c r="D22" i="69" s="1"/>
  <c r="C23" i="15"/>
  <c r="C29" i="15" s="1"/>
  <c r="C38" i="67"/>
  <c r="C32" i="67"/>
  <c r="C36" i="43" l="1"/>
  <c r="E36" i="43" s="1"/>
  <c r="F10" i="40"/>
  <c r="S10" i="40" s="1"/>
  <c r="J10" i="39"/>
  <c r="AC10" i="39" s="1"/>
  <c r="H10" i="39"/>
  <c r="U10" i="39" s="1"/>
  <c r="F10" i="39"/>
  <c r="AA10" i="39" s="1"/>
  <c r="J10" i="40"/>
  <c r="W10" i="40" s="1"/>
  <c r="T3" i="43"/>
  <c r="V3" i="43" s="1"/>
  <c r="C29" i="43"/>
  <c r="C30" i="43" s="1"/>
  <c r="E30" i="43" s="1"/>
  <c r="C35" i="43"/>
  <c r="E35" i="43" s="1"/>
  <c r="C39" i="43"/>
  <c r="E39" i="43" s="1"/>
  <c r="T6" i="43"/>
  <c r="V6" i="43" s="1"/>
  <c r="T5" i="43"/>
  <c r="V5" i="43" s="1"/>
  <c r="T2" i="43"/>
  <c r="V2" i="43" s="1"/>
  <c r="T8" i="43"/>
  <c r="V8" i="43" s="1"/>
  <c r="T13" i="43"/>
  <c r="V13" i="43" s="1"/>
  <c r="Q73" i="15"/>
  <c r="Q60" i="15"/>
  <c r="Q61" i="15"/>
  <c r="Q74" i="15"/>
  <c r="T16" i="43"/>
  <c r="V16" i="43" s="1"/>
  <c r="T15" i="43"/>
  <c r="V15" i="43" s="1"/>
  <c r="C33" i="43"/>
  <c r="G33" i="43" s="1"/>
  <c r="I33" i="43" s="1"/>
  <c r="T9" i="43"/>
  <c r="V9" i="43" s="1"/>
  <c r="T7" i="43"/>
  <c r="V7" i="43" s="1"/>
  <c r="T12" i="43"/>
  <c r="V12" i="43" s="1"/>
  <c r="T10" i="43"/>
  <c r="V10" i="43" s="1"/>
  <c r="T11" i="43"/>
  <c r="V11" i="43" s="1"/>
  <c r="C34" i="43"/>
  <c r="G34" i="43" s="1"/>
  <c r="I34" i="43" s="1"/>
  <c r="T4" i="43"/>
  <c r="V4" i="43" s="1"/>
  <c r="AC10" i="40"/>
  <c r="AB10" i="40"/>
  <c r="U10" i="40"/>
  <c r="W10" i="39"/>
  <c r="AA10" i="40"/>
  <c r="H27" i="6"/>
  <c r="C33" i="11"/>
  <c r="C42" i="11" s="1"/>
  <c r="D16" i="6"/>
  <c r="I27" i="6"/>
  <c r="S19" i="6"/>
  <c r="S27" i="6" s="1"/>
  <c r="R26" i="6"/>
  <c r="R20" i="6"/>
  <c r="R21" i="6"/>
  <c r="C10" i="69"/>
  <c r="C8" i="69" s="1"/>
  <c r="C5" i="69" s="1"/>
  <c r="D19" i="69"/>
  <c r="C21" i="12"/>
  <c r="R23" i="6"/>
  <c r="A7" i="51"/>
  <c r="B7" i="72" s="1"/>
  <c r="C4" i="52"/>
  <c r="B45" i="72" s="1"/>
  <c r="A10" i="51"/>
  <c r="B9" i="72" s="1"/>
  <c r="D27" i="6"/>
  <c r="D31" i="6" s="1"/>
  <c r="R19" i="6"/>
  <c r="R24" i="6"/>
  <c r="R22" i="6"/>
  <c r="R25" i="6"/>
  <c r="C10" i="68"/>
  <c r="D19" i="68"/>
  <c r="W7" i="40"/>
  <c r="AC7" i="40"/>
  <c r="V42" i="40" s="1"/>
  <c r="I42" i="40" s="1"/>
  <c r="W7" i="37"/>
  <c r="AC7" i="37"/>
  <c r="V42" i="37" s="1"/>
  <c r="I42" i="37" s="1"/>
  <c r="S7" i="21"/>
  <c r="AA7" i="21"/>
  <c r="R48" i="21" s="1"/>
  <c r="F7" i="40"/>
  <c r="AC7" i="21"/>
  <c r="V48" i="21" s="1"/>
  <c r="I48" i="21" s="1"/>
  <c r="W7" i="21"/>
  <c r="J48" i="35"/>
  <c r="K59" i="34"/>
  <c r="I46" i="36"/>
  <c r="H7" i="40"/>
  <c r="E42" i="37"/>
  <c r="R43" i="37"/>
  <c r="H68" i="39"/>
  <c r="G70" i="39"/>
  <c r="AB7" i="21"/>
  <c r="T48" i="21" s="1"/>
  <c r="G48" i="21" s="1"/>
  <c r="U7" i="21"/>
  <c r="G46" i="37"/>
  <c r="H46" i="37" s="1"/>
  <c r="G47" i="37"/>
  <c r="H47" i="37" s="1"/>
  <c r="E38" i="43"/>
  <c r="G38" i="43"/>
  <c r="I38" i="43" s="1"/>
  <c r="E29" i="43"/>
  <c r="G36" i="43"/>
  <c r="I36" i="43" s="1"/>
  <c r="G37" i="43"/>
  <c r="I37" i="43" s="1"/>
  <c r="E37" i="43"/>
  <c r="J19" i="15"/>
  <c r="Q49" i="15"/>
  <c r="C33" i="15"/>
  <c r="C36" i="15"/>
  <c r="C57" i="15"/>
  <c r="J14" i="15"/>
  <c r="C13" i="15"/>
  <c r="J59" i="15"/>
  <c r="J60" i="15" s="1"/>
  <c r="C22" i="11"/>
  <c r="C31" i="11" s="1"/>
  <c r="C33" i="67"/>
  <c r="C31" i="67" s="1"/>
  <c r="J14" i="67"/>
  <c r="C57" i="67"/>
  <c r="C13" i="67"/>
  <c r="J19" i="67"/>
  <c r="J17" i="67" s="1"/>
  <c r="Q49" i="67"/>
  <c r="C36" i="67"/>
  <c r="J59" i="67"/>
  <c r="J60" i="67" s="1"/>
  <c r="G35" i="43" l="1"/>
  <c r="I35" i="43" s="1"/>
  <c r="G39" i="43"/>
  <c r="I39" i="43" s="1"/>
  <c r="AB10" i="39"/>
  <c r="S10" i="39"/>
  <c r="E34" i="43"/>
  <c r="E33" i="43"/>
  <c r="C39" i="11"/>
  <c r="C43" i="11" s="1"/>
  <c r="C41" i="11" s="1"/>
  <c r="R27" i="6"/>
  <c r="R6" i="1"/>
  <c r="C19" i="69"/>
  <c r="C24" i="69" s="1"/>
  <c r="D37" i="69"/>
  <c r="C37" i="69" s="1"/>
  <c r="C33" i="69" s="1"/>
  <c r="C19" i="68"/>
  <c r="D37" i="68"/>
  <c r="C37" i="68" s="1"/>
  <c r="C33" i="68" s="1"/>
  <c r="I5" i="6"/>
  <c r="I6" i="6"/>
  <c r="C22" i="12"/>
  <c r="C27" i="12" s="1"/>
  <c r="C25" i="12" s="1"/>
  <c r="C23" i="69"/>
  <c r="U7" i="40"/>
  <c r="AB7" i="40"/>
  <c r="T42" i="40" s="1"/>
  <c r="G42" i="40" s="1"/>
  <c r="J46" i="36"/>
  <c r="K46" i="36" s="1"/>
  <c r="L46" i="36" s="1"/>
  <c r="M46" i="36" s="1"/>
  <c r="N46" i="36" s="1"/>
  <c r="O46" i="36" s="1"/>
  <c r="F7" i="36" s="1"/>
  <c r="H7" i="36"/>
  <c r="G52" i="21"/>
  <c r="H52" i="21" s="1"/>
  <c r="G53" i="21"/>
  <c r="H53" i="21" s="1"/>
  <c r="I68" i="39"/>
  <c r="H70" i="39"/>
  <c r="E47" i="37"/>
  <c r="F47" i="37" s="1"/>
  <c r="E46" i="37"/>
  <c r="F46" i="37" s="1"/>
  <c r="J7" i="36"/>
  <c r="L59" i="34"/>
  <c r="K48" i="35"/>
  <c r="I52" i="21"/>
  <c r="J52" i="21" s="1"/>
  <c r="E48" i="21"/>
  <c r="R49" i="21"/>
  <c r="I47" i="37"/>
  <c r="J47" i="37" s="1"/>
  <c r="I46" i="37"/>
  <c r="J46" i="37" s="1"/>
  <c r="I46" i="40"/>
  <c r="J46" i="40" s="1"/>
  <c r="C42" i="37"/>
  <c r="C43" i="37"/>
  <c r="B2" i="37" s="1"/>
  <c r="B3" i="37" s="1"/>
  <c r="S7" i="40"/>
  <c r="AA7" i="40"/>
  <c r="R42" i="40" s="1"/>
  <c r="Q48" i="67"/>
  <c r="L46" i="67"/>
  <c r="C75" i="67"/>
  <c r="C37" i="67"/>
  <c r="C30" i="67" s="1"/>
  <c r="C39" i="67" s="1"/>
  <c r="Q70" i="67"/>
  <c r="C56" i="67"/>
  <c r="C65" i="67" s="1"/>
  <c r="J13" i="67"/>
  <c r="J23" i="67" s="1"/>
  <c r="J22" i="67"/>
  <c r="Q48" i="15"/>
  <c r="J13" i="15"/>
  <c r="J23" i="15" s="1"/>
  <c r="J22" i="15"/>
  <c r="C61" i="67"/>
  <c r="C59" i="67" s="1"/>
  <c r="C64" i="67"/>
  <c r="Q70" i="15"/>
  <c r="C56" i="15"/>
  <c r="C65" i="15" s="1"/>
  <c r="C37" i="15"/>
  <c r="C75" i="15"/>
  <c r="C61" i="15"/>
  <c r="C64" i="15"/>
  <c r="F35" i="15"/>
  <c r="M21" i="15"/>
  <c r="C27" i="43" l="1"/>
  <c r="C26" i="43"/>
  <c r="J20" i="15"/>
  <c r="J17" i="15" s="1"/>
  <c r="F63" i="15"/>
  <c r="C62" i="15" s="1"/>
  <c r="C34" i="15"/>
  <c r="C31" i="15" s="1"/>
  <c r="C59" i="15"/>
  <c r="C30" i="15"/>
  <c r="C39" i="15" s="1"/>
  <c r="Q69" i="15" s="1"/>
  <c r="Q68" i="15" s="1"/>
  <c r="R16" i="1"/>
  <c r="C46" i="11"/>
  <c r="C45" i="11" s="1"/>
  <c r="C49" i="11" s="1"/>
  <c r="C51" i="11" s="1"/>
  <c r="C20" i="69"/>
  <c r="C25" i="69" s="1"/>
  <c r="C22" i="69" s="1"/>
  <c r="C52" i="11"/>
  <c r="B2" i="11" s="1"/>
  <c r="B3" i="11" s="1"/>
  <c r="C39" i="68"/>
  <c r="C43" i="68" s="1"/>
  <c r="C42" i="68"/>
  <c r="C39" i="69"/>
  <c r="C42" i="69"/>
  <c r="C28" i="69"/>
  <c r="C27" i="69" s="1"/>
  <c r="C30" i="12"/>
  <c r="C28" i="12" s="1"/>
  <c r="C32" i="12" s="1"/>
  <c r="B2" i="12" s="1"/>
  <c r="B3" i="12" s="1"/>
  <c r="C24" i="68"/>
  <c r="AC7" i="36"/>
  <c r="V36" i="36" s="1"/>
  <c r="I36" i="36" s="1"/>
  <c r="W7" i="36"/>
  <c r="J68" i="39"/>
  <c r="I70" i="39"/>
  <c r="AA7" i="36"/>
  <c r="R36" i="36" s="1"/>
  <c r="S7" i="36"/>
  <c r="E42" i="40"/>
  <c r="R43" i="40"/>
  <c r="C48" i="21"/>
  <c r="C49" i="21"/>
  <c r="B2" i="21" s="1"/>
  <c r="B3" i="21" s="1"/>
  <c r="E52" i="21"/>
  <c r="F52" i="21" s="1"/>
  <c r="E53" i="21"/>
  <c r="F53" i="21" s="1"/>
  <c r="I53" i="21"/>
  <c r="J53" i="21" s="1"/>
  <c r="L48" i="35"/>
  <c r="M59" i="34"/>
  <c r="U7" i="36"/>
  <c r="AB7" i="36"/>
  <c r="T36" i="36" s="1"/>
  <c r="G36" i="36" s="1"/>
  <c r="G46" i="40"/>
  <c r="H46" i="40" s="1"/>
  <c r="G47" i="40"/>
  <c r="H47" i="40" s="1"/>
  <c r="J16" i="67"/>
  <c r="J25" i="67" s="1"/>
  <c r="J16" i="15"/>
  <c r="J25" i="15" s="1"/>
  <c r="J26" i="15" s="1"/>
  <c r="J29" i="15" s="1"/>
  <c r="C40" i="67"/>
  <c r="Q69" i="67"/>
  <c r="Q68" i="67" s="1"/>
  <c r="C58" i="15"/>
  <c r="C67" i="15" s="1"/>
  <c r="C68" i="15" s="1"/>
  <c r="C58" i="67"/>
  <c r="C67" i="67" s="1"/>
  <c r="C68" i="67" s="1"/>
  <c r="C80" i="67"/>
  <c r="C79" i="67" s="1"/>
  <c r="L51" i="67"/>
  <c r="E6" i="76"/>
  <c r="L51" i="15"/>
  <c r="E2" i="76" l="1"/>
  <c r="B2" i="43"/>
  <c r="C80" i="15"/>
  <c r="C79" i="15" s="1"/>
  <c r="C40" i="15"/>
  <c r="Q65" i="15" s="1"/>
  <c r="C41" i="68"/>
  <c r="C31" i="69"/>
  <c r="C46" i="68"/>
  <c r="C45" i="68" s="1"/>
  <c r="C49" i="68" s="1"/>
  <c r="C51" i="68" s="1"/>
  <c r="C56" i="11"/>
  <c r="C57" i="11" s="1"/>
  <c r="C46" i="69"/>
  <c r="C45" i="69" s="1"/>
  <c r="C43" i="69"/>
  <c r="C41" i="69" s="1"/>
  <c r="N59" i="34"/>
  <c r="O59" i="34" s="1"/>
  <c r="J7" i="34" s="1"/>
  <c r="F7" i="34"/>
  <c r="M48" i="35"/>
  <c r="N48" i="35" s="1"/>
  <c r="O48" i="35" s="1"/>
  <c r="H7" i="35"/>
  <c r="F7" i="35"/>
  <c r="C42" i="40"/>
  <c r="C43" i="40"/>
  <c r="G40" i="36"/>
  <c r="H40" i="36" s="1"/>
  <c r="G41" i="36"/>
  <c r="H41" i="36" s="1"/>
  <c r="H7" i="34"/>
  <c r="J7" i="35"/>
  <c r="E46" i="40"/>
  <c r="F46" i="40" s="1"/>
  <c r="E47" i="40"/>
  <c r="F47" i="40" s="1"/>
  <c r="I47" i="40"/>
  <c r="J47" i="40" s="1"/>
  <c r="E36" i="36"/>
  <c r="R37" i="36"/>
  <c r="K68" i="39"/>
  <c r="J70" i="39"/>
  <c r="I41" i="36"/>
  <c r="J41" i="36" s="1"/>
  <c r="I40" i="36"/>
  <c r="J40" i="36" s="1"/>
  <c r="Q67" i="67"/>
  <c r="L57" i="67"/>
  <c r="L60" i="67" s="1"/>
  <c r="Q67" i="15"/>
  <c r="L57" i="15"/>
  <c r="L60" i="15" s="1"/>
  <c r="L46" i="15" s="1"/>
  <c r="C71" i="67"/>
  <c r="C45" i="67"/>
  <c r="C46" i="67" s="1"/>
  <c r="Q56" i="67"/>
  <c r="Q47" i="67"/>
  <c r="Q53" i="67" s="1"/>
  <c r="Q65" i="67"/>
  <c r="C43" i="67"/>
  <c r="D2" i="67"/>
  <c r="C83" i="67"/>
  <c r="C82" i="67" s="1"/>
  <c r="C71" i="15"/>
  <c r="B6" i="76"/>
  <c r="B2" i="76" l="1"/>
  <c r="B3" i="76" s="1"/>
  <c r="C6" i="68"/>
  <c r="C7" i="68" s="1"/>
  <c r="C5" i="68" s="1"/>
  <c r="B3" i="43"/>
  <c r="Q47" i="15"/>
  <c r="Q53" i="15" s="1"/>
  <c r="C46" i="15"/>
  <c r="C83" i="15"/>
  <c r="C82" i="15" s="1"/>
  <c r="B2" i="15"/>
  <c r="Q56" i="15"/>
  <c r="C43" i="15"/>
  <c r="C49" i="69"/>
  <c r="C51" i="69" s="1"/>
  <c r="C52" i="69" s="1"/>
  <c r="B2" i="69" s="1"/>
  <c r="B3" i="69" s="1"/>
  <c r="L68" i="39"/>
  <c r="K70" i="39"/>
  <c r="E40" i="36"/>
  <c r="F40" i="36" s="1"/>
  <c r="E41" i="36"/>
  <c r="F41" i="36" s="1"/>
  <c r="U7" i="35"/>
  <c r="AB7" i="35"/>
  <c r="T38" i="35" s="1"/>
  <c r="G38" i="35" s="1"/>
  <c r="S7" i="34"/>
  <c r="AA7" i="34"/>
  <c r="R49" i="34" s="1"/>
  <c r="W7" i="35"/>
  <c r="AC7" i="35"/>
  <c r="V38" i="35" s="1"/>
  <c r="I38" i="35" s="1"/>
  <c r="C36" i="36"/>
  <c r="C37" i="36"/>
  <c r="B2" i="36" s="1"/>
  <c r="B3" i="36" s="1"/>
  <c r="AB7" i="34"/>
  <c r="T49" i="34" s="1"/>
  <c r="G49" i="34" s="1"/>
  <c r="U7" i="34"/>
  <c r="B53" i="40"/>
  <c r="F53" i="40" s="1"/>
  <c r="F61" i="40"/>
  <c r="B2" i="40" s="1"/>
  <c r="B3" i="40" s="1"/>
  <c r="B58" i="40"/>
  <c r="F58" i="40" s="1"/>
  <c r="B52" i="40"/>
  <c r="F52" i="40" s="1"/>
  <c r="B51" i="40"/>
  <c r="F51" i="40" s="1"/>
  <c r="B55" i="40"/>
  <c r="F55" i="40" s="1"/>
  <c r="B60" i="40"/>
  <c r="F60" i="40" s="1"/>
  <c r="B57" i="40"/>
  <c r="F57" i="40" s="1"/>
  <c r="B59" i="40"/>
  <c r="F59" i="40" s="1"/>
  <c r="B56" i="40"/>
  <c r="F56" i="40" s="1"/>
  <c r="B54" i="40"/>
  <c r="F54" i="40" s="1"/>
  <c r="AA7" i="35"/>
  <c r="R38" i="35" s="1"/>
  <c r="S7" i="35"/>
  <c r="W7" i="34"/>
  <c r="AC7" i="34"/>
  <c r="V49" i="34" s="1"/>
  <c r="I49" i="34" s="1"/>
  <c r="Q57" i="15"/>
  <c r="Q66" i="15"/>
  <c r="Q75" i="15" s="1"/>
  <c r="Q66" i="67"/>
  <c r="Q75" i="67" s="1"/>
  <c r="Q57" i="67"/>
  <c r="Q62" i="67" s="1"/>
  <c r="B2" i="67"/>
  <c r="B3" i="67"/>
  <c r="AO6" i="1"/>
  <c r="D19" i="9"/>
  <c r="D102" i="9" l="1"/>
  <c r="D21" i="9"/>
  <c r="B3" i="15"/>
  <c r="Q62" i="15"/>
  <c r="C23" i="68"/>
  <c r="C20" i="68"/>
  <c r="C25" i="68" s="1"/>
  <c r="B6" i="70"/>
  <c r="B2" i="70" s="1"/>
  <c r="B3" i="70" s="1"/>
  <c r="C57" i="69"/>
  <c r="C56" i="69" s="1"/>
  <c r="E38" i="35"/>
  <c r="R39" i="35"/>
  <c r="I42" i="35"/>
  <c r="J42" i="35" s="1"/>
  <c r="I43" i="35"/>
  <c r="J43" i="35" s="1"/>
  <c r="R50" i="34"/>
  <c r="E49" i="34"/>
  <c r="G42" i="35"/>
  <c r="H42" i="35" s="1"/>
  <c r="G43" i="35"/>
  <c r="H43" i="35" s="1"/>
  <c r="I53" i="34"/>
  <c r="J53" i="34" s="1"/>
  <c r="I54" i="34"/>
  <c r="J54" i="34" s="1"/>
  <c r="G53" i="34"/>
  <c r="H53" i="34" s="1"/>
  <c r="G54" i="34"/>
  <c r="H54" i="34" s="1"/>
  <c r="M68" i="39"/>
  <c r="L70" i="39"/>
  <c r="D20" i="9"/>
  <c r="D103" i="9" l="1"/>
  <c r="C22" i="68"/>
  <c r="C28" i="68"/>
  <c r="C27" i="68" s="1"/>
  <c r="E54" i="34"/>
  <c r="F54" i="34" s="1"/>
  <c r="E53" i="34"/>
  <c r="F53" i="34" s="1"/>
  <c r="C38" i="35"/>
  <c r="C39" i="35"/>
  <c r="B2" i="35" s="1"/>
  <c r="B3" i="35" s="1"/>
  <c r="N68" i="39"/>
  <c r="M70" i="39"/>
  <c r="C50" i="34"/>
  <c r="B2" i="34" s="1"/>
  <c r="B3" i="34" s="1"/>
  <c r="C49" i="34"/>
  <c r="E43" i="35"/>
  <c r="F43" i="35" s="1"/>
  <c r="E42" i="35"/>
  <c r="F42" i="35" s="1"/>
  <c r="C31" i="68" l="1"/>
  <c r="C52" i="68" s="1"/>
  <c r="B2" i="68" s="1"/>
  <c r="O68" i="39"/>
  <c r="O70" i="39" s="1"/>
  <c r="N70" i="39"/>
  <c r="C19" i="9"/>
  <c r="D22" i="9" l="1"/>
  <c r="G19" i="9"/>
  <c r="C102" i="9"/>
  <c r="C21" i="9"/>
  <c r="B3" i="68"/>
  <c r="C57" i="68"/>
  <c r="C56" i="68" s="1"/>
  <c r="J7" i="39"/>
  <c r="H7" i="39"/>
  <c r="F7" i="39"/>
  <c r="C20" i="9"/>
  <c r="D34" i="9"/>
  <c r="D35" i="9"/>
  <c r="G20" i="9" l="1"/>
  <c r="C103" i="9"/>
  <c r="C32" i="9"/>
  <c r="G21" i="9"/>
  <c r="AB7" i="39"/>
  <c r="T47" i="39" s="1"/>
  <c r="G47" i="39" s="1"/>
  <c r="U7" i="39"/>
  <c r="S7" i="39"/>
  <c r="AA7" i="39"/>
  <c r="R47" i="39" s="1"/>
  <c r="AC7" i="39"/>
  <c r="V47" i="39" s="1"/>
  <c r="I47" i="39" s="1"/>
  <c r="W7" i="39"/>
  <c r="C35" i="9" l="1"/>
  <c r="F118" i="9" s="1"/>
  <c r="H118" i="9"/>
  <c r="E47" i="39"/>
  <c r="I52" i="39" s="1"/>
  <c r="J52" i="39" s="1"/>
  <c r="R48" i="39"/>
  <c r="I51" i="39"/>
  <c r="J51" i="39" s="1"/>
  <c r="G52" i="39"/>
  <c r="H52" i="39" s="1"/>
  <c r="G51" i="39"/>
  <c r="H51" i="39" s="1"/>
  <c r="C34" i="9" l="1"/>
  <c r="D118" i="9" s="1"/>
  <c r="D119" i="9" s="1"/>
  <c r="D5" i="52" s="1"/>
  <c r="B49" i="72" s="1"/>
  <c r="D14" i="74"/>
  <c r="H119" i="9"/>
  <c r="H5" i="52" s="1"/>
  <c r="C104" i="9"/>
  <c r="I118" i="9"/>
  <c r="H101" i="9"/>
  <c r="H4" i="52"/>
  <c r="F4" i="52"/>
  <c r="B51" i="72" s="1"/>
  <c r="G118" i="9"/>
  <c r="G4" i="52" s="1"/>
  <c r="B52" i="72" s="1"/>
  <c r="F119" i="9"/>
  <c r="F5" i="52" s="1"/>
  <c r="B53" i="72" s="1"/>
  <c r="C48" i="39"/>
  <c r="C47" i="39"/>
  <c r="E52" i="39"/>
  <c r="F52" i="39" s="1"/>
  <c r="E51" i="39"/>
  <c r="F51" i="39" s="1"/>
  <c r="D4" i="52" l="1"/>
  <c r="B47" i="72" s="1"/>
  <c r="I4" i="52"/>
  <c r="E118" i="9"/>
  <c r="E4" i="52" s="1"/>
  <c r="B48" i="72" s="1"/>
  <c r="C105" i="9"/>
  <c r="H102" i="9"/>
  <c r="D7" i="53" s="1"/>
  <c r="B21" i="72" s="1"/>
  <c r="D45" i="9"/>
  <c r="M48" i="9"/>
  <c r="H107" i="9"/>
  <c r="D5" i="53"/>
  <c r="E14" i="74"/>
  <c r="F14" i="74"/>
  <c r="B61" i="39"/>
  <c r="F61" i="39" s="1"/>
  <c r="B56" i="39"/>
  <c r="F56" i="39" s="1"/>
  <c r="F66" i="39" s="1"/>
  <c r="B2" i="39" s="1"/>
  <c r="B3" i="39" s="1"/>
  <c r="B59" i="39"/>
  <c r="F59" i="39" s="1"/>
  <c r="B65" i="39"/>
  <c r="F65" i="39" s="1"/>
  <c r="B63" i="39"/>
  <c r="F63" i="39" s="1"/>
  <c r="B60" i="39"/>
  <c r="F60" i="39" s="1"/>
  <c r="B58" i="39"/>
  <c r="F58" i="39" s="1"/>
  <c r="B64" i="39"/>
  <c r="F64" i="39" s="1"/>
  <c r="B57" i="39"/>
  <c r="F57" i="39" s="1"/>
  <c r="B62" i="39"/>
  <c r="F62" i="39" s="1"/>
  <c r="M49" i="9" l="1"/>
  <c r="H108" i="9"/>
  <c r="D15" i="53" s="1"/>
  <c r="B31" i="72" s="1"/>
  <c r="D122" i="9"/>
  <c r="D13" i="53"/>
  <c r="D55" i="9"/>
  <c r="M53" i="9" s="1"/>
  <c r="C93" i="9"/>
  <c r="C86" i="9" s="1"/>
  <c r="C78" i="9"/>
  <c r="C73" i="9" s="1"/>
  <c r="D53" i="9"/>
  <c r="C64" i="9"/>
  <c r="C63" i="9" s="1"/>
  <c r="C67" i="9" s="1"/>
  <c r="C68" i="9" s="1"/>
  <c r="D54" i="9" s="1"/>
  <c r="D52" i="9"/>
  <c r="C85" i="9"/>
  <c r="C72" i="9"/>
  <c r="B20" i="72"/>
  <c r="D6" i="53"/>
  <c r="B22" i="72" s="1"/>
  <c r="C95" i="9" l="1"/>
  <c r="C96" i="9" s="1"/>
  <c r="E96" i="9" s="1"/>
  <c r="E97" i="9" s="1"/>
  <c r="G14" i="74"/>
  <c r="D8" i="52"/>
  <c r="D123" i="9"/>
  <c r="D9" i="52" s="1"/>
  <c r="L68" i="9"/>
  <c r="M68" i="9" s="1"/>
  <c r="L66" i="9"/>
  <c r="M66" i="9" s="1"/>
  <c r="L63" i="9"/>
  <c r="M63" i="9" s="1"/>
  <c r="L65" i="9"/>
  <c r="M65" i="9" s="1"/>
  <c r="L64" i="9"/>
  <c r="M64" i="9" s="1"/>
  <c r="L67" i="9"/>
  <c r="M67" i="9" s="1"/>
  <c r="C79" i="9"/>
  <c r="B30" i="72"/>
  <c r="D14" i="53"/>
  <c r="B32" i="72" s="1"/>
  <c r="C97" i="9" l="1"/>
  <c r="D58" i="9" s="1"/>
  <c r="D56" i="9" s="1"/>
  <c r="M54" i="9" s="1"/>
  <c r="N57" i="9" s="1"/>
  <c r="N59" i="9" s="1"/>
  <c r="N61" i="9" s="1"/>
  <c r="M69" i="9"/>
  <c r="N69" i="9" s="1"/>
  <c r="C80" i="9"/>
  <c r="E80" i="9" s="1"/>
  <c r="E81" i="9" s="1"/>
  <c r="P57" i="9" l="1"/>
  <c r="N60" i="9"/>
  <c r="N58" i="9"/>
  <c r="C81" i="9"/>
  <c r="B15" i="74" l="1"/>
  <c r="B1" i="74" s="1"/>
  <c r="C7" i="74" l="1"/>
  <c r="C8" i="74"/>
  <c r="C15" i="74"/>
  <c r="B2" i="74" s="1"/>
  <c r="D8" i="74" l="1"/>
  <c r="D7" i="74"/>
  <c r="D15" i="74" l="1"/>
  <c r="F15" i="74" l="1"/>
  <c r="E15" i="74"/>
  <c r="B5" i="74"/>
  <c r="D5" i="74" l="1"/>
  <c r="C5" i="74"/>
  <c r="G15" i="74" l="1"/>
  <c r="B6" i="74" s="1"/>
  <c r="C6" i="74" l="1"/>
  <c r="D6"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USER-</author>
    <author>admin</author>
  </authors>
  <commentList>
    <comment ref="B6" authorId="0">
      <text>
        <r>
          <rPr>
            <b/>
            <sz val="9"/>
            <color indexed="81"/>
            <rFont val="宋体"/>
            <family val="3"/>
            <charset val="134"/>
          </rPr>
          <t>USER-:</t>
        </r>
        <r>
          <rPr>
            <sz val="9"/>
            <color indexed="81"/>
            <rFont val="宋体"/>
            <family val="3"/>
            <charset val="134"/>
          </rPr>
          <t xml:space="preserve">
2017年1月 名称变更
</t>
        </r>
      </text>
    </comment>
    <comment ref="B9" authorId="0">
      <text>
        <r>
          <rPr>
            <b/>
            <sz val="9"/>
            <color indexed="81"/>
            <rFont val="宋体"/>
            <family val="3"/>
            <charset val="134"/>
          </rPr>
          <t>USER-:</t>
        </r>
        <r>
          <rPr>
            <sz val="9"/>
            <color indexed="81"/>
            <rFont val="宋体"/>
            <family val="3"/>
            <charset val="134"/>
          </rPr>
          <t xml:space="preserve">
原：万达电影院线股份有限公司</t>
        </r>
      </text>
    </comment>
    <comment ref="B11" authorId="0">
      <text>
        <r>
          <rPr>
            <b/>
            <sz val="9"/>
            <color indexed="81"/>
            <rFont val="宋体"/>
            <family val="3"/>
            <charset val="134"/>
          </rPr>
          <t>USER-:</t>
        </r>
        <r>
          <rPr>
            <sz val="9"/>
            <color indexed="81"/>
            <rFont val="宋体"/>
            <family val="3"/>
            <charset val="134"/>
          </rPr>
          <t xml:space="preserve">
原名：上海商霖华通投资咨询有限公司北京分公司</t>
        </r>
      </text>
    </comment>
    <comment ref="G25" authorId="1">
      <text>
        <r>
          <rPr>
            <b/>
            <sz val="9"/>
            <color indexed="81"/>
            <rFont val="宋体"/>
            <family val="3"/>
            <charset val="134"/>
          </rPr>
          <t>admin:</t>
        </r>
        <r>
          <rPr>
            <sz val="9"/>
            <color indexed="81"/>
            <rFont val="宋体"/>
            <family val="3"/>
            <charset val="134"/>
          </rPr>
          <t xml:space="preserve">
2019.6.15租金为9</t>
        </r>
      </text>
    </comment>
  </commentList>
</comments>
</file>

<file path=xl/comments8.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<sst xmlns="http://schemas.openxmlformats.org/spreadsheetml/2006/main" count="7898" uniqueCount="3462">
  <si>
    <t>土地使用权证号</t>
    <phoneticPr fontId="7" type="noConversion"/>
  </si>
  <si>
    <t>——</t>
    <phoneticPr fontId="5" type="noConversion"/>
  </si>
  <si>
    <t>——</t>
    <phoneticPr fontId="5" type="noConversion"/>
  </si>
  <si>
    <t>——</t>
    <phoneticPr fontId="5" type="noConversion"/>
  </si>
  <si>
    <t>建筑面积依据</t>
    <phoneticPr fontId="7" type="noConversion"/>
  </si>
  <si>
    <t>建设内容/楼号</t>
    <phoneticPr fontId="7" type="noConversion"/>
  </si>
  <si>
    <t>工业</t>
  </si>
  <si>
    <t>1-2.1</t>
  </si>
  <si>
    <t>1-2.2</t>
  </si>
  <si>
    <t>1-2.3</t>
  </si>
  <si>
    <t>1-2.4</t>
  </si>
  <si>
    <t>1-3.1</t>
  </si>
  <si>
    <t>1-3.2</t>
  </si>
  <si>
    <t>1-3.3</t>
  </si>
  <si>
    <t>1-3.4</t>
    <phoneticPr fontId="18" type="noConversion"/>
  </si>
  <si>
    <t>v</t>
    <phoneticPr fontId="18" type="noConversion"/>
  </si>
  <si>
    <t>——</t>
    <phoneticPr fontId="18" type="noConversion"/>
  </si>
  <si>
    <t>100/</t>
    <phoneticPr fontId="5" type="noConversion"/>
  </si>
  <si>
    <t>——</t>
    <phoneticPr fontId="5" type="noConversion"/>
  </si>
  <si>
    <t>——</t>
    <phoneticPr fontId="5" type="noConversion"/>
  </si>
  <si>
    <t>100/</t>
    <phoneticPr fontId="5" type="noConversion"/>
  </si>
  <si>
    <t>100/</t>
    <phoneticPr fontId="5" type="noConversion"/>
  </si>
  <si>
    <t>——</t>
    <phoneticPr fontId="18" type="noConversion"/>
  </si>
  <si>
    <t>100/</t>
    <phoneticPr fontId="5" type="noConversion"/>
  </si>
  <si>
    <t>-</t>
    <phoneticPr fontId="33" type="noConversion"/>
  </si>
  <si>
    <t>-</t>
    <phoneticPr fontId="33" type="noConversion"/>
  </si>
  <si>
    <t>-</t>
    <phoneticPr fontId="33" type="noConversion"/>
  </si>
  <si>
    <t>办公</t>
  </si>
  <si>
    <t>-</t>
    <phoneticPr fontId="33" type="noConversion"/>
  </si>
  <si>
    <t>-</t>
    <phoneticPr fontId="33" type="noConversion"/>
  </si>
  <si>
    <t>五级</t>
    <phoneticPr fontId="5" type="noConversion"/>
  </si>
  <si>
    <t>六级</t>
    <phoneticPr fontId="5" type="noConversion"/>
  </si>
  <si>
    <t>——</t>
    <phoneticPr fontId="40" type="noConversion"/>
  </si>
  <si>
    <t>——</t>
    <phoneticPr fontId="27" type="noConversion"/>
  </si>
  <si>
    <t>——</t>
    <phoneticPr fontId="10"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</si>
  <si>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</si>
  <si>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</si>
  <si>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</si>
  <si>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</si>
  <si>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</si>
  <si>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</si>
  <si>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</si>
  <si>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</si>
  <si>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</si>
  <si>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</si>
  <si>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</si>
  <si>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</si>
  <si>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</si>
  <si>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</si>
  <si>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4" type="noConversion"/>
  </si>
  <si>
    <t>地下公共配套设施</t>
    <phoneticPr fontId="44" type="noConversion"/>
  </si>
  <si>
    <t>地上物业管理用房</t>
    <phoneticPr fontId="44" type="noConversion"/>
  </si>
  <si>
    <t>地下设备及其他</t>
    <phoneticPr fontId="44" type="noConversion"/>
  </si>
  <si>
    <t>分摊土地面积</t>
    <phoneticPr fontId="44" type="noConversion"/>
  </si>
  <si>
    <t>建筑面积</t>
    <phoneticPr fontId="44" type="noConversion"/>
  </si>
  <si>
    <t>面积合计</t>
    <phoneticPr fontId="44"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</si>
  <si>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</si>
  <si>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</si>
  <si>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</si>
  <si>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</si>
  <si>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</si>
  <si>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</si>
  <si>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</si>
  <si>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</si>
  <si>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8" type="noConversion"/>
  </si>
  <si>
    <r>
      <t>3.</t>
    </r>
    <r>
      <rPr>
        <b/>
        <sz val="12"/>
        <rFont val="楷体_GB2312"/>
        <family val="3"/>
        <charset val="134"/>
      </rPr>
      <t>成本价值</t>
    </r>
    <phoneticPr fontId="18" type="noConversion"/>
  </si>
  <si>
    <r>
      <rPr>
        <b/>
        <sz val="10"/>
        <color indexed="10"/>
        <rFont val="楷体_GB2312"/>
        <family val="3"/>
        <charset val="134"/>
      </rPr>
      <t>成本比率</t>
    </r>
    <phoneticPr fontId="5" type="noConversion"/>
  </si>
  <si>
    <r>
      <rPr>
        <sz val="10"/>
        <color indexed="8"/>
        <rFont val="楷体_GB2312"/>
        <family val="3"/>
        <charset val="134"/>
      </rPr>
      <t>建筑物价值比率</t>
    </r>
    <phoneticPr fontId="5" type="noConversion"/>
  </si>
  <si>
    <r>
      <rPr>
        <sz val="10"/>
        <color indexed="8"/>
        <rFont val="楷体_GB2312"/>
        <family val="3"/>
        <charset val="134"/>
      </rPr>
      <t>土地价值比率</t>
    </r>
    <phoneticPr fontId="5" type="noConversion"/>
  </si>
  <si>
    <t>项目基本情况</t>
    <phoneticPr fontId="5" type="noConversion"/>
  </si>
  <si>
    <t>——</t>
  </si>
  <si>
    <t>用途类型</t>
    <phoneticPr fontId="18" type="noConversion"/>
  </si>
  <si>
    <t>红色字体</t>
    <phoneticPr fontId="36" type="noConversion"/>
  </si>
  <si>
    <t>下拉菜单</t>
  </si>
  <si>
    <t>错误提示</t>
    <phoneticPr fontId="36" type="noConversion"/>
  </si>
  <si>
    <t>特别提示</t>
    <phoneticPr fontId="36" type="noConversion"/>
  </si>
  <si>
    <t>需要新增方法表时，请右键点击所选方法标签，选择‘移动或复制’，勾选建立副本，以保证公示链接无误</t>
    <phoneticPr fontId="36" type="noConversion"/>
  </si>
  <si>
    <t>1.该表需录入项目全部面积数据以及未进入估价范围的面积值，抵押物面积为计算得出，位于整表的右侧。建筑面积按经营性用途和非经营性用途进行设置</t>
    <phoneticPr fontId="5" type="noConversion"/>
  </si>
  <si>
    <t>2.在抵押物范围的先录,以便核对</t>
    <phoneticPr fontId="5"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</si>
  <si>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5" type="noConversion"/>
  </si>
  <si>
    <t>4.未注明用途的计入非经营性用途——"未注明"一项，单独录入，计算时按设备用房处理</t>
    <phoneticPr fontId="5" type="noConversion"/>
  </si>
  <si>
    <t>5.面积依据不同时，以每部分取得的最新数据文件为依据。</t>
    <phoneticPr fontId="5" type="noConversion"/>
  </si>
  <si>
    <t>录入项</t>
    <phoneticPr fontId="5" type="noConversion"/>
  </si>
  <si>
    <r>
      <rPr>
        <b/>
        <sz val="16"/>
        <color indexed="10"/>
        <rFont val="楷体_GB2312"/>
        <family val="3"/>
        <charset val="134"/>
      </rPr>
      <t>成本法</t>
    </r>
    <phoneticPr fontId="18" type="noConversion"/>
  </si>
  <si>
    <r>
      <rPr>
        <b/>
        <sz val="12"/>
        <rFont val="楷体_GB2312"/>
        <family val="3"/>
        <charset val="134"/>
      </rPr>
      <t>总价</t>
    </r>
    <phoneticPr fontId="20" type="noConversion"/>
  </si>
  <si>
    <r>
      <rPr>
        <b/>
        <sz val="12"/>
        <rFont val="楷体_GB2312"/>
        <family val="3"/>
        <charset val="134"/>
      </rPr>
      <t>楼面单价</t>
    </r>
    <phoneticPr fontId="20" type="noConversion"/>
  </si>
  <si>
    <r>
      <t>1.</t>
    </r>
    <r>
      <rPr>
        <b/>
        <sz val="12"/>
        <rFont val="楷体_GB2312"/>
        <family val="3"/>
        <charset val="134"/>
      </rPr>
      <t>土地价值</t>
    </r>
    <phoneticPr fontId="18" type="noConversion"/>
  </si>
  <si>
    <r>
      <rPr>
        <b/>
        <sz val="10"/>
        <rFont val="楷体_GB2312"/>
        <family val="3"/>
        <charset val="134"/>
      </rPr>
      <t>土地取得成本</t>
    </r>
    <phoneticPr fontId="18" type="noConversion"/>
  </si>
  <si>
    <r>
      <rPr>
        <b/>
        <sz val="10"/>
        <rFont val="楷体_GB2312"/>
        <family val="3"/>
        <charset val="134"/>
      </rPr>
      <t>面积</t>
    </r>
    <phoneticPr fontId="18" type="noConversion"/>
  </si>
  <si>
    <r>
      <rPr>
        <b/>
        <sz val="10"/>
        <rFont val="楷体_GB2312"/>
        <family val="3"/>
        <charset val="134"/>
      </rPr>
      <t>单价</t>
    </r>
    <phoneticPr fontId="18" type="noConversion"/>
  </si>
  <si>
    <r>
      <rPr>
        <b/>
        <sz val="10"/>
        <rFont val="楷体_GB2312"/>
        <family val="3"/>
        <charset val="134"/>
      </rPr>
      <t>系数</t>
    </r>
    <phoneticPr fontId="18" type="noConversion"/>
  </si>
  <si>
    <r>
      <rPr>
        <sz val="10"/>
        <rFont val="楷体_GB2312"/>
        <family val="3"/>
        <charset val="134"/>
      </rPr>
      <t>土地购买价格</t>
    </r>
    <phoneticPr fontId="20" type="noConversion"/>
  </si>
  <si>
    <r>
      <rPr>
        <sz val="10"/>
        <rFont val="楷体_GB2312"/>
        <family val="3"/>
        <charset val="134"/>
      </rPr>
      <t>城市基础设施建设费（行政收费）</t>
    </r>
    <phoneticPr fontId="18" type="noConversion"/>
  </si>
  <si>
    <r>
      <rPr>
        <i/>
        <sz val="10"/>
        <rFont val="楷体_GB2312"/>
        <family val="3"/>
        <charset val="134"/>
      </rPr>
      <t>住宅</t>
    </r>
    <phoneticPr fontId="18" type="noConversion"/>
  </si>
  <si>
    <r>
      <rPr>
        <i/>
        <sz val="10"/>
        <rFont val="楷体_GB2312"/>
        <family val="3"/>
        <charset val="134"/>
      </rPr>
      <t>非住宅</t>
    </r>
    <phoneticPr fontId="18" type="noConversion"/>
  </si>
  <si>
    <r>
      <rPr>
        <sz val="10"/>
        <rFont val="楷体_GB2312"/>
        <family val="3"/>
        <charset val="134"/>
      </rPr>
      <t>土地使用权出让金</t>
    </r>
    <phoneticPr fontId="18" type="noConversion"/>
  </si>
  <si>
    <r>
      <rPr>
        <sz val="10"/>
        <rFont val="楷体_GB2312"/>
        <family val="3"/>
        <charset val="134"/>
      </rPr>
      <t>相关税费</t>
    </r>
    <phoneticPr fontId="18" type="noConversion"/>
  </si>
  <si>
    <r>
      <rPr>
        <sz val="10"/>
        <rFont val="楷体_GB2312"/>
        <family val="3"/>
        <charset val="134"/>
      </rPr>
      <t>征地补偿安置费及其相关税费</t>
    </r>
    <phoneticPr fontId="18" type="noConversion"/>
  </si>
  <si>
    <r>
      <rPr>
        <sz val="10"/>
        <rFont val="楷体_GB2312"/>
        <family val="3"/>
        <charset val="134"/>
      </rPr>
      <t>以建筑面积为计算基数，按各区发文标准</t>
    </r>
    <phoneticPr fontId="18" type="noConversion"/>
  </si>
  <si>
    <r>
      <rPr>
        <sz val="10"/>
        <rFont val="楷体_GB2312"/>
        <family val="3"/>
        <charset val="134"/>
      </rPr>
      <t>出让金</t>
    </r>
    <phoneticPr fontId="18" type="noConversion"/>
  </si>
  <si>
    <r>
      <rPr>
        <sz val="10"/>
        <rFont val="楷体_GB2312"/>
        <family val="3"/>
        <charset val="134"/>
      </rPr>
      <t>采用比较法求取</t>
    </r>
    <phoneticPr fontId="18" type="noConversion"/>
  </si>
  <si>
    <r>
      <rPr>
        <sz val="10"/>
        <rFont val="楷体_GB2312"/>
        <family val="3"/>
        <charset val="134"/>
      </rPr>
      <t>开发补偿费用</t>
    </r>
    <phoneticPr fontId="18" type="noConversion"/>
  </si>
  <si>
    <r>
      <rPr>
        <sz val="10"/>
        <rFont val="楷体_GB2312"/>
        <family val="3"/>
        <charset val="134"/>
      </rPr>
      <t>契税及印花税</t>
    </r>
    <phoneticPr fontId="18" type="noConversion"/>
  </si>
  <si>
    <r>
      <rPr>
        <sz val="10"/>
        <rFont val="楷体_GB2312"/>
        <family val="3"/>
        <charset val="134"/>
      </rPr>
      <t>以上述三项为基数计算</t>
    </r>
    <phoneticPr fontId="18" type="noConversion"/>
  </si>
  <si>
    <r>
      <rPr>
        <b/>
        <sz val="10"/>
        <rFont val="楷体_GB2312"/>
        <family val="3"/>
        <charset val="134"/>
      </rPr>
      <t>管理费用</t>
    </r>
    <phoneticPr fontId="18" type="noConversion"/>
  </si>
  <si>
    <r>
      <rPr>
        <b/>
        <sz val="10"/>
        <rFont val="楷体_GB2312"/>
        <family val="3"/>
        <charset val="134"/>
      </rPr>
      <t>销售费用</t>
    </r>
    <phoneticPr fontId="18" type="noConversion"/>
  </si>
  <si>
    <r>
      <rPr>
        <b/>
        <sz val="10"/>
        <rFont val="楷体_GB2312"/>
        <family val="3"/>
        <charset val="134"/>
      </rPr>
      <t>以土地价值为基数</t>
    </r>
    <phoneticPr fontId="18" type="noConversion"/>
  </si>
  <si>
    <r>
      <rPr>
        <b/>
        <sz val="10"/>
        <rFont val="楷体_GB2312"/>
        <family val="3"/>
        <charset val="134"/>
      </rPr>
      <t>贷款利息</t>
    </r>
    <phoneticPr fontId="18" type="noConversion"/>
  </si>
  <si>
    <r>
      <rPr>
        <sz val="10"/>
        <rFont val="楷体_GB2312"/>
        <family val="3"/>
        <charset val="134"/>
      </rPr>
      <t>计项目已运行全期</t>
    </r>
    <phoneticPr fontId="18" type="noConversion"/>
  </si>
  <si>
    <r>
      <rPr>
        <sz val="10"/>
        <rFont val="楷体_GB2312"/>
        <family val="3"/>
        <charset val="134"/>
      </rPr>
      <t>土地开发期均匀投入、已建工期计全期</t>
    </r>
    <phoneticPr fontId="18" type="noConversion"/>
  </si>
  <si>
    <r>
      <rPr>
        <sz val="10"/>
        <rFont val="楷体_GB2312"/>
        <family val="3"/>
        <charset val="134"/>
      </rPr>
      <t>管理费用及销售费用于项目已运行期内均匀投入</t>
    </r>
    <phoneticPr fontId="18"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</si>
  <si>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8" type="noConversion"/>
  </si>
  <si>
    <r>
      <rPr>
        <b/>
        <sz val="10"/>
        <rFont val="楷体_GB2312"/>
        <family val="3"/>
        <charset val="134"/>
      </rPr>
      <t>利润</t>
    </r>
    <phoneticPr fontId="18" type="noConversion"/>
  </si>
  <si>
    <r>
      <rPr>
        <b/>
        <sz val="10"/>
        <rFont val="楷体_GB2312"/>
        <family val="3"/>
        <charset val="134"/>
      </rPr>
      <t>以房地产价值为基数</t>
    </r>
    <phoneticPr fontId="18"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</si>
  <si>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8" type="noConversion"/>
  </si>
  <si>
    <r>
      <rPr>
        <b/>
        <sz val="10"/>
        <rFont val="楷体_GB2312"/>
        <family val="3"/>
        <charset val="134"/>
      </rPr>
      <t>建筑物建造</t>
    </r>
    <r>
      <rPr>
        <b/>
        <sz val="10"/>
        <rFont val="Arial"/>
        <family val="2"/>
      </rPr>
      <t>/</t>
    </r>
    <r>
      <rPr>
        <b/>
        <sz val="10"/>
        <rFont val="楷体_GB2312"/>
        <family val="3"/>
        <charset val="134"/>
      </rPr>
      <t>已建成本</t>
    </r>
    <phoneticPr fontId="18" type="noConversion"/>
  </si>
  <si>
    <r>
      <rPr>
        <sz val="10"/>
        <rFont val="楷体_GB2312"/>
        <family val="3"/>
        <charset val="134"/>
      </rPr>
      <t>现房</t>
    </r>
    <r>
      <rPr>
        <sz val="10"/>
        <rFont val="Arial"/>
        <family val="2"/>
      </rPr>
      <t>100%</t>
    </r>
    <r>
      <rPr>
        <sz val="10"/>
        <rFont val="楷体_GB2312"/>
        <family val="3"/>
        <charset val="134"/>
      </rPr>
      <t>；在建为综合进度</t>
    </r>
    <phoneticPr fontId="18" type="noConversion"/>
  </si>
  <si>
    <r>
      <rPr>
        <sz val="10"/>
        <rFont val="楷体_GB2312"/>
        <family val="3"/>
        <charset val="134"/>
      </rPr>
      <t>以建安费用为基数计取</t>
    </r>
    <phoneticPr fontId="18" type="noConversion"/>
  </si>
  <si>
    <r>
      <rPr>
        <sz val="10"/>
        <rFont val="楷体_GB2312"/>
        <family val="3"/>
        <charset val="134"/>
      </rPr>
      <t>红线内市政费用</t>
    </r>
    <phoneticPr fontId="18" type="noConversion"/>
  </si>
  <si>
    <r>
      <rPr>
        <sz val="10"/>
        <rFont val="楷体_GB2312"/>
        <family val="3"/>
        <charset val="134"/>
      </rPr>
      <t>按工程进度计取或按实际情况计取</t>
    </r>
    <phoneticPr fontId="18" type="noConversion"/>
  </si>
  <si>
    <r>
      <rPr>
        <b/>
        <sz val="10"/>
        <rFont val="楷体_GB2312"/>
        <family val="3"/>
        <charset val="134"/>
      </rPr>
      <t>以</t>
    </r>
    <r>
      <rPr>
        <b/>
        <sz val="10"/>
        <rFont val="Arial"/>
        <family val="2"/>
      </rPr>
      <t>V</t>
    </r>
    <r>
      <rPr>
        <b/>
        <sz val="10"/>
        <rFont val="楷体_GB2312"/>
        <family val="3"/>
        <charset val="134"/>
      </rPr>
      <t>建为基数</t>
    </r>
    <phoneticPr fontId="18" type="noConversion"/>
  </si>
  <si>
    <r>
      <rPr>
        <sz val="10"/>
        <rFont val="楷体_GB2312"/>
        <family val="3"/>
        <charset val="134"/>
      </rPr>
      <t>已建工期均匀投入</t>
    </r>
    <phoneticPr fontId="18" type="noConversion"/>
  </si>
  <si>
    <r>
      <rPr>
        <b/>
        <sz val="10"/>
        <rFont val="楷体_GB2312"/>
        <family val="3"/>
        <charset val="134"/>
      </rPr>
      <t>销售税费</t>
    </r>
    <phoneticPr fontId="18" type="noConversion"/>
  </si>
  <si>
    <r>
      <rPr>
        <b/>
        <sz val="10"/>
        <rFont val="楷体_GB2312"/>
        <family val="3"/>
        <charset val="134"/>
      </rPr>
      <t>以成本价值为基数</t>
    </r>
    <phoneticPr fontId="18" type="noConversion"/>
  </si>
  <si>
    <r>
      <rPr>
        <b/>
        <sz val="10"/>
        <rFont val="楷体_GB2312"/>
        <family val="3"/>
        <charset val="134"/>
      </rPr>
      <t>成新率</t>
    </r>
    <phoneticPr fontId="18" type="noConversion"/>
  </si>
  <si>
    <r>
      <rPr>
        <b/>
        <sz val="10"/>
        <rFont val="楷体_GB2312"/>
        <family val="3"/>
        <charset val="134"/>
      </rPr>
      <t>现房为成新率，在建依实际情况（停工）记取</t>
    </r>
    <phoneticPr fontId="20" type="noConversion"/>
  </si>
  <si>
    <r>
      <t>V</t>
    </r>
    <r>
      <rPr>
        <b/>
        <vertAlign val="subscript"/>
        <sz val="10"/>
        <rFont val="楷体_GB2312"/>
        <family val="3"/>
        <charset val="134"/>
      </rPr>
      <t>土</t>
    </r>
    <phoneticPr fontId="18" type="noConversion"/>
  </si>
  <si>
    <r>
      <t>V</t>
    </r>
    <r>
      <rPr>
        <b/>
        <vertAlign val="subscript"/>
        <sz val="10"/>
        <rFont val="楷体_GB2312"/>
        <family val="3"/>
        <charset val="134"/>
      </rPr>
      <t>土</t>
    </r>
    <r>
      <rPr>
        <b/>
        <sz val="10"/>
        <rFont val="Arial"/>
        <family val="2"/>
      </rPr>
      <t>/(1+5%)</t>
    </r>
    <phoneticPr fontId="18"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</si>
  <si>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8" type="noConversion"/>
  </si>
  <si>
    <r>
      <t>V</t>
    </r>
    <r>
      <rPr>
        <b/>
        <vertAlign val="subscript"/>
        <sz val="10"/>
        <rFont val="楷体_GB2312"/>
        <family val="3"/>
        <charset val="134"/>
      </rPr>
      <t>建</t>
    </r>
    <phoneticPr fontId="18" type="noConversion"/>
  </si>
  <si>
    <r>
      <t>V</t>
    </r>
    <r>
      <rPr>
        <b/>
        <vertAlign val="subscript"/>
        <sz val="10"/>
        <rFont val="楷体_GB2312"/>
        <family val="3"/>
        <charset val="134"/>
      </rPr>
      <t>建</t>
    </r>
    <r>
      <rPr>
        <b/>
        <sz val="10"/>
        <rFont val="Arial"/>
        <family val="2"/>
      </rPr>
      <t>/(1+5%)</t>
    </r>
    <phoneticPr fontId="18"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</si>
  <si>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8"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</si>
  <si>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8" type="noConversion"/>
  </si>
  <si>
    <t>万元</t>
    <phoneticPr fontId="20" type="noConversion"/>
  </si>
  <si>
    <t>元/平方米</t>
    <phoneticPr fontId="20" type="noConversion"/>
  </si>
  <si>
    <t>锁定项</t>
    <phoneticPr fontId="5" type="noConversion"/>
  </si>
  <si>
    <t>定义</t>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</si>
  <si>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</si>
  <si>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</si>
  <si>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</si>
  <si>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</si>
  <si>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</si>
  <si>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</si>
  <si>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</si>
  <si>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</si>
  <si>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</si>
  <si>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</si>
  <si>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</si>
  <si>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</si>
  <si>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</si>
  <si>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</si>
  <si>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</si>
  <si>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</si>
  <si>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</si>
  <si>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2016-4</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</si>
  <si>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</si>
  <si>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</si>
  <si>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</si>
  <si>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</si>
  <si>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</si>
  <si>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</si>
  <si>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</si>
  <si>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</si>
  <si>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</si>
  <si>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</si>
  <si>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</si>
  <si>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</si>
  <si>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</si>
  <si>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</si>
  <si>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</si>
  <si>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</si>
  <si>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</si>
  <si>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</si>
  <si>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</si>
  <si>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</si>
  <si>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</si>
  <si>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</si>
  <si>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</si>
  <si>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</si>
  <si>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</si>
  <si>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</si>
  <si>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</si>
  <si>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</si>
  <si>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</si>
  <si>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</si>
  <si>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</si>
  <si>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</si>
  <si>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</si>
  <si>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</si>
  <si>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</si>
  <si>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</si>
  <si>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</si>
  <si>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</si>
  <si>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</si>
  <si>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</si>
  <si>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</si>
  <si>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</si>
  <si>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</si>
  <si>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</si>
  <si>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</si>
  <si>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</si>
  <si>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</si>
  <si>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</si>
  <si>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</si>
  <si>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</si>
  <si>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</si>
  <si>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</si>
  <si>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</si>
  <si>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</si>
  <si>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</si>
  <si>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</si>
  <si>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</si>
  <si>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</si>
  <si>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</si>
  <si>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</si>
  <si>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</si>
  <si>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</si>
  <si>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</si>
  <si>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</si>
  <si>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</si>
  <si>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</si>
  <si>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</si>
  <si>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</si>
  <si>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</si>
  <si>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</si>
  <si>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</si>
  <si>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</si>
  <si>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</si>
  <si>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</si>
  <si>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</si>
  <si>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</si>
  <si>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</si>
  <si>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</si>
  <si>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</si>
  <si>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</si>
  <si>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</si>
  <si>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</si>
  <si>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</si>
  <si>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</si>
  <si>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</si>
  <si>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</si>
  <si>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</si>
  <si>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</si>
  <si>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</si>
  <si>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</si>
  <si>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</si>
  <si>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</si>
  <si>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</si>
  <si>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</si>
  <si>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</si>
  <si>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</si>
  <si>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</si>
  <si>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</si>
  <si>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</si>
  <si>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</si>
  <si>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</si>
  <si>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</si>
  <si>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</si>
  <si>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</si>
  <si>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</si>
  <si>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</si>
  <si>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</si>
  <si>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</si>
  <si>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</si>
  <si>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</si>
  <si>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</si>
  <si>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</si>
  <si>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</si>
  <si>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</si>
  <si>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</si>
  <si>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</si>
  <si>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Ⅱ—09</t>
  </si>
  <si>
    <t>Ⅲ—09</t>
  </si>
  <si>
    <t>Ⅳ-09</t>
  </si>
  <si>
    <t>Ⅴ-09</t>
  </si>
  <si>
    <t>Ⅵ-09</t>
  </si>
  <si>
    <t>Ⅶ-09</t>
  </si>
  <si>
    <t>Ⅷ-房3</t>
  </si>
  <si>
    <t>Ⅸ-房4</t>
  </si>
  <si>
    <t>Ⅹ-顺3</t>
  </si>
  <si>
    <t>Ⅺ-昌1</t>
    <phoneticPr fontId="5" type="noConversion"/>
  </si>
  <si>
    <t>Ⅱ—10</t>
  </si>
  <si>
    <t>Ⅲ—10</t>
  </si>
  <si>
    <t>Ⅳ-10</t>
  </si>
  <si>
    <t>Ⅴ-10</t>
  </si>
  <si>
    <t>Ⅵ-10</t>
  </si>
  <si>
    <t>Ⅶ-10</t>
  </si>
  <si>
    <t>Ⅷ-通1</t>
    <phoneticPr fontId="5" type="noConversion"/>
  </si>
  <si>
    <t>Ⅸ-房5</t>
  </si>
  <si>
    <t>Ⅹ-兴1</t>
    <phoneticPr fontId="5" type="noConversion"/>
  </si>
  <si>
    <t>Ⅺ-昌2</t>
  </si>
  <si>
    <t>Ⅱ—11</t>
  </si>
  <si>
    <t>Ⅲ—11</t>
  </si>
  <si>
    <t>Ⅳ-11</t>
  </si>
  <si>
    <t>Ⅴ-11</t>
  </si>
  <si>
    <t>Ⅵ-11</t>
  </si>
  <si>
    <t>Ⅶ-11</t>
  </si>
  <si>
    <t>Ⅷ-通2</t>
  </si>
  <si>
    <t>Ⅸ-房6</t>
  </si>
  <si>
    <t>Ⅹ-兴2</t>
  </si>
  <si>
    <t>Ⅺ-平1</t>
    <phoneticPr fontId="5" type="noConversion"/>
  </si>
  <si>
    <t>Ⅱ—12</t>
  </si>
  <si>
    <t>Ⅲ—12</t>
  </si>
  <si>
    <t>Ⅳ-12</t>
  </si>
  <si>
    <t>Ⅴ-12</t>
  </si>
  <si>
    <t>Ⅵ-12</t>
  </si>
  <si>
    <t>Ⅶ-12</t>
  </si>
  <si>
    <t>Ⅷ-通3</t>
  </si>
  <si>
    <t>Ⅸ-通1</t>
    <phoneticPr fontId="5" type="noConversion"/>
  </si>
  <si>
    <t>Ⅹ-昌1</t>
    <phoneticPr fontId="5" type="noConversion"/>
  </si>
  <si>
    <t>Ⅺ-平2</t>
  </si>
  <si>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</si>
  <si>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</si>
  <si>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</si>
  <si>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</si>
  <si>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</si>
  <si>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</si>
  <si>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</si>
  <si>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</si>
  <si>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</si>
  <si>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</si>
  <si>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</si>
  <si>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</si>
  <si>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</si>
  <si>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</si>
  <si>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</si>
  <si>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</si>
  <si>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</si>
  <si>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</si>
  <si>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</si>
  <si>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</si>
  <si>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</si>
  <si>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</si>
  <si>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</si>
  <si>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</si>
  <si>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</si>
  <si>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</si>
  <si>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</si>
  <si>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</si>
  <si>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</si>
  <si>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</si>
  <si>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</si>
  <si>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</si>
  <si>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</si>
  <si>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</si>
  <si>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</si>
  <si>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</si>
  <si>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</si>
  <si>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</si>
  <si>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</si>
  <si>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</si>
  <si>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</si>
  <si>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</si>
  <si>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</si>
  <si>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</si>
  <si>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</si>
  <si>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</si>
  <si>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</si>
  <si>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</si>
  <si>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</si>
  <si>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</si>
  <si>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</si>
  <si>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</si>
  <si>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</si>
  <si>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</si>
  <si>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</si>
  <si>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</si>
  <si>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</si>
  <si>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</si>
  <si>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</si>
  <si>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</si>
  <si>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</si>
  <si>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</si>
  <si>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</si>
  <si>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</si>
  <si>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</si>
  <si>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</si>
  <si>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</si>
  <si>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</si>
  <si>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</si>
  <si>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</si>
  <si>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</si>
  <si>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</si>
  <si>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</si>
  <si>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</si>
  <si>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</si>
  <si>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</si>
  <si>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</si>
  <si>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</si>
  <si>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</si>
  <si>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</si>
  <si>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</si>
  <si>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</si>
  <si>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</si>
  <si>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</si>
  <si>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</si>
  <si>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</si>
  <si>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</si>
  <si>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</si>
  <si>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</si>
  <si>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</si>
  <si>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</si>
  <si>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</si>
  <si>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</si>
  <si>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</si>
  <si>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</si>
  <si>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</si>
  <si>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</si>
  <si>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</si>
  <si>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</si>
  <si>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</si>
  <si>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</si>
  <si>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</si>
  <si>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</si>
  <si>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</si>
  <si>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</si>
  <si>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</si>
  <si>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</si>
  <si>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</si>
  <si>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</si>
  <si>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</si>
  <si>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</si>
  <si>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</si>
  <si>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</si>
  <si>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</si>
  <si>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</si>
  <si>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</si>
  <si>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</si>
  <si>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</si>
  <si>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</si>
  <si>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</si>
  <si>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</si>
  <si>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</si>
  <si>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</si>
  <si>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</si>
  <si>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</si>
  <si>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</si>
  <si>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</si>
  <si>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</si>
  <si>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</si>
  <si>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</si>
  <si>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</si>
  <si>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</si>
  <si>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</si>
  <si>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</si>
  <si>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</si>
  <si>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</si>
  <si>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</si>
  <si>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</si>
  <si>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</si>
  <si>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</si>
  <si>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</si>
  <si>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</si>
  <si>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</si>
  <si>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</si>
  <si>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</si>
  <si>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</si>
  <si>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</si>
  <si>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</si>
  <si>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</si>
  <si>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</si>
  <si>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</si>
  <si>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</si>
  <si>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</si>
  <si>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</si>
  <si>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</si>
  <si>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</si>
  <si>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</si>
  <si>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</si>
  <si>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</si>
  <si>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</si>
  <si>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</si>
  <si>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</si>
  <si>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</si>
  <si>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</si>
  <si>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</si>
  <si>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</si>
  <si>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</si>
  <si>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</si>
  <si>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</si>
  <si>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</si>
  <si>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</si>
  <si>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</si>
  <si>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</si>
  <si>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</si>
  <si>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</si>
  <si>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</si>
  <si>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</si>
  <si>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</si>
  <si>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</si>
  <si>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</si>
  <si>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</si>
  <si>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</si>
  <si>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</si>
  <si>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</si>
  <si>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</si>
  <si>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</si>
  <si>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</si>
  <si>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</si>
  <si>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</si>
  <si>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</si>
  <si>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</si>
  <si>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</si>
  <si>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</si>
  <si>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</si>
  <si>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</si>
  <si>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</si>
  <si>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</si>
  <si>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</si>
  <si>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</si>
  <si>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</si>
  <si>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</si>
  <si>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</si>
  <si>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</si>
  <si>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</si>
  <si>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</si>
  <si>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</si>
  <si>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</si>
  <si>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</si>
  <si>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</si>
  <si>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</si>
  <si>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</si>
  <si>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</si>
  <si>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</si>
  <si>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</si>
  <si>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</si>
  <si>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</si>
  <si>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</si>
  <si>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</si>
  <si>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</si>
  <si>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</si>
  <si>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</si>
  <si>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</si>
  <si>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</si>
  <si>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</si>
  <si>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</si>
  <si>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</si>
  <si>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</si>
  <si>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</si>
  <si>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</si>
  <si>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</si>
  <si>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</si>
  <si>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</si>
  <si>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</si>
  <si>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</si>
  <si>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</si>
  <si>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</si>
  <si>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</si>
  <si>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</si>
  <si>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</si>
  <si>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</si>
  <si>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</si>
  <si>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</si>
  <si>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</si>
  <si>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</si>
  <si>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</si>
  <si>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</si>
  <si>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</si>
  <si>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</si>
  <si>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</si>
  <si>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</si>
  <si>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</si>
  <si>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</si>
  <si>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</si>
  <si>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</si>
  <si>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</si>
  <si>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</si>
  <si>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</si>
  <si>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</si>
  <si>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</si>
  <si>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</si>
  <si>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</si>
  <si>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</si>
  <si>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</si>
  <si>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</si>
  <si>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</si>
  <si>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</si>
  <si>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</si>
  <si>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</si>
  <si>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</si>
  <si>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</si>
  <si>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</si>
  <si>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</si>
  <si>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</si>
  <si>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</si>
  <si>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</si>
  <si>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</si>
  <si>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</si>
  <si>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</si>
  <si>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</si>
  <si>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</si>
  <si>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</si>
  <si>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</si>
  <si>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</si>
  <si>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</si>
  <si>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</si>
  <si>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</si>
  <si>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</si>
  <si>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</si>
  <si>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</si>
  <si>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</si>
  <si>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</si>
  <si>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</si>
  <si>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</si>
  <si>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</si>
  <si>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</si>
  <si>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</si>
  <si>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</si>
  <si>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</si>
  <si>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</si>
  <si>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</si>
  <si>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</si>
  <si>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</si>
  <si>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</si>
  <si>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</si>
  <si>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</si>
  <si>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</si>
  <si>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</si>
  <si>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</si>
  <si>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</si>
  <si>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</si>
  <si>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</si>
  <si>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</si>
  <si>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</si>
  <si>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</si>
  <si>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</si>
  <si>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</si>
  <si>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</si>
  <si>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</si>
  <si>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</si>
  <si>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</si>
  <si>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</si>
  <si>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</si>
  <si>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</si>
  <si>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</si>
  <si>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</si>
  <si>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</si>
  <si>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</si>
  <si>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</si>
  <si>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</si>
  <si>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</si>
  <si>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</si>
  <si>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</si>
  <si>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</si>
  <si>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</si>
  <si>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</si>
  <si>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</si>
  <si>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</si>
  <si>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</si>
  <si>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</si>
  <si>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</si>
  <si>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</si>
  <si>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</si>
  <si>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</si>
  <si>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</si>
  <si>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</si>
  <si>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</si>
  <si>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</si>
  <si>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</si>
  <si>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</si>
  <si>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</si>
  <si>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</si>
  <si>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</si>
  <si>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</si>
  <si>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</si>
  <si>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</si>
  <si>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</si>
  <si>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</si>
  <si>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</si>
  <si>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</si>
  <si>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</si>
  <si>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</si>
  <si>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</si>
  <si>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</si>
  <si>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</si>
  <si>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</si>
  <si>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</si>
  <si>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</si>
  <si>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</si>
  <si>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</si>
  <si>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</si>
  <si>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</si>
  <si>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</si>
  <si>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</si>
  <si>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</si>
  <si>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</si>
  <si>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</si>
  <si>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</si>
  <si>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</si>
  <si>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</si>
  <si>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</si>
  <si>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</si>
  <si>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</si>
  <si>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</si>
  <si>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</si>
  <si>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</si>
  <si>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</si>
  <si>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</si>
  <si>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</si>
  <si>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</si>
  <si>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</si>
  <si>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</si>
  <si>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</si>
  <si>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</si>
  <si>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</si>
  <si>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</si>
  <si>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</si>
  <si>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</si>
  <si>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</si>
  <si>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</si>
  <si>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</si>
  <si>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</si>
  <si>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</si>
  <si>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</si>
  <si>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</si>
  <si>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</si>
  <si>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</si>
  <si>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</si>
  <si>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</si>
  <si>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</si>
  <si>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</si>
  <si>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</si>
  <si>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</si>
  <si>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</si>
  <si>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</si>
  <si>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</si>
  <si>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</si>
  <si>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</si>
  <si>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</si>
  <si>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</si>
  <si>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</si>
  <si>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</si>
  <si>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</si>
  <si>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</si>
  <si>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</si>
  <si>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</si>
  <si>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</si>
  <si>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</si>
  <si>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</si>
  <si>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</si>
  <si>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</si>
  <si>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</si>
  <si>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</si>
  <si>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</si>
  <si>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</si>
  <si>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</si>
  <si>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</si>
  <si>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</si>
  <si>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</si>
  <si>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</si>
  <si>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</si>
  <si>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住宅</t>
    <phoneticPr fontId="5" type="noConversion"/>
  </si>
  <si>
    <t>住宅</t>
    <phoneticPr fontId="5" type="noConversion"/>
  </si>
  <si>
    <t>区域土地利用方向</t>
    <phoneticPr fontId="47" type="noConversion"/>
  </si>
  <si>
    <r>
      <rPr>
        <sz val="10"/>
        <color indexed="8"/>
        <rFont val="宋体"/>
        <family val="3"/>
        <charset val="134"/>
      </rPr>
      <t>修正系数</t>
    </r>
    <phoneticPr fontId="81" type="noConversion"/>
  </si>
  <si>
    <t>五等判定</t>
    <phoneticPr fontId="18" type="noConversion"/>
  </si>
  <si>
    <t>基准地价修正</t>
    <phoneticPr fontId="18" type="noConversion"/>
  </si>
  <si>
    <t>*</t>
    <phoneticPr fontId="18" type="noConversion"/>
  </si>
  <si>
    <t>二级分类</t>
    <phoneticPr fontId="5" type="noConversion"/>
  </si>
  <si>
    <t>土地级别</t>
    <phoneticPr fontId="18" type="noConversion"/>
  </si>
  <si>
    <t>一级</t>
    <phoneticPr fontId="5" type="noConversion"/>
  </si>
  <si>
    <t>二级</t>
    <phoneticPr fontId="5" type="noConversion"/>
  </si>
  <si>
    <t>三级</t>
    <phoneticPr fontId="5" type="noConversion"/>
  </si>
  <si>
    <t>四级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</si>
  <si>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</si>
  <si>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</si>
  <si>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</si>
  <si>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</si>
  <si>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</si>
  <si>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</si>
  <si>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40" type="noConversion"/>
  </si>
  <si>
    <r>
      <rPr>
        <sz val="10"/>
        <color indexed="8"/>
        <rFont val="宋体"/>
        <family val="3"/>
        <charset val="134"/>
      </rPr>
      <t>（</t>
    </r>
    <r>
      <rPr>
        <sz val="10"/>
        <color indexed="8"/>
        <rFont val="Arial"/>
        <family val="2"/>
      </rPr>
      <t>2</t>
    </r>
    <r>
      <rPr>
        <sz val="10"/>
        <color indexed="8"/>
        <rFont val="宋体"/>
        <family val="3"/>
        <charset val="134"/>
      </rPr>
      <t>）</t>
    </r>
    <phoneticPr fontId="40" type="noConversion"/>
  </si>
  <si>
    <t>2.</t>
    <phoneticPr fontId="40" type="noConversion"/>
  </si>
  <si>
    <t>3.</t>
    <phoneticPr fontId="40" type="noConversion"/>
  </si>
  <si>
    <t>4.</t>
    <phoneticPr fontId="36" type="noConversion"/>
  </si>
  <si>
    <t>1.</t>
    <phoneticPr fontId="40" type="noConversion"/>
  </si>
  <si>
    <r>
      <t>1</t>
    </r>
    <r>
      <rPr>
        <sz val="10"/>
        <color indexed="8"/>
        <rFont val="宋体"/>
        <family val="3"/>
        <charset val="134"/>
      </rPr>
      <t>）</t>
    </r>
    <phoneticPr fontId="40" type="noConversion"/>
  </si>
  <si>
    <r>
      <t>2</t>
    </r>
    <r>
      <rPr>
        <sz val="10"/>
        <color indexed="8"/>
        <rFont val="宋体"/>
        <family val="3"/>
        <charset val="134"/>
      </rPr>
      <t>）</t>
    </r>
    <phoneticPr fontId="40" type="noConversion"/>
  </si>
  <si>
    <r>
      <t>3</t>
    </r>
    <r>
      <rPr>
        <sz val="10"/>
        <color indexed="8"/>
        <rFont val="宋体"/>
        <family val="3"/>
        <charset val="134"/>
      </rPr>
      <t>）</t>
    </r>
    <phoneticPr fontId="40" type="noConversion"/>
  </si>
  <si>
    <t>3.</t>
    <phoneticPr fontId="40" type="noConversion"/>
  </si>
  <si>
    <t>4.</t>
    <phoneticPr fontId="40" type="noConversion"/>
  </si>
  <si>
    <t>5.</t>
    <phoneticPr fontId="40" type="noConversion"/>
  </si>
  <si>
    <r>
      <rPr>
        <b/>
        <sz val="10"/>
        <rFont val="宋体"/>
        <family val="3"/>
        <charset val="134"/>
      </rPr>
      <t>（</t>
    </r>
    <r>
      <rPr>
        <b/>
        <sz val="10"/>
        <rFont val="Arial"/>
        <family val="2"/>
      </rPr>
      <t>1</t>
    </r>
    <r>
      <rPr>
        <b/>
        <sz val="10"/>
        <rFont val="宋体"/>
        <family val="3"/>
        <charset val="134"/>
      </rPr>
      <t>）</t>
    </r>
    <phoneticPr fontId="20" type="noConversion"/>
  </si>
  <si>
    <t>（2）</t>
    <phoneticPr fontId="20" type="noConversion"/>
  </si>
  <si>
    <t>（3）</t>
    <phoneticPr fontId="20" type="noConversion"/>
  </si>
  <si>
    <t>（4）</t>
    <phoneticPr fontId="20" type="noConversion"/>
  </si>
  <si>
    <t>（5）</t>
    <phoneticPr fontId="20" type="noConversion"/>
  </si>
  <si>
    <t>（6）</t>
    <phoneticPr fontId="20" type="noConversion"/>
  </si>
  <si>
    <t>（7）</t>
    <phoneticPr fontId="20" type="noConversion"/>
  </si>
  <si>
    <t>（8）</t>
    <phoneticPr fontId="20" type="noConversion"/>
  </si>
  <si>
    <t>（9）</t>
    <phoneticPr fontId="20" type="noConversion"/>
  </si>
  <si>
    <r>
      <t>1</t>
    </r>
    <r>
      <rPr>
        <sz val="10"/>
        <rFont val="宋体"/>
        <family val="3"/>
        <charset val="134"/>
      </rPr>
      <t>）</t>
    </r>
    <phoneticPr fontId="18" type="noConversion"/>
  </si>
  <si>
    <r>
      <t>2</t>
    </r>
    <r>
      <rPr>
        <sz val="10"/>
        <rFont val="宋体"/>
        <family val="3"/>
        <charset val="134"/>
      </rPr>
      <t>）</t>
    </r>
    <phoneticPr fontId="18" type="noConversion"/>
  </si>
  <si>
    <r>
      <t>3</t>
    </r>
    <r>
      <rPr>
        <sz val="10"/>
        <rFont val="宋体"/>
        <family val="3"/>
        <charset val="134"/>
      </rPr>
      <t>）</t>
    </r>
    <phoneticPr fontId="18" type="noConversion"/>
  </si>
  <si>
    <r>
      <t>1</t>
    </r>
    <r>
      <rPr>
        <sz val="10"/>
        <rFont val="宋体"/>
        <family val="3"/>
        <charset val="134"/>
      </rPr>
      <t>）</t>
    </r>
    <phoneticPr fontId="18" type="noConversion"/>
  </si>
  <si>
    <r>
      <t>4</t>
    </r>
    <r>
      <rPr>
        <sz val="10"/>
        <rFont val="宋体"/>
        <family val="3"/>
        <charset val="134"/>
      </rPr>
      <t>）</t>
    </r>
    <phoneticPr fontId="18" type="noConversion"/>
  </si>
  <si>
    <r>
      <t>2</t>
    </r>
    <r>
      <rPr>
        <sz val="10"/>
        <rFont val="宋体"/>
        <family val="3"/>
        <charset val="134"/>
      </rPr>
      <t>）</t>
    </r>
    <phoneticPr fontId="20" type="noConversion"/>
  </si>
  <si>
    <r>
      <t>3</t>
    </r>
    <r>
      <rPr>
        <sz val="10"/>
        <rFont val="宋体"/>
        <family val="3"/>
        <charset val="134"/>
      </rPr>
      <t>）</t>
    </r>
    <phoneticPr fontId="20" type="noConversion"/>
  </si>
  <si>
    <r>
      <t>4</t>
    </r>
    <r>
      <rPr>
        <sz val="10"/>
        <rFont val="宋体"/>
        <family val="3"/>
        <charset val="134"/>
      </rPr>
      <t>）</t>
    </r>
    <phoneticPr fontId="20" type="noConversion"/>
  </si>
  <si>
    <r>
      <t>5</t>
    </r>
    <r>
      <rPr>
        <sz val="10"/>
        <rFont val="宋体"/>
        <family val="3"/>
        <charset val="134"/>
      </rPr>
      <t>）</t>
    </r>
    <phoneticPr fontId="20" type="noConversion"/>
  </si>
  <si>
    <t>A</t>
    <phoneticPr fontId="18" type="noConversion"/>
  </si>
  <si>
    <t>B</t>
    <phoneticPr fontId="18" type="noConversion"/>
  </si>
  <si>
    <r>
      <rPr>
        <sz val="10"/>
        <color indexed="8"/>
        <rFont val="宋体"/>
        <family val="3"/>
        <charset val="134"/>
      </rPr>
      <t>（</t>
    </r>
    <r>
      <rPr>
        <sz val="10"/>
        <color indexed="8"/>
        <rFont val="Arial"/>
        <family val="2"/>
      </rPr>
      <t>1</t>
    </r>
    <r>
      <rPr>
        <sz val="10"/>
        <color indexed="8"/>
        <rFont val="宋体"/>
        <family val="3"/>
        <charset val="134"/>
      </rPr>
      <t>）</t>
    </r>
    <phoneticPr fontId="20" type="noConversion"/>
  </si>
  <si>
    <r>
      <t>1</t>
    </r>
    <r>
      <rPr>
        <sz val="10"/>
        <color indexed="8"/>
        <rFont val="宋体"/>
        <family val="3"/>
        <charset val="134"/>
      </rPr>
      <t>）</t>
    </r>
    <phoneticPr fontId="18" type="noConversion"/>
  </si>
  <si>
    <r>
      <t>2</t>
    </r>
    <r>
      <rPr>
        <sz val="10"/>
        <color indexed="8"/>
        <rFont val="宋体"/>
        <family val="3"/>
        <charset val="134"/>
      </rPr>
      <t>）</t>
    </r>
    <phoneticPr fontId="18" type="noConversion"/>
  </si>
  <si>
    <t>A</t>
    <phoneticPr fontId="20" type="noConversion"/>
  </si>
  <si>
    <t>B</t>
    <phoneticPr fontId="20" type="noConversion"/>
  </si>
  <si>
    <t>1.</t>
    <phoneticPr fontId="81" type="noConversion"/>
  </si>
  <si>
    <t>2.</t>
    <phoneticPr fontId="81" type="noConversion"/>
  </si>
  <si>
    <t>3.</t>
    <phoneticPr fontId="81" type="noConversion"/>
  </si>
  <si>
    <t>4.</t>
    <phoneticPr fontId="5" type="noConversion"/>
  </si>
  <si>
    <t>5.</t>
    <phoneticPr fontId="5" type="noConversion"/>
  </si>
  <si>
    <t>6.</t>
    <phoneticPr fontId="5" type="noConversion"/>
  </si>
  <si>
    <t>7.</t>
    <phoneticPr fontId="5" type="noConversion"/>
  </si>
  <si>
    <t>十一级</t>
  </si>
  <si>
    <t>十二级</t>
  </si>
  <si>
    <t>一级</t>
    <phoneticPr fontId="81" type="noConversion"/>
  </si>
  <si>
    <t>Ⅰ—01</t>
    <phoneticPr fontId="5" type="noConversion"/>
  </si>
  <si>
    <t xml:space="preserve">— </t>
    <phoneticPr fontId="87" type="noConversion"/>
  </si>
  <si>
    <t>估价项目名称：</t>
    <phoneticPr fontId="87" type="noConversion"/>
  </si>
  <si>
    <t>估价委托人：</t>
    <phoneticPr fontId="87" type="noConversion"/>
  </si>
  <si>
    <t>房地产估价机构：</t>
    <phoneticPr fontId="87" type="noConversion"/>
  </si>
  <si>
    <t>北京康正宏基房地产评估有限公司</t>
    <phoneticPr fontId="87" type="noConversion"/>
  </si>
  <si>
    <t>注册房地产估价师：</t>
    <phoneticPr fontId="87" type="noConversion"/>
  </si>
  <si>
    <t>估价报告编号：</t>
    <phoneticPr fontId="87" type="noConversion"/>
  </si>
  <si>
    <t>今日</t>
    <phoneticPr fontId="87" type="noConversion"/>
  </si>
  <si>
    <t>资质过期显示为红色</t>
    <phoneticPr fontId="87" type="noConversion"/>
  </si>
  <si>
    <t>注册房地产估价师</t>
    <phoneticPr fontId="87" type="noConversion"/>
  </si>
  <si>
    <t>注册证号</t>
    <phoneticPr fontId="87" type="noConversion"/>
  </si>
  <si>
    <t>资质有效期</t>
    <phoneticPr fontId="87" type="noConversion"/>
  </si>
  <si>
    <t>土地估价师</t>
    <phoneticPr fontId="87" type="noConversion"/>
  </si>
  <si>
    <t>证号</t>
    <phoneticPr fontId="87" type="noConversion"/>
  </si>
  <si>
    <t>梁津</t>
    <phoneticPr fontId="87" type="noConversion"/>
  </si>
  <si>
    <t>李立</t>
    <phoneticPr fontId="87" type="noConversion"/>
  </si>
  <si>
    <t>叶凌</t>
    <phoneticPr fontId="87" type="noConversion"/>
  </si>
  <si>
    <t>王鹏</t>
    <phoneticPr fontId="87" type="noConversion"/>
  </si>
  <si>
    <t>欧红伟</t>
    <phoneticPr fontId="87" type="noConversion"/>
  </si>
  <si>
    <t>吴薇</t>
    <phoneticPr fontId="87" type="noConversion"/>
  </si>
  <si>
    <t>陈颖</t>
    <phoneticPr fontId="87" type="noConversion"/>
  </si>
  <si>
    <t>崔锴</t>
    <phoneticPr fontId="87" type="noConversion"/>
  </si>
  <si>
    <t>郑燚</t>
    <phoneticPr fontId="87" type="noConversion"/>
  </si>
  <si>
    <t>赵雯</t>
    <phoneticPr fontId="87" type="noConversion"/>
  </si>
  <si>
    <t>刘敬东</t>
    <phoneticPr fontId="87" type="noConversion"/>
  </si>
  <si>
    <t>估价机构</t>
    <phoneticPr fontId="87" type="noConversion"/>
  </si>
  <si>
    <t>房地产</t>
    <phoneticPr fontId="87" type="noConversion"/>
  </si>
  <si>
    <t>土地</t>
    <phoneticPr fontId="87" type="noConversion"/>
  </si>
  <si>
    <t>证书名称</t>
    <phoneticPr fontId="87" type="noConversion"/>
  </si>
  <si>
    <t>号码</t>
    <phoneticPr fontId="87" type="noConversion"/>
  </si>
  <si>
    <t>资质有效期</t>
    <phoneticPr fontId="87" type="noConversion"/>
  </si>
  <si>
    <t>资质证书：一级</t>
    <phoneticPr fontId="87" type="noConversion"/>
  </si>
  <si>
    <t>建房估证字[2013]081号</t>
    <phoneticPr fontId="87" type="noConversion"/>
  </si>
  <si>
    <t>注册证书</t>
    <phoneticPr fontId="87" type="noConversion"/>
  </si>
  <si>
    <t>A201111009</t>
    <phoneticPr fontId="87" type="noConversion"/>
  </si>
  <si>
    <t>资信等级：A级</t>
    <phoneticPr fontId="87" type="noConversion"/>
  </si>
  <si>
    <t>估价目的</t>
    <phoneticPr fontId="89" type="noConversion"/>
  </si>
  <si>
    <t>优先受偿</t>
    <phoneticPr fontId="89" type="noConversion"/>
  </si>
  <si>
    <t>抵押</t>
    <phoneticPr fontId="89" type="noConversion"/>
  </si>
  <si>
    <t>2.估价师所知悉的法定优先受偿款</t>
    <phoneticPr fontId="89" type="noConversion"/>
  </si>
  <si>
    <t>2.估价师所知悉的除抵押担保权以外的法定优先受偿款</t>
    <phoneticPr fontId="89" type="noConversion"/>
  </si>
  <si>
    <t>价值类型及定义</t>
    <phoneticPr fontId="89" type="noConversion"/>
  </si>
  <si>
    <t>房地产价值</t>
    <phoneticPr fontId="89" type="noConversion"/>
  </si>
  <si>
    <t>房地产抵押价值</t>
    <phoneticPr fontId="89" type="noConversion"/>
  </si>
  <si>
    <t>已注销</t>
    <phoneticPr fontId="89" type="noConversion"/>
  </si>
  <si>
    <t>已注销及未注销</t>
    <phoneticPr fontId="89" type="noConversion"/>
  </si>
  <si>
    <t>抵押净值</t>
    <phoneticPr fontId="89" type="noConversion"/>
  </si>
  <si>
    <t>——</t>
    <phoneticPr fontId="18" type="noConversion"/>
  </si>
  <si>
    <t>XX</t>
  </si>
  <si>
    <t>附表：</t>
    <phoneticPr fontId="97" type="noConversion"/>
  </si>
  <si>
    <t>北京市区片基准地价因素总修正幅度表</t>
    <phoneticPr fontId="5" type="noConversion"/>
  </si>
  <si>
    <t>级别</t>
    <phoneticPr fontId="5" type="noConversion"/>
  </si>
  <si>
    <t>区片编号</t>
    <phoneticPr fontId="5" type="noConversion"/>
  </si>
  <si>
    <t>商业</t>
    <phoneticPr fontId="5" type="noConversion"/>
  </si>
  <si>
    <t>办公</t>
    <phoneticPr fontId="5" type="noConversion"/>
  </si>
  <si>
    <t>住宅</t>
    <phoneticPr fontId="5" type="noConversion"/>
  </si>
  <si>
    <t>工业</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</si>
  <si>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</si>
  <si>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</si>
  <si>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</si>
  <si>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</si>
  <si>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</si>
  <si>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</si>
  <si>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</si>
  <si>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</si>
  <si>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</si>
  <si>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</si>
  <si>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</si>
  <si>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</si>
  <si>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</si>
  <si>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</si>
  <si>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</si>
  <si>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</si>
  <si>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</si>
  <si>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</si>
  <si>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</si>
  <si>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</si>
  <si>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</si>
  <si>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</si>
  <si>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</si>
  <si>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</si>
  <si>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</si>
  <si>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</si>
  <si>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</si>
  <si>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</si>
  <si>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</si>
  <si>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</si>
  <si>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</si>
  <si>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</si>
  <si>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</si>
  <si>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</si>
  <si>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</si>
  <si>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</si>
  <si>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</si>
  <si>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</si>
  <si>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</si>
  <si>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</si>
  <si>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</si>
  <si>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</si>
  <si>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</si>
  <si>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</si>
  <si>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</si>
  <si>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</si>
  <si>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</si>
  <si>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</si>
  <si>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</si>
  <si>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</si>
  <si>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</si>
  <si>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</si>
  <si>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</si>
  <si>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</si>
  <si>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</si>
  <si>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</si>
  <si>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</si>
  <si>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</si>
  <si>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</si>
  <si>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</si>
  <si>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</si>
  <si>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</si>
  <si>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</si>
  <si>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</si>
  <si>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</si>
  <si>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</si>
  <si>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</si>
  <si>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</si>
  <si>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</si>
  <si>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</si>
  <si>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</si>
  <si>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</si>
  <si>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</si>
  <si>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</si>
  <si>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</si>
  <si>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</si>
  <si>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</si>
  <si>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</si>
  <si>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</si>
  <si>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</si>
  <si>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</si>
  <si>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</si>
  <si>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</si>
  <si>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</si>
  <si>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</si>
  <si>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</si>
  <si>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</si>
  <si>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</si>
  <si>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</si>
  <si>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</si>
  <si>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</si>
  <si>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</si>
  <si>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</si>
  <si>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</si>
  <si>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</si>
  <si>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</si>
  <si>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</si>
  <si>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</si>
  <si>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</si>
  <si>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</si>
  <si>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</si>
  <si>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</si>
  <si>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</si>
  <si>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</si>
  <si>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</si>
  <si>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</si>
  <si>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</si>
  <si>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</si>
  <si>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</si>
  <si>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</si>
  <si>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</si>
  <si>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</si>
  <si>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</si>
  <si>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</si>
  <si>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</si>
  <si>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</si>
  <si>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</si>
  <si>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</si>
  <si>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</si>
  <si>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</si>
  <si>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</si>
  <si>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</si>
  <si>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</si>
  <si>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</si>
  <si>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</si>
  <si>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</si>
  <si>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</si>
  <si>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</si>
  <si>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</si>
  <si>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</si>
  <si>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</si>
  <si>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</si>
  <si>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</si>
  <si>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</si>
  <si>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</si>
  <si>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</si>
  <si>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</si>
  <si>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</si>
  <si>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</si>
  <si>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</si>
  <si>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</si>
  <si>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</si>
  <si>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</si>
  <si>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</si>
  <si>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</si>
  <si>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</si>
  <si>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</si>
  <si>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</si>
  <si>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</si>
  <si>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</si>
  <si>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</si>
  <si>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t>
    <phoneticPr fontId="5" type="noConversion"/>
  </si>
  <si>
    <t>3</t>
    <phoneticPr fontId="5" type="noConversion"/>
  </si>
  <si>
    <t>4</t>
    <phoneticPr fontId="5" type="noConversion"/>
  </si>
  <si>
    <t>5</t>
    <phoneticPr fontId="5" type="noConversion"/>
  </si>
  <si>
    <t>6</t>
    <phoneticPr fontId="5" type="noConversion"/>
  </si>
  <si>
    <r>
      <t>1</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</si>
  <si>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</si>
  <si>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</si>
  <si>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</si>
  <si>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</si>
  <si>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</si>
  <si>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t>A</t>
  </si>
  <si>
    <t>B</t>
  </si>
  <si>
    <t>(A)</t>
  </si>
  <si>
    <t>(B)</t>
  </si>
  <si>
    <t>(C)</t>
  </si>
  <si>
    <t>(D)</t>
  </si>
  <si>
    <t>C</t>
  </si>
  <si>
    <t>A+B</t>
  </si>
  <si>
    <t>a</t>
  </si>
  <si>
    <t>b</t>
  </si>
  <si>
    <t>c</t>
  </si>
  <si>
    <t>a-b×c</t>
    <phoneticPr fontId="5" type="noConversion"/>
  </si>
  <si>
    <t>(E)</t>
    <phoneticPr fontId="5" type="noConversion"/>
  </si>
  <si>
    <t>Ⅷ-延1</t>
    <phoneticPr fontId="5" type="noConversion"/>
  </si>
  <si>
    <r>
      <rPr>
        <b/>
        <sz val="10"/>
        <rFont val="宋体"/>
        <family val="3"/>
        <charset val="134"/>
      </rPr>
      <t>（</t>
    </r>
    <r>
      <rPr>
        <b/>
        <sz val="10"/>
        <rFont val="Arial"/>
        <family val="2"/>
      </rPr>
      <t>1</t>
    </r>
    <r>
      <rPr>
        <b/>
        <sz val="10"/>
        <rFont val="宋体"/>
        <family val="3"/>
        <charset val="134"/>
      </rPr>
      <t>）</t>
    </r>
    <phoneticPr fontId="20" type="noConversion"/>
  </si>
  <si>
    <t>（2）</t>
    <phoneticPr fontId="20"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</si>
  <si>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8" type="noConversion"/>
  </si>
  <si>
    <t>（3）</t>
    <phoneticPr fontId="20"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</si>
  <si>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8" type="noConversion"/>
  </si>
  <si>
    <t>（4）</t>
    <phoneticPr fontId="20"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</si>
  <si>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8" type="noConversion"/>
  </si>
  <si>
    <r>
      <rPr>
        <sz val="10"/>
        <rFont val="楷体_GB2312"/>
        <family val="3"/>
        <charset val="134"/>
      </rPr>
      <t>（</t>
    </r>
    <r>
      <rPr>
        <sz val="10"/>
        <rFont val="Arial"/>
        <family val="2"/>
      </rPr>
      <t>1</t>
    </r>
    <r>
      <rPr>
        <sz val="10"/>
        <rFont val="楷体_GB2312"/>
        <family val="3"/>
        <charset val="134"/>
      </rPr>
      <t>）项产生的利息</t>
    </r>
    <phoneticPr fontId="18"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</si>
  <si>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8" type="noConversion"/>
  </si>
  <si>
    <r>
      <rPr>
        <sz val="10"/>
        <rFont val="楷体_GB2312"/>
        <family val="3"/>
        <charset val="134"/>
      </rPr>
      <t>（</t>
    </r>
    <r>
      <rPr>
        <sz val="10"/>
        <rFont val="Arial"/>
        <family val="2"/>
      </rPr>
      <t>4</t>
    </r>
    <r>
      <rPr>
        <sz val="10"/>
        <rFont val="楷体_GB2312"/>
        <family val="3"/>
        <charset val="134"/>
      </rPr>
      <t>）项产生的利润</t>
    </r>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</si>
  <si>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8"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</si>
  <si>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</si>
  <si>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8" type="noConversion"/>
  </si>
  <si>
    <r>
      <rPr>
        <sz val="10"/>
        <rFont val="楷体_GB2312"/>
        <family val="3"/>
        <charset val="134"/>
      </rPr>
      <t>（</t>
    </r>
    <r>
      <rPr>
        <sz val="10"/>
        <rFont val="Arial"/>
        <family val="2"/>
      </rPr>
      <t>3</t>
    </r>
    <r>
      <rPr>
        <sz val="10"/>
        <rFont val="楷体_GB2312"/>
        <family val="3"/>
        <charset val="134"/>
      </rPr>
      <t>）项产生的利润</t>
    </r>
    <phoneticPr fontId="18" type="noConversion"/>
  </si>
  <si>
    <t>以前述2项为基数</t>
    <phoneticPr fontId="18"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</si>
  <si>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8" type="noConversion"/>
  </si>
  <si>
    <r>
      <rPr>
        <b/>
        <sz val="10"/>
        <rFont val="楷体_GB2312"/>
        <family val="3"/>
        <charset val="134"/>
      </rPr>
      <t>前述</t>
    </r>
    <r>
      <rPr>
        <b/>
        <sz val="10"/>
        <rFont val="Arial"/>
        <family val="2"/>
      </rPr>
      <t>7</t>
    </r>
    <r>
      <rPr>
        <b/>
        <sz val="10"/>
        <rFont val="楷体_GB2312"/>
        <family val="3"/>
        <charset val="134"/>
      </rPr>
      <t>项相加</t>
    </r>
    <phoneticPr fontId="18" type="noConversion"/>
  </si>
  <si>
    <t>以（1）为基数</t>
    <phoneticPr fontId="18"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</si>
  <si>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8" type="noConversion"/>
  </si>
  <si>
    <r>
      <rPr>
        <b/>
        <sz val="10"/>
        <rFont val="楷体_GB2312"/>
        <family val="3"/>
        <charset val="134"/>
      </rPr>
      <t>前述</t>
    </r>
    <r>
      <rPr>
        <b/>
        <sz val="10"/>
        <rFont val="Arial"/>
        <family val="2"/>
      </rPr>
      <t>6</t>
    </r>
    <r>
      <rPr>
        <b/>
        <sz val="10"/>
        <rFont val="楷体_GB2312"/>
        <family val="3"/>
        <charset val="134"/>
      </rPr>
      <t>项相加</t>
    </r>
    <phoneticPr fontId="18"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</si>
  <si>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</si>
  <si>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</si>
  <si>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t>1.年总收入</t>
    <phoneticPr fontId="5" type="noConversion"/>
  </si>
  <si>
    <t>（1）客房</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</si>
  <si>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</si>
  <si>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</si>
  <si>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</si>
  <si>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</si>
  <si>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</si>
  <si>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</si>
  <si>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</si>
  <si>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</si>
  <si>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</si>
  <si>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</si>
  <si>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</si>
  <si>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</si>
  <si>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</si>
  <si>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</si>
  <si>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</si>
  <si>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（2）餐厅</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</si>
  <si>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</si>
  <si>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</si>
  <si>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</si>
  <si>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</si>
  <si>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</si>
  <si>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</si>
  <si>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</si>
  <si>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</si>
  <si>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（3）会议中心</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</si>
  <si>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</si>
  <si>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</si>
  <si>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</si>
  <si>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</si>
  <si>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</si>
  <si>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</si>
  <si>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（4）其他收入（可按客房收入比率计算）</t>
    <phoneticPr fontId="5" type="noConversion"/>
  </si>
  <si>
    <t>（5）出租部分</t>
    <phoneticPr fontId="5" type="noConversion"/>
  </si>
  <si>
    <t>建筑面积</t>
    <phoneticPr fontId="5" type="noConversion"/>
  </si>
  <si>
    <t>日租金</t>
    <phoneticPr fontId="5" type="noConversion"/>
  </si>
  <si>
    <t>天数</t>
    <phoneticPr fontId="5" type="noConversion"/>
  </si>
  <si>
    <t>空置率</t>
    <phoneticPr fontId="5" type="noConversion"/>
  </si>
  <si>
    <t>——</t>
    <phoneticPr fontId="5" type="noConversion"/>
  </si>
  <si>
    <t>年收入</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</si>
  <si>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</si>
  <si>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</si>
  <si>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</si>
  <si>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</si>
  <si>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</si>
  <si>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</si>
  <si>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</si>
  <si>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</si>
  <si>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</si>
  <si>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</si>
  <si>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</si>
  <si>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</si>
  <si>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</si>
  <si>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</si>
  <si>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</si>
  <si>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</si>
  <si>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</si>
  <si>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</si>
  <si>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t>
    <phoneticPr fontId="5" type="noConversion"/>
  </si>
  <si>
    <r>
      <rPr>
        <b/>
        <sz val="10"/>
        <color indexed="8"/>
        <rFont val="宋体"/>
        <family val="3"/>
        <charset val="134"/>
      </rPr>
      <t>（</t>
    </r>
    <r>
      <rPr>
        <b/>
        <sz val="10"/>
        <color indexed="8"/>
        <rFont val="Arial"/>
        <family val="2"/>
      </rPr>
      <t>1</t>
    </r>
    <r>
      <rPr>
        <b/>
        <sz val="10"/>
        <color indexed="8"/>
        <rFont val="宋体"/>
        <family val="3"/>
        <charset val="134"/>
      </rPr>
      <t>）</t>
    </r>
    <phoneticPr fontId="5" type="noConversion"/>
  </si>
  <si>
    <r>
      <rPr>
        <b/>
        <sz val="10"/>
        <color indexed="8"/>
        <rFont val="宋体"/>
        <family val="3"/>
        <charset val="134"/>
      </rPr>
      <t>（</t>
    </r>
    <r>
      <rPr>
        <b/>
        <sz val="10"/>
        <color indexed="8"/>
        <rFont val="Arial"/>
        <family val="2"/>
      </rPr>
      <t>2</t>
    </r>
    <r>
      <rPr>
        <b/>
        <sz val="10"/>
        <color indexed="8"/>
        <rFont val="宋体"/>
        <family val="3"/>
        <charset val="134"/>
      </rPr>
      <t>）</t>
    </r>
    <phoneticPr fontId="5" type="noConversion"/>
  </si>
  <si>
    <t>基础设施水平</t>
    <phoneticPr fontId="18" type="noConversion"/>
  </si>
  <si>
    <t>六通</t>
    <phoneticPr fontId="18" type="noConversion"/>
  </si>
  <si>
    <t>七通</t>
    <phoneticPr fontId="18" type="noConversion"/>
  </si>
  <si>
    <t>五通</t>
    <phoneticPr fontId="18" type="noConversion"/>
  </si>
  <si>
    <t>四通</t>
    <phoneticPr fontId="18" type="noConversion"/>
  </si>
  <si>
    <t>三通</t>
    <phoneticPr fontId="18" type="noConversion"/>
  </si>
  <si>
    <t>公共配套设施</t>
    <phoneticPr fontId="18" type="noConversion"/>
  </si>
  <si>
    <t>成本法 (元)</t>
    <phoneticPr fontId="18" type="noConversion"/>
  </si>
  <si>
    <t>收益法 (元)</t>
    <phoneticPr fontId="18" type="noConversion"/>
  </si>
  <si>
    <t>收益法（汇总）</t>
    <phoneticPr fontId="18" type="noConversion"/>
  </si>
  <si>
    <t>已包含在土地购买价格中</t>
  </si>
  <si>
    <t>公示地价指数</t>
    <phoneticPr fontId="153" type="noConversion"/>
  </si>
  <si>
    <r>
      <rPr>
        <b/>
        <sz val="10"/>
        <color theme="1"/>
        <rFont val="楷体_GB2312"/>
        <family val="2"/>
        <charset val="134"/>
      </rPr>
      <t>公示增长率</t>
    </r>
    <phoneticPr fontId="153" type="noConversion"/>
  </si>
  <si>
    <r>
      <rPr>
        <b/>
        <sz val="10"/>
        <color theme="1"/>
        <rFont val="楷体_GB2312"/>
        <family val="2"/>
        <charset val="134"/>
      </rPr>
      <t>核算至百分数</t>
    </r>
    <phoneticPr fontId="153" type="noConversion"/>
  </si>
  <si>
    <r>
      <rPr>
        <b/>
        <sz val="10"/>
        <color theme="1"/>
        <rFont val="楷体_GB2312"/>
        <family val="2"/>
        <charset val="134"/>
      </rPr>
      <t>验证</t>
    </r>
    <phoneticPr fontId="153" type="noConversion"/>
  </si>
  <si>
    <t>季度连乘</t>
    <phoneticPr fontId="145" type="noConversion"/>
  </si>
  <si>
    <t>平均增幅</t>
    <phoneticPr fontId="14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</si>
  <si>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</si>
  <si>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</si>
  <si>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</si>
  <si>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</si>
  <si>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</si>
  <si>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</si>
  <si>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基准季度</t>
    <phoneticPr fontId="145" type="noConversion"/>
  </si>
  <si>
    <t>2013-4</t>
    <phoneticPr fontId="145" type="noConversion"/>
  </si>
  <si>
    <t>2013-3</t>
    <phoneticPr fontId="145" type="noConversion"/>
  </si>
  <si>
    <t>2013-2</t>
    <phoneticPr fontId="145" type="noConversion"/>
  </si>
  <si>
    <t>2013-1</t>
    <phoneticPr fontId="145" type="noConversion"/>
  </si>
  <si>
    <r>
      <t>2</t>
    </r>
    <r>
      <rPr>
        <sz val="10"/>
        <color theme="1"/>
        <rFont val="Arial"/>
        <family val="2"/>
      </rPr>
      <t>012-4</t>
    </r>
    <phoneticPr fontId="145" type="noConversion"/>
  </si>
  <si>
    <r>
      <t>2</t>
    </r>
    <r>
      <rPr>
        <sz val="10"/>
        <color theme="1"/>
        <rFont val="Arial"/>
        <family val="2"/>
      </rPr>
      <t>012-3</t>
    </r>
    <phoneticPr fontId="145" type="noConversion"/>
  </si>
  <si>
    <r>
      <t>2</t>
    </r>
    <r>
      <rPr>
        <sz val="10"/>
        <color theme="1"/>
        <rFont val="Arial"/>
        <family val="2"/>
      </rPr>
      <t>012-2</t>
    </r>
    <phoneticPr fontId="145" type="noConversion"/>
  </si>
  <si>
    <r>
      <t>2</t>
    </r>
    <r>
      <rPr>
        <sz val="10"/>
        <color theme="1"/>
        <rFont val="Arial"/>
        <family val="2"/>
      </rPr>
      <t>012-1</t>
    </r>
    <phoneticPr fontId="145" type="noConversion"/>
  </si>
  <si>
    <r>
      <t>2</t>
    </r>
    <r>
      <rPr>
        <sz val="10"/>
        <color theme="1"/>
        <rFont val="Arial"/>
        <family val="2"/>
      </rPr>
      <t>011-4</t>
    </r>
    <phoneticPr fontId="145" type="noConversion"/>
  </si>
  <si>
    <r>
      <t>2</t>
    </r>
    <r>
      <rPr>
        <sz val="10"/>
        <color theme="1"/>
        <rFont val="Arial"/>
        <family val="2"/>
      </rPr>
      <t>011-3</t>
    </r>
    <phoneticPr fontId="145" type="noConversion"/>
  </si>
  <si>
    <r>
      <t>2</t>
    </r>
    <r>
      <rPr>
        <sz val="10"/>
        <color theme="1"/>
        <rFont val="Arial"/>
        <family val="2"/>
      </rPr>
      <t>011-2</t>
    </r>
    <phoneticPr fontId="145" type="noConversion"/>
  </si>
  <si>
    <r>
      <t>2</t>
    </r>
    <r>
      <rPr>
        <sz val="10"/>
        <color theme="1"/>
        <rFont val="Arial"/>
        <family val="2"/>
      </rPr>
      <t>011-1</t>
    </r>
    <phoneticPr fontId="145" type="noConversion"/>
  </si>
  <si>
    <r>
      <t>2</t>
    </r>
    <r>
      <rPr>
        <sz val="10"/>
        <color theme="1"/>
        <rFont val="Arial"/>
        <family val="2"/>
      </rPr>
      <t>010-4</t>
    </r>
    <phoneticPr fontId="145" type="noConversion"/>
  </si>
  <si>
    <r>
      <t>2</t>
    </r>
    <r>
      <rPr>
        <sz val="10"/>
        <color theme="1"/>
        <rFont val="Arial"/>
        <family val="2"/>
      </rPr>
      <t>010-3</t>
    </r>
    <phoneticPr fontId="145" type="noConversion"/>
  </si>
  <si>
    <r>
      <t>2</t>
    </r>
    <r>
      <rPr>
        <sz val="10"/>
        <color theme="1"/>
        <rFont val="Arial"/>
        <family val="2"/>
      </rPr>
      <t>010-2</t>
    </r>
    <phoneticPr fontId="145" type="noConversion"/>
  </si>
  <si>
    <r>
      <t>2</t>
    </r>
    <r>
      <rPr>
        <sz val="10"/>
        <color theme="1"/>
        <rFont val="Arial"/>
        <family val="2"/>
      </rPr>
      <t>010-1</t>
    </r>
    <phoneticPr fontId="145" type="noConversion"/>
  </si>
  <si>
    <r>
      <t>2</t>
    </r>
    <r>
      <rPr>
        <sz val="10"/>
        <color theme="1"/>
        <rFont val="Arial"/>
        <family val="2"/>
      </rPr>
      <t>009-4</t>
    </r>
    <phoneticPr fontId="145" type="noConversion"/>
  </si>
  <si>
    <r>
      <t>2</t>
    </r>
    <r>
      <rPr>
        <sz val="10"/>
        <color theme="1"/>
        <rFont val="Arial"/>
        <family val="2"/>
      </rPr>
      <t>009-3</t>
    </r>
    <phoneticPr fontId="145" type="noConversion"/>
  </si>
  <si>
    <r>
      <t>2</t>
    </r>
    <r>
      <rPr>
        <sz val="10"/>
        <color theme="1"/>
        <rFont val="Arial"/>
        <family val="2"/>
      </rPr>
      <t>009-2</t>
    </r>
    <phoneticPr fontId="145" type="noConversion"/>
  </si>
  <si>
    <r>
      <t>2</t>
    </r>
    <r>
      <rPr>
        <sz val="10"/>
        <color theme="1"/>
        <rFont val="Arial"/>
        <family val="2"/>
      </rPr>
      <t>009-1</t>
    </r>
    <phoneticPr fontId="145" type="noConversion"/>
  </si>
  <si>
    <r>
      <t>2</t>
    </r>
    <r>
      <rPr>
        <sz val="10"/>
        <color theme="1"/>
        <rFont val="Arial"/>
        <family val="2"/>
      </rPr>
      <t>008-4</t>
    </r>
    <phoneticPr fontId="145" type="noConversion"/>
  </si>
  <si>
    <r>
      <t>2</t>
    </r>
    <r>
      <rPr>
        <sz val="10"/>
        <color theme="1"/>
        <rFont val="Arial"/>
        <family val="2"/>
      </rPr>
      <t>008-3</t>
    </r>
    <phoneticPr fontId="145" type="noConversion"/>
  </si>
  <si>
    <r>
      <t>2</t>
    </r>
    <r>
      <rPr>
        <sz val="10"/>
        <color theme="1"/>
        <rFont val="Arial"/>
        <family val="2"/>
      </rPr>
      <t>008-2</t>
    </r>
    <phoneticPr fontId="145" type="noConversion"/>
  </si>
  <si>
    <r>
      <t>2</t>
    </r>
    <r>
      <rPr>
        <sz val="10"/>
        <color theme="1"/>
        <rFont val="Arial"/>
        <family val="2"/>
      </rPr>
      <t>008-1</t>
    </r>
    <phoneticPr fontId="145" type="noConversion"/>
  </si>
  <si>
    <r>
      <t>2</t>
    </r>
    <r>
      <rPr>
        <sz val="10"/>
        <color theme="1"/>
        <rFont val="Arial"/>
        <family val="2"/>
      </rPr>
      <t>007-4</t>
    </r>
    <phoneticPr fontId="145" type="noConversion"/>
  </si>
  <si>
    <r>
      <t>2</t>
    </r>
    <r>
      <rPr>
        <sz val="10"/>
        <color theme="1"/>
        <rFont val="Arial"/>
        <family val="2"/>
      </rPr>
      <t>007-3</t>
    </r>
    <phoneticPr fontId="145" type="noConversion"/>
  </si>
  <si>
    <r>
      <t>2</t>
    </r>
    <r>
      <rPr>
        <sz val="10"/>
        <color theme="1"/>
        <rFont val="Arial"/>
        <family val="2"/>
      </rPr>
      <t>007-2</t>
    </r>
    <phoneticPr fontId="145" type="noConversion"/>
  </si>
  <si>
    <r>
      <t>2</t>
    </r>
    <r>
      <rPr>
        <sz val="10"/>
        <color theme="1"/>
        <rFont val="Arial"/>
        <family val="2"/>
      </rPr>
      <t>007-1</t>
    </r>
    <phoneticPr fontId="145" type="noConversion"/>
  </si>
  <si>
    <r>
      <t>2</t>
    </r>
    <r>
      <rPr>
        <sz val="10"/>
        <color theme="1"/>
        <rFont val="Arial"/>
        <family val="2"/>
      </rPr>
      <t>006-4</t>
    </r>
    <phoneticPr fontId="145" type="noConversion"/>
  </si>
  <si>
    <t>2006-3</t>
    <phoneticPr fontId="145" type="noConversion"/>
  </si>
  <si>
    <t>2006-2</t>
    <phoneticPr fontId="145" type="noConversion"/>
  </si>
  <si>
    <t>2006-1</t>
    <phoneticPr fontId="145" type="noConversion"/>
  </si>
  <si>
    <r>
      <t>2</t>
    </r>
    <r>
      <rPr>
        <sz val="10"/>
        <color theme="1"/>
        <rFont val="Arial"/>
        <family val="2"/>
      </rPr>
      <t>005-4</t>
    </r>
    <phoneticPr fontId="145" type="noConversion"/>
  </si>
  <si>
    <r>
      <t>2</t>
    </r>
    <r>
      <rPr>
        <sz val="10"/>
        <color theme="1"/>
        <rFont val="Arial"/>
        <family val="2"/>
      </rPr>
      <t>005-3</t>
    </r>
    <phoneticPr fontId="145" type="noConversion"/>
  </si>
  <si>
    <r>
      <t>2</t>
    </r>
    <r>
      <rPr>
        <sz val="10"/>
        <color theme="1"/>
        <rFont val="Arial"/>
        <family val="2"/>
      </rPr>
      <t>005-2</t>
    </r>
    <phoneticPr fontId="145" type="noConversion"/>
  </si>
  <si>
    <r>
      <t>2</t>
    </r>
    <r>
      <rPr>
        <sz val="10"/>
        <color theme="1"/>
        <rFont val="Arial"/>
        <family val="2"/>
      </rPr>
      <t>005-1</t>
    </r>
    <phoneticPr fontId="145" type="noConversion"/>
  </si>
  <si>
    <r>
      <t>2</t>
    </r>
    <r>
      <rPr>
        <sz val="10"/>
        <color theme="1"/>
        <rFont val="Arial"/>
        <family val="2"/>
      </rPr>
      <t>004-4</t>
    </r>
    <phoneticPr fontId="145" type="noConversion"/>
  </si>
  <si>
    <r>
      <t>2</t>
    </r>
    <r>
      <rPr>
        <sz val="10"/>
        <color theme="1"/>
        <rFont val="Arial"/>
        <family val="2"/>
      </rPr>
      <t>004-3</t>
    </r>
    <phoneticPr fontId="145" type="noConversion"/>
  </si>
  <si>
    <r>
      <t>2</t>
    </r>
    <r>
      <rPr>
        <sz val="10"/>
        <color theme="1"/>
        <rFont val="Arial"/>
        <family val="2"/>
      </rPr>
      <t>004-2</t>
    </r>
    <phoneticPr fontId="145" type="noConversion"/>
  </si>
  <si>
    <r>
      <t>2</t>
    </r>
    <r>
      <rPr>
        <sz val="10"/>
        <color theme="1"/>
        <rFont val="Arial"/>
        <family val="2"/>
      </rPr>
      <t>004-1</t>
    </r>
    <phoneticPr fontId="145" type="noConversion"/>
  </si>
  <si>
    <r>
      <t>2</t>
    </r>
    <r>
      <rPr>
        <sz val="10"/>
        <color theme="1"/>
        <rFont val="Arial"/>
        <family val="2"/>
      </rPr>
      <t>003-4</t>
    </r>
    <phoneticPr fontId="145" type="noConversion"/>
  </si>
  <si>
    <r>
      <t>2</t>
    </r>
    <r>
      <rPr>
        <sz val="10"/>
        <color theme="1"/>
        <rFont val="Arial"/>
        <family val="2"/>
      </rPr>
      <t>003-3</t>
    </r>
    <phoneticPr fontId="145" type="noConversion"/>
  </si>
  <si>
    <r>
      <t>2</t>
    </r>
    <r>
      <rPr>
        <sz val="10"/>
        <color theme="1"/>
        <rFont val="Arial"/>
        <family val="2"/>
      </rPr>
      <t>003-2</t>
    </r>
    <phoneticPr fontId="145" type="noConversion"/>
  </si>
  <si>
    <r>
      <t>2</t>
    </r>
    <r>
      <rPr>
        <sz val="10"/>
        <color theme="1"/>
        <rFont val="Arial"/>
        <family val="2"/>
      </rPr>
      <t>003-1</t>
    </r>
    <phoneticPr fontId="145" type="noConversion"/>
  </si>
  <si>
    <r>
      <t>2</t>
    </r>
    <r>
      <rPr>
        <sz val="10"/>
        <color theme="1"/>
        <rFont val="Arial"/>
        <family val="2"/>
      </rPr>
      <t>002-4</t>
    </r>
    <phoneticPr fontId="145" type="noConversion"/>
  </si>
  <si>
    <r>
      <t>2</t>
    </r>
    <r>
      <rPr>
        <sz val="10"/>
        <color theme="1"/>
        <rFont val="Arial"/>
        <family val="2"/>
      </rPr>
      <t>002-3</t>
    </r>
    <phoneticPr fontId="145" type="noConversion"/>
  </si>
  <si>
    <r>
      <t>2</t>
    </r>
    <r>
      <rPr>
        <sz val="10"/>
        <color theme="1"/>
        <rFont val="Arial"/>
        <family val="2"/>
      </rPr>
      <t>002-2</t>
    </r>
    <phoneticPr fontId="145" type="noConversion"/>
  </si>
  <si>
    <r>
      <t>2</t>
    </r>
    <r>
      <rPr>
        <sz val="10"/>
        <color theme="1"/>
        <rFont val="Arial"/>
        <family val="2"/>
      </rPr>
      <t>002-1</t>
    </r>
    <phoneticPr fontId="145" type="noConversion"/>
  </si>
  <si>
    <t>说明</t>
    <phoneticPr fontId="14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</si>
  <si>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</si>
  <si>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</si>
  <si>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</si>
  <si>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</si>
  <si>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</si>
  <si>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</si>
  <si>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</si>
  <si>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5" type="noConversion"/>
  </si>
  <si>
    <t>封皮-估价项目名称</t>
    <phoneticPr fontId="145" type="noConversion"/>
  </si>
  <si>
    <t>封皮-估价委托人</t>
    <phoneticPr fontId="145" type="noConversion"/>
  </si>
  <si>
    <t>封皮-注册房地产估价师</t>
    <phoneticPr fontId="145" type="noConversion"/>
  </si>
  <si>
    <t>封皮-估价报告编号</t>
    <phoneticPr fontId="145" type="noConversion"/>
  </si>
  <si>
    <t>致函-委托事项</t>
    <phoneticPr fontId="145" type="noConversion"/>
  </si>
  <si>
    <t>致函-估价目的</t>
    <phoneticPr fontId="145" type="noConversion"/>
  </si>
  <si>
    <t>致函-价值时点</t>
    <phoneticPr fontId="145" type="noConversion"/>
  </si>
  <si>
    <t>致函-价值类型-房地产</t>
    <phoneticPr fontId="145" type="noConversion"/>
  </si>
  <si>
    <t>致函-价值类型-建筑物/土地</t>
    <phoneticPr fontId="153" type="noConversion"/>
  </si>
  <si>
    <t>致函-价值类型-抵押</t>
    <phoneticPr fontId="153" type="noConversion"/>
  </si>
  <si>
    <t>致函-价值类型-优先受偿</t>
    <phoneticPr fontId="153" type="noConversion"/>
  </si>
  <si>
    <t>致函-价值类型-净值</t>
    <phoneticPr fontId="153" type="noConversion"/>
  </si>
  <si>
    <t>致函-估价方法</t>
    <phoneticPr fontId="153" type="noConversion"/>
  </si>
  <si>
    <t>致函-估价结果</t>
    <phoneticPr fontId="145" type="noConversion"/>
  </si>
  <si>
    <t>致函-估价结果-表1-总</t>
    <phoneticPr fontId="153" type="noConversion"/>
  </si>
  <si>
    <t>致函-估价结果-表1-单</t>
    <phoneticPr fontId="153" type="noConversion"/>
  </si>
  <si>
    <t>致函-估价结果-表1-大</t>
    <phoneticPr fontId="153" type="noConversion"/>
  </si>
  <si>
    <t>致函-估价结果-表1-优先（大）</t>
    <phoneticPr fontId="153" type="noConversion"/>
  </si>
  <si>
    <t>致函-估价结果-表1-优先-抵押</t>
    <phoneticPr fontId="153" type="noConversion"/>
  </si>
  <si>
    <t>致函-估价结果-表1-优先-工程</t>
    <phoneticPr fontId="153" type="noConversion"/>
  </si>
  <si>
    <t>致函-估价结果-表1-优先-其他</t>
    <phoneticPr fontId="153" type="noConversion"/>
  </si>
  <si>
    <t>致函-估价结果-表1-抵押（大）</t>
    <phoneticPr fontId="153" type="noConversion"/>
  </si>
  <si>
    <t>致函-估价结果-表1-已注（大）</t>
    <phoneticPr fontId="153" type="noConversion"/>
  </si>
  <si>
    <t>致函-估价结果-表1-净值（单）</t>
    <phoneticPr fontId="153" type="noConversion"/>
  </si>
  <si>
    <t>致函-估价结果-表1-净值（大）</t>
    <phoneticPr fontId="153" type="noConversion"/>
  </si>
  <si>
    <t>致函-估价结果-表2-土地面积</t>
    <phoneticPr fontId="153" type="noConversion"/>
  </si>
  <si>
    <t>致函-估价结果-表2-地（总）</t>
    <phoneticPr fontId="153" type="noConversion"/>
  </si>
  <si>
    <t>致函-估价结果-表2-地（单）</t>
    <phoneticPr fontId="153" type="noConversion"/>
  </si>
  <si>
    <t>致函-估价结果-表2-地（大）</t>
    <phoneticPr fontId="153" type="noConversion"/>
  </si>
  <si>
    <t>致函-估价结果-表2-建（总）</t>
    <phoneticPr fontId="153" type="noConversion"/>
  </si>
  <si>
    <t>致函-估价结果-表2-建（单）</t>
    <phoneticPr fontId="153" type="noConversion"/>
  </si>
  <si>
    <t>致函-特别提示-1</t>
    <phoneticPr fontId="153" type="noConversion"/>
  </si>
  <si>
    <t>致函-特别提示-2</t>
  </si>
  <si>
    <t>致函-特别提示-优先受偿-1</t>
    <phoneticPr fontId="153" type="noConversion"/>
  </si>
  <si>
    <t>致函-特别提示-优先受偿-2</t>
  </si>
  <si>
    <t>致函-特别提示-优先受偿-3</t>
  </si>
  <si>
    <t>致函-特别提示-优先受偿-4</t>
  </si>
  <si>
    <t>致函-特别提示-4</t>
    <phoneticPr fontId="153" type="noConversion"/>
  </si>
  <si>
    <t>致函-特别提示-5</t>
  </si>
  <si>
    <t>致函-出具日期</t>
    <phoneticPr fontId="145" type="noConversion"/>
  </si>
  <si>
    <t>致函-估价师1</t>
    <phoneticPr fontId="145" type="noConversion"/>
  </si>
  <si>
    <t>致函-估价师1-证号</t>
    <phoneticPr fontId="145" type="noConversion"/>
  </si>
  <si>
    <t>致函-估价师2</t>
    <phoneticPr fontId="145" type="noConversion"/>
  </si>
  <si>
    <t>致函-估价师2-证号</t>
    <phoneticPr fontId="145" type="noConversion"/>
  </si>
  <si>
    <t>致函-估价对象-现房-1</t>
    <phoneticPr fontId="145" type="noConversion"/>
  </si>
  <si>
    <t>致函-估价对象-现房-2</t>
  </si>
  <si>
    <t>致函-估价对象-在建-1</t>
    <phoneticPr fontId="145" type="noConversion"/>
  </si>
  <si>
    <t>致函-估价对象-在建-2</t>
  </si>
  <si>
    <t>致函-特别提示-优先受偿-5</t>
  </si>
  <si>
    <t>致函-特别提示-6</t>
  </si>
  <si>
    <t>致函-特别提示-7</t>
  </si>
  <si>
    <t>致函-估价结果-表2-地（名称）</t>
    <phoneticPr fontId="153" type="noConversion"/>
  </si>
  <si>
    <t>致函-估价结果-表2-建（名称）</t>
    <phoneticPr fontId="153" type="noConversion"/>
  </si>
  <si>
    <t>致函-估价结果-表2-土地面积（名称）</t>
    <phoneticPr fontId="153" type="noConversion"/>
  </si>
  <si>
    <t>致函-估价结果-表1-抵押（单）</t>
    <phoneticPr fontId="153" type="noConversion"/>
  </si>
  <si>
    <t>致函-估价结果-表1-已注（单）</t>
    <phoneticPr fontId="153" type="noConversion"/>
  </si>
  <si>
    <t>致函-估价结果-表1-已注（名称）</t>
    <phoneticPr fontId="153" type="noConversion"/>
  </si>
  <si>
    <t>致函-估价结果-表1-净值（名称）</t>
    <phoneticPr fontId="153" type="noConversion"/>
  </si>
  <si>
    <t>致函-估价结果-表2-建（大）</t>
  </si>
  <si>
    <t>致函-估价结果-表2-已注（名称）</t>
    <phoneticPr fontId="153" type="noConversion"/>
  </si>
  <si>
    <t>致函-估价结果-表2-净值（名称）</t>
    <phoneticPr fontId="153" type="noConversion"/>
  </si>
  <si>
    <t>本次估价的“房地产抵押价值”是指估价对象在价值时点的“房地产价值”扣减估价师于价值时点所知悉的法定优先受偿款后的余额。</t>
    <phoneticPr fontId="89" type="noConversion"/>
  </si>
  <si>
    <t>本次估价的“抵押担保权已注销时的房地产抵押价值”是指估价对象在价值时点的“房地产价值”扣减估价师于价值时点所知悉的除抵押担保权以外的其他法定优先受偿款后的余额。</t>
    <phoneticPr fontId="89" type="noConversion"/>
  </si>
  <si>
    <t>本次估价的“抵押净值”是指估价对象“房地产抵押价值”减去估价对象在价值时点以“房地产销售收入”为基数计算的预计抵押权实现进行处置时需缴纳的各项费用、税金等相关费用后的价值。</t>
    <phoneticPr fontId="89" type="noConversion"/>
  </si>
  <si>
    <t>为估价委托人了解估价对象房地产市场价值提供参考依据。</t>
    <phoneticPr fontId="18"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</si>
  <si>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</si>
  <si>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9" type="noConversion"/>
  </si>
  <si>
    <t>致函-估价结果-表1-优先（名称）</t>
    <phoneticPr fontId="153" type="noConversion"/>
  </si>
  <si>
    <t>致函-估价结果-表2-建筑面积（名称）</t>
    <phoneticPr fontId="153" type="noConversion"/>
  </si>
  <si>
    <t>致函-估价结果-表2-建筑面积</t>
    <phoneticPr fontId="153" type="noConversion"/>
  </si>
  <si>
    <t>致函-估价结果-表2-项目名称</t>
    <phoneticPr fontId="153" type="noConversion"/>
  </si>
  <si>
    <t>致函-估价结果-表1-抵押（名称）</t>
    <phoneticPr fontId="153" type="noConversion"/>
  </si>
  <si>
    <t>致函-估价结果-表1-抵押（总）</t>
    <phoneticPr fontId="153" type="noConversion"/>
  </si>
  <si>
    <t>致函-估价结果-表1-优先（总）</t>
    <phoneticPr fontId="153" type="noConversion"/>
  </si>
  <si>
    <t>致函-估价结果-表1-已注（总）</t>
    <phoneticPr fontId="153" type="noConversion"/>
  </si>
  <si>
    <t>致函-估价结果-表1-净值（总）</t>
    <phoneticPr fontId="153" type="noConversion"/>
  </si>
  <si>
    <t>致函-估价结果-表2-抵押（名称）</t>
    <phoneticPr fontId="145" type="noConversion"/>
  </si>
  <si>
    <t>致函-估价结果-表2-优先（名称）</t>
    <phoneticPr fontId="153"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</si>
  <si>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3" type="noConversion"/>
  </si>
  <si>
    <t>致函-其他专业人员</t>
    <phoneticPr fontId="145" type="noConversion"/>
  </si>
  <si>
    <t>价值时点</t>
    <phoneticPr fontId="5" type="noConversion"/>
  </si>
  <si>
    <t>开发期</t>
    <phoneticPr fontId="145" type="noConversion"/>
  </si>
  <si>
    <t>贷款利率</t>
    <phoneticPr fontId="5" type="noConversion"/>
  </si>
  <si>
    <t>贷款利率</t>
    <phoneticPr fontId="145" type="noConversion"/>
  </si>
  <si>
    <t>存款利率</t>
    <phoneticPr fontId="145"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</si>
  <si>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</si>
  <si>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</si>
  <si>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</si>
  <si>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</si>
  <si>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</si>
  <si>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</si>
  <si>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</si>
  <si>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</si>
  <si>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</si>
  <si>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</si>
  <si>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</si>
  <si>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</si>
  <si>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</si>
  <si>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</si>
  <si>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</si>
  <si>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</si>
  <si>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</si>
  <si>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</si>
  <si>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</si>
  <si>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</si>
  <si>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</si>
  <si>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</si>
  <si>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</si>
  <si>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</si>
  <si>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</si>
  <si>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</si>
  <si>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</si>
  <si>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</si>
  <si>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t>
    <phoneticPr fontId="88" type="noConversion"/>
  </si>
  <si>
    <t>A</t>
    <phoneticPr fontId="18" type="noConversion"/>
  </si>
  <si>
    <t>B</t>
    <phoneticPr fontId="18" type="noConversion"/>
  </si>
  <si>
    <t>C</t>
    <phoneticPr fontId="20" type="noConversion"/>
  </si>
  <si>
    <t>D</t>
    <phoneticPr fontId="20" type="noConversion"/>
  </si>
  <si>
    <t>E</t>
    <phoneticPr fontId="20" type="noConversion"/>
  </si>
  <si>
    <r>
      <t>3</t>
    </r>
    <r>
      <rPr>
        <sz val="11"/>
        <color theme="1"/>
        <rFont val="宋体"/>
        <family val="3"/>
        <charset val="134"/>
      </rPr>
      <t>）</t>
    </r>
    <phoneticPr fontId="18" type="noConversion"/>
  </si>
  <si>
    <t>此处对应收益法中未来第一年总收益</t>
    <phoneticPr fontId="145" type="noConversion"/>
  </si>
  <si>
    <t>估价对象10</t>
  </si>
  <si>
    <t>估价对象9</t>
  </si>
  <si>
    <t>估价对象8</t>
  </si>
  <si>
    <t>估价对象7</t>
  </si>
  <si>
    <t>估价对象6</t>
  </si>
  <si>
    <t>估价对象5</t>
  </si>
  <si>
    <t>估价对象4</t>
  </si>
  <si>
    <t>估价对象3</t>
  </si>
  <si>
    <t>估价对象2</t>
    <phoneticPr fontId="145" type="noConversion"/>
  </si>
  <si>
    <t>估价对象1（本表）</t>
    <phoneticPr fontId="145" type="noConversion"/>
  </si>
  <si>
    <t>抵押净值（万元）</t>
    <phoneticPr fontId="145" type="noConversion"/>
  </si>
  <si>
    <t>抵押价值（万元）</t>
    <phoneticPr fontId="145"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</si>
  <si>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5" type="noConversion"/>
  </si>
  <si>
    <t>租金</t>
    <phoneticPr fontId="145" type="noConversion"/>
  </si>
  <si>
    <t>总投</t>
    <phoneticPr fontId="145" type="noConversion"/>
  </si>
  <si>
    <t>抵押价值</t>
  </si>
  <si>
    <t>市场价值</t>
  </si>
  <si>
    <t>地面单价（元/平方米）</t>
    <phoneticPr fontId="145" type="noConversion"/>
  </si>
  <si>
    <t>楼面单价（元/平方米）</t>
  </si>
  <si>
    <t>总价（万元）</t>
  </si>
  <si>
    <t>价值类型</t>
  </si>
  <si>
    <t>价值时点/估价期日</t>
    <phoneticPr fontId="145" type="noConversion"/>
  </si>
  <si>
    <t>抵押价值-已注销（万元）</t>
    <phoneticPr fontId="145" type="noConversion"/>
  </si>
  <si>
    <t>抵押价值-已注销</t>
    <phoneticPr fontId="145"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</si>
  <si>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5"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</si>
  <si>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5" type="noConversion"/>
  </si>
  <si>
    <t>市场价值（万元）</t>
    <phoneticPr fontId="145"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</si>
  <si>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5" type="noConversion"/>
  </si>
  <si>
    <t>项目名称</t>
    <phoneticPr fontId="145" type="noConversion"/>
  </si>
  <si>
    <t>重置成新价</t>
    <phoneticPr fontId="145"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</si>
  <si>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5"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</si>
  <si>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</si>
  <si>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</si>
  <si>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</si>
  <si>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</si>
  <si>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</si>
  <si>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</si>
  <si>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</si>
  <si>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</si>
  <si>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</si>
  <si>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5" type="noConversion"/>
  </si>
  <si>
    <t>高限</t>
    <phoneticPr fontId="145" type="noConversion"/>
  </si>
  <si>
    <t>平均</t>
    <phoneticPr fontId="145" type="noConversion"/>
  </si>
  <si>
    <t>2017A-006</t>
    <phoneticPr fontId="138" type="noConversion"/>
  </si>
  <si>
    <t>商服</t>
    <phoneticPr fontId="5" type="noConversion"/>
  </si>
  <si>
    <t>2017-2</t>
    <phoneticPr fontId="5"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</si>
  <si>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5" type="noConversion"/>
  </si>
  <si>
    <r>
      <rPr>
        <i/>
        <sz val="10"/>
        <color indexed="8"/>
        <rFont val="宋体"/>
        <family val="3"/>
        <charset val="134"/>
      </rPr>
      <t>（自定义押金）</t>
    </r>
    <r>
      <rPr>
        <b/>
        <i/>
        <sz val="10"/>
        <color rgb="FFFF0000"/>
        <rFont val="宋体"/>
        <family val="3"/>
        <charset val="134"/>
      </rPr>
      <t>单位：元</t>
    </r>
    <phoneticPr fontId="5" type="noConversion"/>
  </si>
  <si>
    <r>
      <t>3</t>
    </r>
    <r>
      <rPr>
        <sz val="10"/>
        <color indexed="8"/>
        <rFont val="宋体"/>
        <family val="3"/>
        <charset val="134"/>
      </rPr>
      <t>）</t>
    </r>
    <phoneticPr fontId="5" type="noConversion"/>
  </si>
  <si>
    <r>
      <t>4</t>
    </r>
    <r>
      <rPr>
        <sz val="10"/>
        <color indexed="8"/>
        <rFont val="宋体"/>
        <family val="3"/>
        <charset val="134"/>
      </rPr>
      <t>）</t>
    </r>
    <phoneticPr fontId="5" type="noConversion"/>
  </si>
  <si>
    <r>
      <t>5</t>
    </r>
    <r>
      <rPr>
        <sz val="10"/>
        <color indexed="8"/>
        <rFont val="宋体"/>
        <family val="3"/>
        <charset val="134"/>
      </rPr>
      <t>）</t>
    </r>
    <phoneticPr fontId="5" type="noConversion"/>
  </si>
  <si>
    <r>
      <rPr>
        <sz val="10"/>
        <color indexed="8"/>
        <rFont val="宋体"/>
        <family val="3"/>
        <charset val="134"/>
      </rPr>
      <t>（</t>
    </r>
    <r>
      <rPr>
        <sz val="10"/>
        <color indexed="8"/>
        <rFont val="Arial"/>
        <family val="2"/>
      </rPr>
      <t>4</t>
    </r>
    <r>
      <rPr>
        <sz val="10"/>
        <color indexed="8"/>
        <rFont val="宋体"/>
        <family val="3"/>
        <charset val="134"/>
      </rPr>
      <t>）</t>
    </r>
    <phoneticPr fontId="5" type="noConversion"/>
  </si>
  <si>
    <r>
      <rPr>
        <sz val="10"/>
        <color indexed="8"/>
        <rFont val="宋体"/>
        <family val="3"/>
        <charset val="134"/>
      </rPr>
      <t>（</t>
    </r>
    <r>
      <rPr>
        <sz val="10"/>
        <color indexed="8"/>
        <rFont val="Arial"/>
        <family val="2"/>
      </rPr>
      <t>4</t>
    </r>
    <r>
      <rPr>
        <sz val="10"/>
        <color indexed="8"/>
        <rFont val="宋体"/>
        <family val="3"/>
        <charset val="134"/>
      </rPr>
      <t>）</t>
    </r>
    <phoneticPr fontId="5" type="noConversion"/>
  </si>
  <si>
    <r>
      <rPr>
        <b/>
        <sz val="12"/>
        <rFont val="宋体"/>
        <family val="3"/>
        <charset val="134"/>
      </rPr>
      <t>总价</t>
    </r>
    <phoneticPr fontId="20" type="noConversion"/>
  </si>
  <si>
    <r>
      <rPr>
        <b/>
        <sz val="12"/>
        <rFont val="宋体"/>
        <family val="3"/>
        <charset val="134"/>
      </rPr>
      <t>楼面单价</t>
    </r>
    <phoneticPr fontId="20"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</si>
  <si>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</si>
  <si>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</si>
  <si>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</si>
  <si>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</si>
  <si>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</si>
  <si>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</si>
  <si>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</si>
  <si>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</si>
  <si>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</si>
  <si>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</si>
  <si>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</si>
  <si>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</si>
  <si>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</si>
  <si>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</si>
  <si>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</si>
  <si>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0"/>
        <color indexed="8"/>
        <rFont val="宋体"/>
        <family val="3"/>
        <charset val="134"/>
      </rPr>
      <t>一年期存款利率</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</si>
  <si>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</si>
  <si>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</si>
  <si>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</si>
  <si>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</si>
  <si>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</si>
  <si>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</si>
  <si>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</si>
  <si>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</si>
  <si>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</si>
  <si>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</si>
  <si>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</si>
  <si>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</si>
  <si>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</si>
  <si>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</si>
  <si>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</si>
  <si>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</si>
  <si>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</si>
  <si>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</si>
  <si>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</si>
  <si>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rPr>
        <sz val="10"/>
        <color indexed="8"/>
        <rFont val="宋体"/>
        <family val="3"/>
        <charset val="134"/>
      </rPr>
      <t>相关税费</t>
    </r>
  </si>
  <si>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</si>
  <si>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</si>
  <si>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</si>
  <si>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</si>
  <si>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</si>
  <si>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</si>
  <si>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</si>
  <si>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</si>
  <si>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</si>
  <si>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</si>
  <si>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</si>
  <si>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</si>
  <si>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</si>
  <si>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</si>
  <si>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</si>
  <si>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</si>
  <si>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</si>
  <si>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</si>
  <si>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</si>
  <si>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</si>
  <si>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</si>
  <si>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</si>
  <si>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</si>
  <si>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</si>
  <si>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</si>
  <si>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</si>
  <si>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</si>
  <si>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</si>
  <si>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</si>
  <si>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</si>
  <si>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</si>
  <si>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</si>
  <si>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</si>
  <si>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</si>
  <si>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</si>
  <si>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</si>
  <si>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</si>
  <si>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</si>
  <si>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</si>
  <si>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</si>
  <si>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</si>
  <si>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</si>
  <si>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</si>
  <si>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</si>
  <si>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</si>
  <si>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</si>
  <si>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</si>
  <si>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</si>
  <si>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综合税率</t>
    </r>
    <phoneticPr fontId="22"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</si>
  <si>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</si>
  <si>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</si>
  <si>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</si>
  <si>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b/>
        <sz val="10"/>
        <color indexed="8"/>
        <rFont val="宋体"/>
        <family val="3"/>
        <charset val="134"/>
      </rPr>
      <t>收益价值</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</si>
  <si>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2"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</si>
  <si>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</si>
  <si>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</si>
  <si>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</si>
  <si>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0"/>
        <color indexed="8"/>
        <rFont val="宋体"/>
        <family val="3"/>
        <charset val="134"/>
      </rPr>
      <t>租金收入</t>
    </r>
    <phoneticPr fontId="5" type="noConversion"/>
  </si>
  <si>
    <r>
      <rPr>
        <sz val="10"/>
        <color indexed="8"/>
        <rFont val="宋体"/>
        <family val="3"/>
        <charset val="134"/>
      </rPr>
      <t>市场租金</t>
    </r>
    <phoneticPr fontId="5" type="noConversion"/>
  </si>
  <si>
    <r>
      <t>2</t>
    </r>
    <r>
      <rPr>
        <sz val="10"/>
        <color indexed="8"/>
        <rFont val="宋体"/>
        <family val="3"/>
        <charset val="134"/>
      </rPr>
      <t>）</t>
    </r>
  </si>
  <si>
    <r>
      <rPr>
        <sz val="10"/>
        <color indexed="8"/>
        <rFont val="宋体"/>
        <family val="3"/>
        <charset val="134"/>
      </rPr>
      <t>房产税</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</si>
  <si>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</si>
  <si>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</si>
  <si>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</si>
  <si>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</si>
  <si>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</si>
  <si>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</si>
  <si>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</si>
  <si>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</si>
  <si>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</si>
  <si>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</si>
  <si>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</si>
  <si>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</si>
  <si>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</si>
  <si>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</si>
  <si>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</si>
  <si>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</si>
  <si>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土地收益比率</t>
    </r>
    <phoneticPr fontId="5" type="noConversion"/>
  </si>
  <si>
    <r>
      <rPr>
        <sz val="10"/>
        <rFont val="宋体"/>
        <family val="3"/>
        <charset val="134"/>
      </rPr>
      <t>建筑物收益比率</t>
    </r>
    <phoneticPr fontId="5" type="noConversion"/>
  </si>
  <si>
    <r>
      <t>2.</t>
    </r>
    <r>
      <rPr>
        <b/>
        <sz val="10"/>
        <color indexed="10"/>
        <rFont val="宋体"/>
        <family val="3"/>
        <charset val="134"/>
      </rPr>
      <t>成本比率</t>
    </r>
    <phoneticPr fontId="5" type="noConversion"/>
  </si>
  <si>
    <r>
      <rPr>
        <sz val="10"/>
        <color indexed="8"/>
        <rFont val="宋体"/>
        <family val="3"/>
        <charset val="134"/>
      </rPr>
      <t>土地成本比率</t>
    </r>
    <phoneticPr fontId="5" type="noConversion"/>
  </si>
  <si>
    <r>
      <rPr>
        <sz val="10"/>
        <color indexed="8"/>
        <rFont val="宋体"/>
        <family val="3"/>
        <charset val="134"/>
      </rPr>
      <t>建筑物成本比率</t>
    </r>
    <phoneticPr fontId="5" type="noConversion"/>
  </si>
  <si>
    <r>
      <rPr>
        <b/>
        <sz val="10"/>
        <rFont val="宋体"/>
        <family val="3"/>
        <charset val="134"/>
      </rPr>
      <t>总价</t>
    </r>
    <phoneticPr fontId="20" type="noConversion"/>
  </si>
  <si>
    <r>
      <rPr>
        <sz val="10"/>
        <rFont val="宋体"/>
        <family val="3"/>
        <charset val="134"/>
      </rPr>
      <t>万元</t>
    </r>
    <phoneticPr fontId="5" type="noConversion"/>
  </si>
  <si>
    <r>
      <rPr>
        <b/>
        <sz val="10"/>
        <rFont val="宋体"/>
        <family val="3"/>
        <charset val="134"/>
      </rPr>
      <t>楼面单价</t>
    </r>
    <phoneticPr fontId="20" type="noConversion"/>
  </si>
  <si>
    <r>
      <rPr>
        <sz val="10"/>
        <rFont val="宋体"/>
        <family val="3"/>
        <charset val="134"/>
      </rPr>
      <t>元</t>
    </r>
    <r>
      <rPr>
        <sz val="10"/>
        <rFont val="Arial"/>
        <family val="2"/>
      </rPr>
      <t>/</t>
    </r>
    <r>
      <rPr>
        <sz val="10"/>
        <rFont val="宋体"/>
        <family val="3"/>
        <charset val="134"/>
      </rPr>
      <t>平方米</t>
    </r>
    <phoneticPr fontId="5" type="noConversion"/>
  </si>
  <si>
    <r>
      <rPr>
        <b/>
        <sz val="10"/>
        <color rgb="FFFF0000"/>
        <rFont val="宋体"/>
        <family val="3"/>
        <charset val="134"/>
      </rPr>
      <t>计算建筑物剩余价值折现</t>
    </r>
    <phoneticPr fontId="5" type="noConversion"/>
  </si>
  <si>
    <r>
      <rPr>
        <b/>
        <sz val="10"/>
        <color rgb="FFFF0000"/>
        <rFont val="宋体"/>
        <family val="3"/>
        <charset val="134"/>
      </rPr>
      <t>承租人权益价值</t>
    </r>
    <phoneticPr fontId="5" type="noConversion"/>
  </si>
  <si>
    <r>
      <rPr>
        <b/>
        <sz val="10"/>
        <color rgb="FFFF0000"/>
        <rFont val="宋体"/>
        <family val="3"/>
        <charset val="134"/>
      </rPr>
      <t>超出收益期的土地使用年限或建筑物价值折现计算</t>
    </r>
    <phoneticPr fontId="5"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</si>
  <si>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</si>
  <si>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</si>
  <si>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</si>
  <si>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</si>
  <si>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5" type="noConversion"/>
  </si>
  <si>
    <r>
      <rPr>
        <sz val="10"/>
        <rFont val="宋体"/>
        <family val="3"/>
        <charset val="134"/>
      </rPr>
      <t>土地使用年限</t>
    </r>
    <phoneticPr fontId="5" type="noConversion"/>
  </si>
  <si>
    <r>
      <rPr>
        <sz val="10"/>
        <color theme="1"/>
        <rFont val="宋体"/>
        <family val="3"/>
        <charset val="134"/>
      </rPr>
      <t>收益期内收益价值（万元）</t>
    </r>
    <phoneticPr fontId="5" type="noConversion"/>
  </si>
  <si>
    <r>
      <rPr>
        <sz val="10"/>
        <color theme="1"/>
        <rFont val="宋体"/>
        <family val="3"/>
        <charset val="134"/>
      </rPr>
      <t>依前述测算</t>
    </r>
  </si>
  <si>
    <r>
      <rPr>
        <sz val="10"/>
        <rFont val="宋体"/>
        <family val="3"/>
        <charset val="134"/>
      </rPr>
      <t>建筑使用方向</t>
    </r>
    <phoneticPr fontId="5" type="noConversion"/>
  </si>
  <si>
    <r>
      <rPr>
        <sz val="10"/>
        <color theme="1"/>
        <rFont val="宋体"/>
        <family val="3"/>
        <charset val="134"/>
      </rPr>
      <t>剩余土地使用年限</t>
    </r>
    <phoneticPr fontId="5" type="noConversion"/>
  </si>
  <si>
    <r>
      <rPr>
        <sz val="10"/>
        <color theme="1"/>
        <rFont val="宋体"/>
        <family val="3"/>
        <charset val="134"/>
      </rPr>
      <t>建筑物在收益期结束时的价值折现到价值时点的价值（万元）</t>
    </r>
    <phoneticPr fontId="5"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</si>
  <si>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</si>
  <si>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5" type="noConversion"/>
  </si>
  <si>
    <r>
      <rPr>
        <sz val="10"/>
        <color theme="1"/>
        <rFont val="宋体"/>
        <family val="3"/>
        <charset val="134"/>
      </rPr>
      <t>比较法土地结果</t>
    </r>
    <phoneticPr fontId="5" type="noConversion"/>
  </si>
  <si>
    <r>
      <rPr>
        <sz val="10"/>
        <color theme="1"/>
        <rFont val="宋体"/>
        <family val="3"/>
        <charset val="134"/>
      </rPr>
      <t>建筑物重置价值（万元）</t>
    </r>
    <phoneticPr fontId="5" type="noConversion"/>
  </si>
  <si>
    <r>
      <rPr>
        <sz val="10"/>
        <rFont val="宋体"/>
        <family val="3"/>
        <charset val="134"/>
      </rPr>
      <t>建筑物耐用年限</t>
    </r>
    <phoneticPr fontId="5" type="noConversion"/>
  </si>
  <si>
    <r>
      <rPr>
        <sz val="10"/>
        <color theme="1"/>
        <rFont val="宋体"/>
        <family val="3"/>
        <charset val="134"/>
      </rPr>
      <t>基准地价土地结果</t>
    </r>
    <phoneticPr fontId="5" type="noConversion"/>
  </si>
  <si>
    <r>
      <rPr>
        <sz val="10"/>
        <color theme="1"/>
        <rFont val="宋体"/>
        <family val="3"/>
        <charset val="134"/>
      </rPr>
      <t>成新率（</t>
    </r>
    <r>
      <rPr>
        <sz val="10"/>
        <color theme="1"/>
        <rFont val="Arial"/>
        <family val="2"/>
      </rPr>
      <t>%</t>
    </r>
    <r>
      <rPr>
        <sz val="10"/>
        <color theme="1"/>
        <rFont val="宋体"/>
        <family val="3"/>
        <charset val="134"/>
      </rPr>
      <t>）</t>
    </r>
    <phoneticPr fontId="5" type="noConversion"/>
  </si>
  <si>
    <r>
      <rPr>
        <sz val="10"/>
        <rFont val="宋体"/>
        <family val="3"/>
        <charset val="134"/>
      </rPr>
      <t>建筑物剩余耐用年限</t>
    </r>
    <phoneticPr fontId="5" type="noConversion"/>
  </si>
  <si>
    <r>
      <rPr>
        <sz val="10"/>
        <rFont val="宋体"/>
        <family val="3"/>
        <charset val="134"/>
      </rPr>
      <t>收益还原法土地结果</t>
    </r>
    <phoneticPr fontId="5"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</si>
  <si>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5" type="noConversion"/>
  </si>
  <si>
    <r>
      <rPr>
        <sz val="10"/>
        <rFont val="宋体"/>
        <family val="3"/>
        <charset val="134"/>
      </rPr>
      <t>建筑物报酬率</t>
    </r>
    <phoneticPr fontId="5" type="noConversion"/>
  </si>
  <si>
    <r>
      <rPr>
        <sz val="10"/>
        <rFont val="宋体"/>
        <family val="3"/>
        <charset val="134"/>
      </rPr>
      <t>土地报酬率</t>
    </r>
    <phoneticPr fontId="5"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</si>
  <si>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</si>
  <si>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</si>
  <si>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</si>
  <si>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</si>
  <si>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theme="1"/>
        <rFont val="宋体"/>
        <family val="3"/>
        <charset val="134"/>
      </rPr>
      <t>收益价值（万元）</t>
    </r>
    <phoneticPr fontId="5"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</si>
  <si>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5" type="noConversion"/>
  </si>
  <si>
    <r>
      <rPr>
        <b/>
        <sz val="10"/>
        <rFont val="宋体"/>
        <family val="3"/>
        <charset val="134"/>
      </rPr>
      <t>建筑物计算</t>
    </r>
    <phoneticPr fontId="5" type="noConversion"/>
  </si>
  <si>
    <r>
      <rPr>
        <b/>
        <sz val="10"/>
        <rFont val="宋体"/>
        <family val="3"/>
        <charset val="134"/>
      </rPr>
      <t>土地使用权计算</t>
    </r>
    <phoneticPr fontId="5" type="noConversion"/>
  </si>
  <si>
    <r>
      <rPr>
        <sz val="10"/>
        <rFont val="宋体"/>
        <family val="3"/>
        <charset val="134"/>
      </rPr>
      <t>收益还原</t>
    </r>
  </si>
  <si>
    <r>
      <rPr>
        <sz val="10"/>
        <rFont val="宋体"/>
        <family val="3"/>
        <charset val="134"/>
      </rPr>
      <t>是否约定土地使用期结束后无偿收回房地产（非住宅）</t>
    </r>
    <phoneticPr fontId="5" type="noConversion"/>
  </si>
  <si>
    <r>
      <rPr>
        <sz val="10"/>
        <rFont val="宋体"/>
        <family val="3"/>
        <charset val="134"/>
      </rPr>
      <t>建筑物耐用年限结束后剩余土地使用年限</t>
    </r>
    <phoneticPr fontId="5" type="noConversion"/>
  </si>
  <si>
    <r>
      <rPr>
        <sz val="10"/>
        <rFont val="宋体"/>
        <family val="3"/>
        <charset val="134"/>
      </rPr>
      <t>土地使用年限结束后建筑物耐用年期</t>
    </r>
    <phoneticPr fontId="5" type="noConversion"/>
  </si>
  <si>
    <r>
      <rPr>
        <sz val="10"/>
        <rFont val="宋体"/>
        <family val="3"/>
        <charset val="134"/>
      </rPr>
      <t>价值时点下的土地价值（土地购买价格）</t>
    </r>
    <r>
      <rPr>
        <sz val="10"/>
        <rFont val="Arial"/>
        <family val="2"/>
      </rPr>
      <t>Vn</t>
    </r>
    <phoneticPr fontId="5" type="noConversion"/>
  </si>
  <si>
    <r>
      <rPr>
        <sz val="10"/>
        <color theme="1"/>
        <rFont val="宋体"/>
        <family val="3"/>
        <charset val="134"/>
      </rPr>
      <t>剩余土地价值折现到价值时点的价值（万元）</t>
    </r>
    <phoneticPr fontId="5"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</si>
  <si>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5" type="noConversion"/>
  </si>
  <si>
    <r>
      <rPr>
        <sz val="10"/>
        <rFont val="宋体"/>
        <family val="3"/>
        <charset val="134"/>
      </rPr>
      <t>土地使用年限结束后建筑物成新度</t>
    </r>
    <phoneticPr fontId="5" type="noConversion"/>
  </si>
  <si>
    <r>
      <rPr>
        <sz val="10"/>
        <rFont val="宋体"/>
        <family val="3"/>
        <charset val="134"/>
      </rPr>
      <t>剩余土地使用年期下的土地年期修正系数</t>
    </r>
    <r>
      <rPr>
        <sz val="10"/>
        <rFont val="Arial"/>
        <family val="2"/>
      </rPr>
      <t>KN</t>
    </r>
    <phoneticPr fontId="5"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</si>
  <si>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5" type="noConversion"/>
  </si>
  <si>
    <r>
      <rPr>
        <sz val="10"/>
        <rFont val="宋体"/>
        <family val="3"/>
        <charset val="134"/>
      </rPr>
      <t>土地使用年限结束后建筑物现值</t>
    </r>
    <phoneticPr fontId="5"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</si>
  <si>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5" type="noConversion"/>
  </si>
  <si>
    <r>
      <rPr>
        <b/>
        <sz val="10"/>
        <rFont val="宋体"/>
        <family val="3"/>
        <charset val="134"/>
      </rPr>
      <t>建筑物剩余价值折现值</t>
    </r>
    <phoneticPr fontId="5" type="noConversion"/>
  </si>
  <si>
    <r>
      <rPr>
        <b/>
        <sz val="10"/>
        <rFont val="宋体"/>
        <family val="3"/>
        <charset val="134"/>
      </rPr>
      <t>剩余土地价值折现值</t>
    </r>
    <phoneticPr fontId="5"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</si>
  <si>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</si>
  <si>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</si>
  <si>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</si>
  <si>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</si>
  <si>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</si>
  <si>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</si>
  <si>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</si>
  <si>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5" type="noConversion"/>
  </si>
  <si>
    <r>
      <rPr>
        <sz val="10"/>
        <color theme="1"/>
        <rFont val="宋体"/>
        <family val="3"/>
        <charset val="134"/>
      </rPr>
      <t>收益价值（万元）</t>
    </r>
    <phoneticPr fontId="5" type="noConversion"/>
  </si>
  <si>
    <r>
      <rPr>
        <sz val="10"/>
        <rFont val="宋体"/>
        <family val="3"/>
        <charset val="134"/>
      </rPr>
      <t>钢</t>
    </r>
    <phoneticPr fontId="5"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</si>
  <si>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5" type="noConversion"/>
  </si>
  <si>
    <r>
      <rPr>
        <sz val="10"/>
        <rFont val="宋体"/>
        <family val="3"/>
        <charset val="134"/>
      </rPr>
      <t>钢混</t>
    </r>
    <phoneticPr fontId="5" type="noConversion"/>
  </si>
  <si>
    <r>
      <rPr>
        <sz val="10"/>
        <rFont val="宋体"/>
        <family val="3"/>
        <charset val="134"/>
      </rPr>
      <t>砖混</t>
    </r>
    <phoneticPr fontId="5" type="noConversion"/>
  </si>
  <si>
    <r>
      <rPr>
        <sz val="10"/>
        <color theme="1"/>
        <rFont val="宋体"/>
        <family val="3"/>
        <charset val="134"/>
      </rPr>
      <t>收益期内收益价值（万元）</t>
    </r>
    <phoneticPr fontId="5"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</si>
  <si>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</si>
  <si>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5"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</si>
  <si>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5" type="noConversion"/>
  </si>
  <si>
    <r>
      <rPr>
        <sz val="10"/>
        <color rgb="FF000000"/>
        <rFont val="宋体"/>
        <family val="3"/>
        <charset val="134"/>
      </rPr>
      <t>房地纯收益（万元）</t>
    </r>
    <phoneticPr fontId="5" type="noConversion"/>
  </si>
  <si>
    <r>
      <rPr>
        <sz val="10"/>
        <color rgb="FF000000"/>
        <rFont val="宋体"/>
        <family val="3"/>
        <charset val="134"/>
      </rPr>
      <t>建筑物现值（万元）</t>
    </r>
    <phoneticPr fontId="5"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</si>
  <si>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5"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</si>
  <si>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5" type="noConversion"/>
  </si>
  <si>
    <r>
      <rPr>
        <b/>
        <sz val="12"/>
        <rFont val="宋体"/>
        <family val="3"/>
        <charset val="134"/>
      </rPr>
      <t>租约外</t>
    </r>
    <phoneticPr fontId="5" type="noConversion"/>
  </si>
  <si>
    <r>
      <rPr>
        <b/>
        <sz val="16"/>
        <color indexed="10"/>
        <rFont val="宋体"/>
        <family val="3"/>
        <charset val="134"/>
      </rPr>
      <t>收益法</t>
    </r>
    <r>
      <rPr>
        <b/>
        <sz val="12"/>
        <rFont val="宋体"/>
        <family val="3"/>
        <charset val="134"/>
      </rPr>
      <t>（无租约及租期内）</t>
    </r>
    <phoneticPr fontId="5" type="noConversion"/>
  </si>
  <si>
    <r>
      <rPr>
        <b/>
        <sz val="10"/>
        <rFont val="宋体"/>
        <family val="3"/>
        <charset val="134"/>
      </rPr>
      <t>总价</t>
    </r>
    <phoneticPr fontId="20" type="noConversion"/>
  </si>
  <si>
    <r>
      <rPr>
        <sz val="10"/>
        <rFont val="宋体"/>
        <family val="3"/>
        <charset val="134"/>
      </rPr>
      <t>万元</t>
    </r>
    <phoneticPr fontId="5" type="noConversion"/>
  </si>
  <si>
    <r>
      <rPr>
        <sz val="10"/>
        <rFont val="宋体"/>
        <family val="3"/>
        <charset val="134"/>
      </rPr>
      <t>元</t>
    </r>
    <phoneticPr fontId="148" type="noConversion"/>
  </si>
  <si>
    <r>
      <rPr>
        <b/>
        <sz val="10"/>
        <rFont val="宋体"/>
        <family val="3"/>
        <charset val="134"/>
      </rPr>
      <t>楼面单价</t>
    </r>
    <phoneticPr fontId="20" type="noConversion"/>
  </si>
  <si>
    <r>
      <rPr>
        <sz val="10"/>
        <rFont val="宋体"/>
        <family val="3"/>
        <charset val="134"/>
      </rPr>
      <t>元</t>
    </r>
    <r>
      <rPr>
        <sz val="10"/>
        <rFont val="Arial"/>
        <family val="2"/>
      </rPr>
      <t>/</t>
    </r>
    <r>
      <rPr>
        <sz val="10"/>
        <rFont val="宋体"/>
        <family val="3"/>
        <charset val="134"/>
      </rPr>
      <t>平方米</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</si>
  <si>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</si>
  <si>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</si>
  <si>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</si>
  <si>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</si>
  <si>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</si>
  <si>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</si>
  <si>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5" type="noConversion"/>
  </si>
  <si>
    <r>
      <rPr>
        <i/>
        <sz val="10"/>
        <color indexed="8"/>
        <rFont val="宋体"/>
        <family val="3"/>
        <charset val="134"/>
      </rPr>
      <t>（合同押金）</t>
    </r>
    <phoneticPr fontId="5" type="noConversion"/>
  </si>
  <si>
    <r>
      <rPr>
        <i/>
        <sz val="10"/>
        <color indexed="8"/>
        <rFont val="宋体"/>
        <family val="3"/>
        <charset val="134"/>
      </rPr>
      <t>自定义押金</t>
    </r>
    <phoneticPr fontId="5" type="noConversion"/>
  </si>
  <si>
    <r>
      <rPr>
        <sz val="10"/>
        <color indexed="8"/>
        <rFont val="宋体"/>
        <family val="3"/>
        <charset val="134"/>
      </rPr>
      <t>元</t>
    </r>
    <phoneticPr fontId="148" type="noConversion"/>
  </si>
  <si>
    <r>
      <rPr>
        <sz val="10"/>
        <rFont val="宋体"/>
        <family val="3"/>
        <charset val="134"/>
      </rPr>
      <t>价值时点下的土地价值（土地购买价格）</t>
    </r>
    <phoneticPr fontId="5" type="noConversion"/>
  </si>
  <si>
    <r>
      <rPr>
        <sz val="10"/>
        <color theme="1"/>
        <rFont val="宋体"/>
        <family val="3"/>
        <charset val="134"/>
      </rPr>
      <t>剩余土地价值折现到价值时点的价值（万元）</t>
    </r>
    <phoneticPr fontId="5"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</si>
  <si>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5" type="noConversion"/>
  </si>
  <si>
    <r>
      <rPr>
        <sz val="10"/>
        <rFont val="宋体"/>
        <family val="3"/>
        <charset val="134"/>
      </rPr>
      <t>剩余土地使用年期下的土地年期修正系数</t>
    </r>
    <phoneticPr fontId="5" type="noConversion"/>
  </si>
  <si>
    <r>
      <rPr>
        <b/>
        <sz val="14"/>
        <color theme="1"/>
        <rFont val="宋体"/>
        <family val="3"/>
        <charset val="134"/>
      </rPr>
      <t>估价方法：</t>
    </r>
    <phoneticPr fontId="89" type="noConversion"/>
  </si>
  <si>
    <r>
      <rPr>
        <sz val="14"/>
        <color theme="9" tint="-0.249977111117893"/>
        <rFont val="宋体"/>
        <family val="3"/>
        <charset val="134"/>
      </rPr>
      <t>（本页下方空白无内容）</t>
    </r>
  </si>
  <si>
    <r>
      <rPr>
        <b/>
        <sz val="18"/>
        <color theme="1"/>
        <rFont val="宋体"/>
        <family val="3"/>
        <charset val="134"/>
      </rPr>
      <t>评估意见函</t>
    </r>
    <phoneticPr fontId="89" type="noConversion"/>
  </si>
  <si>
    <r>
      <rPr>
        <b/>
        <sz val="14"/>
        <color rgb="FF000000"/>
        <rFont val="宋体"/>
        <family val="3"/>
        <charset val="134"/>
      </rPr>
      <t>估价对象：</t>
    </r>
    <phoneticPr fontId="89" type="noConversion"/>
  </si>
  <si>
    <r>
      <rPr>
        <b/>
        <i/>
        <sz val="14"/>
        <color theme="3" tint="0.39997558519241921"/>
        <rFont val="宋体"/>
        <family val="3"/>
        <charset val="134"/>
      </rPr>
      <t>现房：</t>
    </r>
    <phoneticPr fontId="89"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</si>
  <si>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90" type="noConversion"/>
  </si>
  <si>
    <r>
      <rPr>
        <b/>
        <i/>
        <sz val="14"/>
        <color theme="3" tint="0.39997558519241921"/>
        <rFont val="宋体"/>
        <family val="3"/>
        <charset val="134"/>
      </rPr>
      <t>在建：</t>
    </r>
    <phoneticPr fontId="89"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</si>
  <si>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90" type="noConversion"/>
  </si>
  <si>
    <r>
      <rPr>
        <b/>
        <sz val="14"/>
        <color rgb="FF000000"/>
        <rFont val="宋体"/>
        <family val="3"/>
        <charset val="134"/>
      </rPr>
      <t>估价目的：</t>
    </r>
    <phoneticPr fontId="89" type="noConversion"/>
  </si>
  <si>
    <r>
      <rPr>
        <b/>
        <sz val="14"/>
        <color theme="1"/>
        <rFont val="宋体"/>
        <family val="3"/>
        <charset val="134"/>
      </rPr>
      <t>价值时点：</t>
    </r>
    <phoneticPr fontId="89" type="noConversion"/>
  </si>
  <si>
    <r>
      <rPr>
        <b/>
        <sz val="14"/>
        <color theme="1"/>
        <rFont val="宋体"/>
        <family val="3"/>
        <charset val="134"/>
      </rPr>
      <t>价值类型：</t>
    </r>
    <phoneticPr fontId="89"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</si>
  <si>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9" type="noConversion"/>
  </si>
  <si>
    <r>
      <rPr>
        <b/>
        <sz val="14"/>
        <color theme="1"/>
        <rFont val="宋体"/>
        <family val="3"/>
        <charset val="134"/>
      </rPr>
      <t>估价结果：</t>
    </r>
    <phoneticPr fontId="89" type="noConversion"/>
  </si>
  <si>
    <r>
      <t>1.</t>
    </r>
    <r>
      <rPr>
        <b/>
        <sz val="12"/>
        <color indexed="8"/>
        <rFont val="宋体"/>
        <family val="3"/>
        <charset val="134"/>
      </rPr>
      <t>房地产价值</t>
    </r>
    <phoneticPr fontId="89" type="noConversion"/>
  </si>
  <si>
    <r>
      <rPr>
        <b/>
        <sz val="12"/>
        <color theme="1"/>
        <rFont val="宋体"/>
        <family val="3"/>
        <charset val="134"/>
      </rPr>
      <t>总价</t>
    </r>
    <phoneticPr fontId="89" type="noConversion"/>
  </si>
  <si>
    <r>
      <rPr>
        <b/>
        <sz val="12"/>
        <color theme="1"/>
        <rFont val="宋体"/>
        <family val="3"/>
        <charset val="134"/>
      </rPr>
      <t>大写金额</t>
    </r>
    <phoneticPr fontId="91" type="noConversion"/>
  </si>
  <si>
    <r>
      <rPr>
        <sz val="12"/>
        <color theme="1"/>
        <rFont val="宋体"/>
        <family val="3"/>
        <charset val="134"/>
      </rPr>
      <t>单价</t>
    </r>
    <phoneticPr fontId="89" type="noConversion"/>
  </si>
  <si>
    <r>
      <rPr>
        <b/>
        <sz val="12"/>
        <color rgb="FF000000"/>
        <rFont val="宋体"/>
        <family val="3"/>
        <charset val="134"/>
      </rPr>
      <t>总额</t>
    </r>
    <phoneticPr fontId="89" type="noConversion"/>
  </si>
  <si>
    <r>
      <rPr>
        <sz val="12"/>
        <color rgb="FF000000"/>
        <rFont val="宋体"/>
        <family val="3"/>
        <charset val="134"/>
      </rPr>
      <t>总额</t>
    </r>
    <phoneticPr fontId="89" type="noConversion"/>
  </si>
  <si>
    <r>
      <rPr>
        <sz val="14"/>
        <color theme="1"/>
        <rFont val="宋体"/>
        <family val="3"/>
        <charset val="134"/>
      </rPr>
      <t>（转下页）</t>
    </r>
    <phoneticPr fontId="91"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</si>
  <si>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9" type="noConversion"/>
  </si>
  <si>
    <r>
      <rPr>
        <b/>
        <sz val="14"/>
        <color theme="1"/>
        <rFont val="宋体"/>
        <family val="3"/>
        <charset val="134"/>
      </rPr>
      <t>结果表</t>
    </r>
    <r>
      <rPr>
        <b/>
        <sz val="14"/>
        <color theme="1"/>
        <rFont val="Arial"/>
        <family val="2"/>
      </rPr>
      <t>-1</t>
    </r>
    <phoneticPr fontId="91"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</si>
  <si>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9" type="noConversion"/>
  </si>
  <si>
    <r>
      <rPr>
        <sz val="12"/>
        <color rgb="FF000000"/>
        <rFont val="宋体"/>
        <family val="3"/>
        <charset val="134"/>
      </rPr>
      <t>总额</t>
    </r>
    <phoneticPr fontId="89"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</si>
  <si>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9" type="noConversion"/>
  </si>
  <si>
    <r>
      <rPr>
        <sz val="12"/>
        <color theme="1"/>
        <rFont val="宋体"/>
        <family val="3"/>
        <charset val="134"/>
      </rPr>
      <t>单价</t>
    </r>
    <phoneticPr fontId="89" type="noConversion"/>
  </si>
  <si>
    <r>
      <rPr>
        <b/>
        <sz val="12"/>
        <color theme="1"/>
        <rFont val="宋体"/>
        <family val="3"/>
        <charset val="134"/>
      </rPr>
      <t>总价</t>
    </r>
    <phoneticPr fontId="89" type="noConversion"/>
  </si>
  <si>
    <r>
      <rPr>
        <b/>
        <sz val="12"/>
        <color theme="1"/>
        <rFont val="宋体"/>
        <family val="3"/>
        <charset val="134"/>
      </rPr>
      <t>大写金额</t>
    </r>
    <phoneticPr fontId="91"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</si>
  <si>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91"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</si>
  <si>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</si>
  <si>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</si>
  <si>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</si>
  <si>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91" type="noConversion"/>
  </si>
  <si>
    <r>
      <rPr>
        <sz val="12"/>
        <color indexed="8"/>
        <rFont val="宋体"/>
        <family val="3"/>
        <charset val="134"/>
      </rPr>
      <t>建筑面积</t>
    </r>
    <phoneticPr fontId="89"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</si>
  <si>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9" type="noConversion"/>
  </si>
  <si>
    <r>
      <rPr>
        <sz val="12"/>
        <color indexed="8"/>
        <rFont val="宋体"/>
        <family val="3"/>
        <charset val="134"/>
      </rPr>
      <t>楼面单价</t>
    </r>
    <phoneticPr fontId="89"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</si>
  <si>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9"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</si>
  <si>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</si>
  <si>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</si>
  <si>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</si>
  <si>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</si>
  <si>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</si>
  <si>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5" type="noConversion"/>
  </si>
  <si>
    <r>
      <rPr>
        <b/>
        <sz val="14"/>
        <color theme="1"/>
        <rFont val="宋体"/>
        <family val="3"/>
        <charset val="134"/>
      </rPr>
      <t>其他评估专业人员</t>
    </r>
    <phoneticPr fontId="96" type="noConversion"/>
  </si>
  <si>
    <r>
      <rPr>
        <sz val="14"/>
        <color theme="1"/>
        <rFont val="宋体"/>
        <family val="3"/>
        <charset val="134"/>
      </rPr>
      <t>相关资格或职称</t>
    </r>
  </si>
  <si>
    <r>
      <rPr>
        <b/>
        <sz val="14"/>
        <color theme="1"/>
        <rFont val="宋体"/>
        <family val="3"/>
        <charset val="134"/>
      </rPr>
      <t>特别提示：</t>
    </r>
    <phoneticPr fontId="5" type="noConversion"/>
  </si>
  <si>
    <r>
      <t>1.</t>
    </r>
    <r>
      <rPr>
        <sz val="12"/>
        <color indexed="8"/>
        <rFont val="宋体"/>
        <family val="3"/>
        <charset val="134"/>
      </rPr>
      <t>本《评估意见函》中所列估价结果为初评结果，准确金额以本公司出具的正式《房地产评估报告》为准。</t>
    </r>
    <phoneticPr fontId="95"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</si>
  <si>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6"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</si>
  <si>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</si>
  <si>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3" type="noConversion"/>
  </si>
  <si>
    <r>
      <t xml:space="preserve">    </t>
    </r>
    <r>
      <rPr>
        <sz val="14"/>
        <color theme="1"/>
        <rFont val="宋体"/>
        <family val="3"/>
        <charset val="134"/>
      </rPr>
      <t>顺致</t>
    </r>
    <phoneticPr fontId="5" type="noConversion"/>
  </si>
  <si>
    <r>
      <rPr>
        <sz val="14"/>
        <color theme="1"/>
        <rFont val="宋体"/>
        <family val="3"/>
        <charset val="134"/>
      </rPr>
      <t>商祺</t>
    </r>
    <phoneticPr fontId="5" type="noConversion"/>
  </si>
  <si>
    <r>
      <rPr>
        <sz val="14"/>
        <color theme="1"/>
        <rFont val="宋体"/>
        <family val="3"/>
        <charset val="134"/>
      </rPr>
      <t>北京康正宏基房地产评估有限公司</t>
    </r>
    <phoneticPr fontId="5"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</si>
  <si>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5" type="noConversion"/>
  </si>
  <si>
    <r>
      <rPr>
        <b/>
        <sz val="14"/>
        <color indexed="10"/>
        <rFont val="宋体"/>
        <family val="3"/>
        <charset val="134"/>
        <scheme val="minor"/>
      </rPr>
      <t>请用EXCEL2010以上版本打开，否则个别格式设置会与原表不一致，影响使用</t>
    </r>
    <phoneticPr fontId="36" type="noConversion"/>
  </si>
  <si>
    <r>
      <rPr>
        <sz val="11"/>
        <color indexed="8"/>
        <rFont val="宋体"/>
        <family val="3"/>
        <charset val="134"/>
        <scheme val="minor"/>
      </rPr>
      <t>无底纹单元格</t>
    </r>
    <phoneticPr fontId="36" type="noConversion"/>
  </si>
  <si>
    <r>
      <rPr>
        <sz val="11"/>
        <color indexed="8"/>
        <rFont val="宋体"/>
        <family val="3"/>
        <charset val="134"/>
        <scheme val="minor"/>
      </rPr>
      <t>黄色底纹单元格</t>
    </r>
    <phoneticPr fontId="36" type="noConversion"/>
  </si>
  <si>
    <r>
      <rPr>
        <sz val="11"/>
        <color indexed="8"/>
        <rFont val="宋体"/>
        <family val="3"/>
        <charset val="134"/>
        <scheme val="minor"/>
      </rPr>
      <t>灰色底纹单元格</t>
    </r>
    <phoneticPr fontId="36" type="noConversion"/>
  </si>
  <si>
    <r>
      <rPr>
        <sz val="11"/>
        <color indexed="8"/>
        <rFont val="宋体"/>
        <family val="3"/>
        <charset val="134"/>
        <scheme val="minor"/>
      </rPr>
      <t>红色底纹黄色字体</t>
    </r>
    <phoneticPr fontId="36" type="noConversion"/>
  </si>
  <si>
    <r>
      <rPr>
        <b/>
        <sz val="12"/>
        <color indexed="8"/>
        <rFont val="宋体"/>
        <family val="3"/>
        <charset val="134"/>
        <scheme val="minor"/>
      </rPr>
      <t>关注批注角标</t>
    </r>
    <phoneticPr fontId="36" type="noConversion"/>
  </si>
  <si>
    <r>
      <rPr>
        <sz val="11"/>
        <color indexed="8"/>
        <rFont val="宋体"/>
        <family val="3"/>
        <charset val="134"/>
        <scheme val="minor"/>
      </rPr>
      <t>基础表</t>
    </r>
    <phoneticPr fontId="5" type="noConversion"/>
  </si>
  <si>
    <r>
      <rPr>
        <sz val="11"/>
        <color indexed="8"/>
        <rFont val="宋体"/>
        <family val="3"/>
        <charset val="134"/>
        <scheme val="minor"/>
      </rPr>
      <t>数据表</t>
    </r>
    <phoneticPr fontId="5" type="noConversion"/>
  </si>
  <si>
    <r>
      <rPr>
        <sz val="11"/>
        <color indexed="8"/>
        <rFont val="宋体"/>
        <family val="3"/>
        <charset val="134"/>
        <scheme val="minor"/>
      </rPr>
      <t>汇总表</t>
    </r>
    <phoneticPr fontId="5" type="noConversion"/>
  </si>
  <si>
    <r>
      <rPr>
        <sz val="11"/>
        <color indexed="8"/>
        <rFont val="宋体"/>
        <family val="3"/>
        <charset val="134"/>
        <scheme val="minor"/>
      </rPr>
      <t>取费表</t>
    </r>
    <phoneticPr fontId="5" type="noConversion"/>
  </si>
  <si>
    <r>
      <rPr>
        <sz val="11"/>
        <color indexed="8"/>
        <rFont val="宋体"/>
        <family val="3"/>
        <charset val="134"/>
        <scheme val="minor"/>
      </rPr>
      <t>房地状况</t>
    </r>
    <phoneticPr fontId="5" type="noConversion"/>
  </si>
  <si>
    <r>
      <rPr>
        <sz val="11"/>
        <color indexed="8"/>
        <rFont val="宋体"/>
        <family val="3"/>
        <charset val="134"/>
        <scheme val="minor"/>
      </rPr>
      <t>结果表</t>
    </r>
    <phoneticPr fontId="5" type="noConversion"/>
  </si>
  <si>
    <r>
      <rPr>
        <sz val="11"/>
        <color indexed="8"/>
        <rFont val="宋体"/>
        <family val="3"/>
        <charset val="134"/>
        <scheme val="minor"/>
      </rPr>
      <t>方法</t>
    </r>
    <phoneticPr fontId="5" type="noConversion"/>
  </si>
  <si>
    <r>
      <rPr>
        <sz val="11"/>
        <color indexed="8"/>
        <rFont val="宋体"/>
        <family val="3"/>
        <charset val="134"/>
        <scheme val="minor"/>
      </rPr>
      <t>成本</t>
    </r>
    <phoneticPr fontId="5" type="noConversion"/>
  </si>
  <si>
    <r>
      <rPr>
        <sz val="11"/>
        <color indexed="8"/>
        <rFont val="宋体"/>
        <family val="3"/>
        <charset val="134"/>
        <scheme val="minor"/>
      </rPr>
      <t>假开</t>
    </r>
    <phoneticPr fontId="5" type="noConversion"/>
  </si>
  <si>
    <r>
      <rPr>
        <sz val="11"/>
        <color indexed="8"/>
        <rFont val="宋体"/>
        <family val="3"/>
        <charset val="134"/>
        <scheme val="minor"/>
      </rPr>
      <t>收益</t>
    </r>
    <phoneticPr fontId="5" type="noConversion"/>
  </si>
  <si>
    <r>
      <rPr>
        <sz val="11"/>
        <color indexed="8"/>
        <rFont val="宋体"/>
        <family val="3"/>
        <charset val="134"/>
        <scheme val="minor"/>
      </rPr>
      <t>比较</t>
    </r>
    <phoneticPr fontId="5" type="noConversion"/>
  </si>
  <si>
    <r>
      <rPr>
        <sz val="11"/>
        <color indexed="8"/>
        <rFont val="宋体"/>
        <family val="3"/>
        <charset val="134"/>
        <scheme val="minor"/>
      </rPr>
      <t>住宅</t>
    </r>
    <phoneticPr fontId="5" type="noConversion"/>
  </si>
  <si>
    <r>
      <rPr>
        <sz val="11"/>
        <color indexed="8"/>
        <rFont val="宋体"/>
        <family val="3"/>
        <charset val="134"/>
        <scheme val="minor"/>
      </rPr>
      <t>商业</t>
    </r>
    <phoneticPr fontId="5" type="noConversion"/>
  </si>
  <si>
    <r>
      <rPr>
        <sz val="11"/>
        <color indexed="8"/>
        <rFont val="宋体"/>
        <family val="3"/>
        <charset val="134"/>
        <scheme val="minor"/>
      </rPr>
      <t>办公</t>
    </r>
    <phoneticPr fontId="5" type="noConversion"/>
  </si>
  <si>
    <r>
      <rPr>
        <sz val="11"/>
        <color indexed="8"/>
        <rFont val="宋体"/>
        <family val="3"/>
        <charset val="134"/>
        <scheme val="minor"/>
      </rPr>
      <t>工业</t>
    </r>
    <phoneticPr fontId="36" type="noConversion"/>
  </si>
  <si>
    <r>
      <rPr>
        <sz val="11"/>
        <color indexed="8"/>
        <rFont val="宋体"/>
        <family val="3"/>
        <charset val="134"/>
        <scheme val="minor"/>
      </rPr>
      <t>车位</t>
    </r>
    <phoneticPr fontId="36" type="noConversion"/>
  </si>
  <si>
    <r>
      <rPr>
        <sz val="11"/>
        <color indexed="8"/>
        <rFont val="宋体"/>
        <family val="3"/>
        <charset val="134"/>
        <scheme val="minor"/>
      </rPr>
      <t>仓储</t>
    </r>
    <phoneticPr fontId="36" type="noConversion"/>
  </si>
  <si>
    <r>
      <rPr>
        <sz val="11"/>
        <color indexed="8"/>
        <rFont val="宋体"/>
        <family val="3"/>
        <charset val="134"/>
        <scheme val="minor"/>
      </rPr>
      <t>土地-住宅、综合</t>
    </r>
    <phoneticPr fontId="36" type="noConversion"/>
  </si>
  <si>
    <r>
      <rPr>
        <sz val="11"/>
        <color indexed="8"/>
        <rFont val="宋体"/>
        <family val="3"/>
        <charset val="134"/>
        <scheme val="minor"/>
      </rPr>
      <t>土地-工业</t>
    </r>
    <phoneticPr fontId="36" type="noConversion"/>
  </si>
  <si>
    <r>
      <rPr>
        <sz val="11"/>
        <color indexed="8"/>
        <rFont val="宋体"/>
        <family val="3"/>
        <charset val="134"/>
        <scheme val="minor"/>
      </rPr>
      <t>典型户型修正</t>
    </r>
    <phoneticPr fontId="36" type="noConversion"/>
  </si>
  <si>
    <r>
      <rPr>
        <b/>
        <sz val="12"/>
        <color indexed="10"/>
        <rFont val="宋体"/>
        <family val="3"/>
        <charset val="134"/>
        <scheme val="minor"/>
      </rPr>
      <t>数据-基础表  面积录入特殊说明</t>
    </r>
    <phoneticPr fontId="36" type="noConversion"/>
  </si>
  <si>
    <r>
      <rPr>
        <sz val="11"/>
        <color indexed="8"/>
        <rFont val="宋体"/>
        <family val="3"/>
        <charset val="134"/>
        <scheme val="minor"/>
      </rPr>
      <t>估价方法</t>
    </r>
    <phoneticPr fontId="18" type="noConversion"/>
  </si>
  <si>
    <r>
      <rPr>
        <sz val="11"/>
        <color indexed="8"/>
        <rFont val="宋体"/>
        <family val="3"/>
        <charset val="134"/>
        <scheme val="minor"/>
      </rPr>
      <t>判定</t>
    </r>
    <phoneticPr fontId="18" type="noConversion"/>
  </si>
  <si>
    <r>
      <rPr>
        <sz val="11"/>
        <color indexed="8"/>
        <rFont val="宋体"/>
        <family val="3"/>
        <charset val="134"/>
        <scheme val="minor"/>
      </rPr>
      <t>位置</t>
    </r>
    <phoneticPr fontId="18" type="noConversion"/>
  </si>
  <si>
    <r>
      <rPr>
        <sz val="11"/>
        <color indexed="8"/>
        <rFont val="宋体"/>
        <family val="3"/>
        <charset val="134"/>
        <scheme val="minor"/>
      </rPr>
      <t>主用途</t>
    </r>
    <phoneticPr fontId="18" type="noConversion"/>
  </si>
  <si>
    <r>
      <rPr>
        <sz val="11"/>
        <color indexed="8"/>
        <rFont val="宋体"/>
        <family val="3"/>
        <charset val="134"/>
        <scheme val="minor"/>
      </rPr>
      <t>法定最高年限</t>
    </r>
    <phoneticPr fontId="18" type="noConversion"/>
  </si>
  <si>
    <r>
      <rPr>
        <sz val="11"/>
        <color indexed="8"/>
        <rFont val="宋体"/>
        <family val="3"/>
        <charset val="134"/>
        <scheme val="minor"/>
      </rPr>
      <t>地类判定</t>
    </r>
    <phoneticPr fontId="18" type="noConversion"/>
  </si>
  <si>
    <r>
      <rPr>
        <sz val="11"/>
        <color indexed="8"/>
        <rFont val="宋体"/>
        <family val="3"/>
        <charset val="134"/>
        <scheme val="minor"/>
      </rPr>
      <t>土地年限区间</t>
    </r>
    <phoneticPr fontId="18" type="noConversion"/>
  </si>
  <si>
    <r>
      <rPr>
        <sz val="11"/>
        <color indexed="8"/>
        <rFont val="宋体"/>
        <family val="3"/>
        <charset val="134"/>
        <scheme val="minor"/>
      </rPr>
      <t>类别</t>
    </r>
    <phoneticPr fontId="18" type="noConversion"/>
  </si>
  <si>
    <r>
      <rPr>
        <sz val="11"/>
        <color indexed="8"/>
        <rFont val="宋体"/>
        <family val="3"/>
        <charset val="134"/>
        <scheme val="minor"/>
      </rPr>
      <t>居住社区成熟度</t>
    </r>
    <phoneticPr fontId="18" type="noConversion"/>
  </si>
  <si>
    <r>
      <rPr>
        <sz val="11"/>
        <color indexed="8"/>
        <rFont val="宋体"/>
        <family val="3"/>
        <charset val="134"/>
        <scheme val="minor"/>
      </rPr>
      <t>商业繁华度</t>
    </r>
    <phoneticPr fontId="18" type="noConversion"/>
  </si>
  <si>
    <r>
      <rPr>
        <sz val="11"/>
        <color indexed="8"/>
        <rFont val="宋体"/>
        <family val="3"/>
        <charset val="134"/>
        <scheme val="minor"/>
      </rPr>
      <t>办公集聚程度</t>
    </r>
    <phoneticPr fontId="18" type="noConversion"/>
  </si>
  <si>
    <r>
      <rPr>
        <sz val="11"/>
        <color indexed="8"/>
        <rFont val="宋体"/>
        <family val="3"/>
        <charset val="134"/>
        <scheme val="minor"/>
      </rPr>
      <t>产业集聚程度</t>
    </r>
    <phoneticPr fontId="18" type="noConversion"/>
  </si>
  <si>
    <r>
      <rPr>
        <sz val="11"/>
        <color indexed="8"/>
        <rFont val="宋体"/>
        <family val="3"/>
        <charset val="134"/>
        <scheme val="minor"/>
      </rPr>
      <t>交通便捷度</t>
    </r>
    <phoneticPr fontId="18" type="noConversion"/>
  </si>
  <si>
    <r>
      <rPr>
        <sz val="11"/>
        <color indexed="8"/>
        <rFont val="宋体"/>
        <family val="3"/>
        <charset val="134"/>
        <scheme val="minor"/>
      </rPr>
      <t>环境质量</t>
    </r>
    <phoneticPr fontId="18" type="noConversion"/>
  </si>
  <si>
    <t>临街状况</t>
    <phoneticPr fontId="47" type="noConversion"/>
  </si>
  <si>
    <r>
      <rPr>
        <sz val="11"/>
        <color indexed="8"/>
        <rFont val="宋体"/>
        <family val="3"/>
        <charset val="134"/>
        <scheme val="minor"/>
      </rPr>
      <t>内部装修维护情况</t>
    </r>
    <phoneticPr fontId="18" type="noConversion"/>
  </si>
  <si>
    <r>
      <rPr>
        <sz val="11"/>
        <color indexed="8"/>
        <rFont val="宋体"/>
        <family val="3"/>
        <charset val="134"/>
        <scheme val="minor"/>
      </rPr>
      <t>单价内涵</t>
    </r>
    <phoneticPr fontId="18" type="noConversion"/>
  </si>
  <si>
    <r>
      <rPr>
        <sz val="11"/>
        <color indexed="8"/>
        <rFont val="宋体"/>
        <family val="3"/>
        <charset val="134"/>
        <scheme val="minor"/>
      </rPr>
      <t>成本法</t>
    </r>
    <phoneticPr fontId="18" type="noConversion"/>
  </si>
  <si>
    <r>
      <rPr>
        <sz val="11"/>
        <color indexed="8"/>
        <rFont val="宋体"/>
        <family val="3"/>
        <charset val="134"/>
        <scheme val="minor"/>
      </rPr>
      <t>是</t>
    </r>
    <phoneticPr fontId="18" type="noConversion"/>
  </si>
  <si>
    <r>
      <rPr>
        <sz val="11"/>
        <color indexed="8"/>
        <rFont val="宋体"/>
        <family val="3"/>
        <charset val="134"/>
        <scheme val="minor"/>
      </rPr>
      <t>地上</t>
    </r>
    <phoneticPr fontId="18" type="noConversion"/>
  </si>
  <si>
    <r>
      <rPr>
        <sz val="11"/>
        <color indexed="8"/>
        <rFont val="宋体"/>
        <family val="3"/>
        <charset val="134"/>
        <scheme val="minor"/>
      </rPr>
      <t>住宅</t>
    </r>
    <phoneticPr fontId="18" type="noConversion"/>
  </si>
  <si>
    <r>
      <t>60-70</t>
    </r>
    <r>
      <rPr>
        <sz val="11"/>
        <color indexed="8"/>
        <rFont val="宋体"/>
        <family val="3"/>
        <charset val="134"/>
        <scheme val="minor"/>
      </rPr>
      <t>（含）</t>
    </r>
    <phoneticPr fontId="18" type="noConversion"/>
  </si>
  <si>
    <r>
      <rPr>
        <sz val="11"/>
        <color indexed="8"/>
        <rFont val="宋体"/>
        <family val="3"/>
        <charset val="134"/>
        <scheme val="minor"/>
      </rPr>
      <t>经营性</t>
    </r>
    <phoneticPr fontId="18" type="noConversion"/>
  </si>
  <si>
    <r>
      <rPr>
        <sz val="11"/>
        <color indexed="8"/>
        <rFont val="宋体"/>
        <family val="3"/>
        <charset val="134"/>
        <scheme val="minor"/>
      </rPr>
      <t>好</t>
    </r>
  </si>
  <si>
    <r>
      <rPr>
        <sz val="11"/>
        <color indexed="8"/>
        <rFont val="宋体"/>
        <family val="3"/>
        <charset val="134"/>
        <scheme val="minor"/>
      </rPr>
      <t>多面临街</t>
    </r>
    <phoneticPr fontId="47" type="noConversion"/>
  </si>
  <si>
    <r>
      <rPr>
        <sz val="11"/>
        <color indexed="8"/>
        <rFont val="宋体"/>
        <family val="3"/>
        <charset val="134"/>
        <scheme val="minor"/>
      </rPr>
      <t>单位面积地价</t>
    </r>
    <phoneticPr fontId="18" type="noConversion"/>
  </si>
  <si>
    <r>
      <rPr>
        <sz val="11"/>
        <color indexed="8"/>
        <rFont val="宋体"/>
        <family val="3"/>
        <charset val="134"/>
        <scheme val="minor"/>
      </rPr>
      <t>平层住宅</t>
    </r>
    <phoneticPr fontId="18" type="noConversion"/>
  </si>
  <si>
    <r>
      <rPr>
        <sz val="11"/>
        <color indexed="8"/>
        <rFont val="宋体"/>
        <family val="3"/>
        <charset val="134"/>
        <scheme val="minor"/>
      </rPr>
      <t>否</t>
    </r>
    <phoneticPr fontId="18" type="noConversion"/>
  </si>
  <si>
    <r>
      <rPr>
        <sz val="11"/>
        <color indexed="8"/>
        <rFont val="宋体"/>
        <family val="3"/>
        <charset val="134"/>
        <scheme val="minor"/>
      </rPr>
      <t>商业</t>
    </r>
    <phoneticPr fontId="18" type="noConversion"/>
  </si>
  <si>
    <r>
      <t>50-60</t>
    </r>
    <r>
      <rPr>
        <sz val="11"/>
        <color indexed="8"/>
        <rFont val="宋体"/>
        <family val="3"/>
        <charset val="134"/>
        <scheme val="minor"/>
      </rPr>
      <t>（含）</t>
    </r>
    <phoneticPr fontId="18" type="noConversion"/>
  </si>
  <si>
    <r>
      <rPr>
        <sz val="11"/>
        <color indexed="8"/>
        <rFont val="宋体"/>
        <family val="3"/>
        <charset val="134"/>
        <scheme val="minor"/>
      </rPr>
      <t>非经营性</t>
    </r>
    <phoneticPr fontId="18" type="noConversion"/>
  </si>
  <si>
    <r>
      <rPr>
        <sz val="11"/>
        <color indexed="8"/>
        <rFont val="宋体"/>
        <family val="3"/>
        <charset val="134"/>
        <scheme val="minor"/>
      </rPr>
      <t>较好</t>
    </r>
  </si>
  <si>
    <r>
      <rPr>
        <sz val="11"/>
        <color indexed="8"/>
        <rFont val="宋体"/>
        <family val="3"/>
        <charset val="134"/>
        <scheme val="minor"/>
      </rPr>
      <t>双面临街</t>
    </r>
    <phoneticPr fontId="47" type="noConversion"/>
  </si>
  <si>
    <r>
      <rPr>
        <sz val="11"/>
        <color indexed="8"/>
        <rFont val="宋体"/>
        <family val="3"/>
        <charset val="134"/>
        <scheme val="minor"/>
      </rPr>
      <t>楼面地价</t>
    </r>
    <phoneticPr fontId="18" type="noConversion"/>
  </si>
  <si>
    <r>
      <t>LOFT</t>
    </r>
    <r>
      <rPr>
        <sz val="11"/>
        <color indexed="8"/>
        <rFont val="宋体"/>
        <family val="3"/>
        <charset val="134"/>
        <scheme val="minor"/>
      </rPr>
      <t>住宅</t>
    </r>
    <phoneticPr fontId="18" type="noConversion"/>
  </si>
  <si>
    <r>
      <rPr>
        <sz val="11"/>
        <color indexed="8"/>
        <rFont val="宋体"/>
        <family val="3"/>
        <charset val="134"/>
        <scheme val="minor"/>
      </rPr>
      <t>假设开发法</t>
    </r>
    <phoneticPr fontId="18" type="noConversion"/>
  </si>
  <si>
    <r>
      <rPr>
        <sz val="11"/>
        <color indexed="8"/>
        <rFont val="宋体"/>
        <family val="3"/>
        <charset val="134"/>
        <scheme val="minor"/>
      </rPr>
      <t>地下</t>
    </r>
    <phoneticPr fontId="18" type="noConversion"/>
  </si>
  <si>
    <r>
      <rPr>
        <sz val="11"/>
        <color indexed="8"/>
        <rFont val="宋体"/>
        <family val="3"/>
        <charset val="134"/>
        <scheme val="minor"/>
      </rPr>
      <t>办公</t>
    </r>
    <phoneticPr fontId="18" type="noConversion"/>
  </si>
  <si>
    <r>
      <t>40-50</t>
    </r>
    <r>
      <rPr>
        <sz val="11"/>
        <color indexed="8"/>
        <rFont val="宋体"/>
        <family val="3"/>
        <charset val="134"/>
        <scheme val="minor"/>
      </rPr>
      <t>（含）</t>
    </r>
    <phoneticPr fontId="18" type="noConversion"/>
  </si>
  <si>
    <r>
      <rPr>
        <sz val="11"/>
        <color indexed="8"/>
        <rFont val="宋体"/>
        <family val="3"/>
        <charset val="134"/>
        <scheme val="minor"/>
      </rPr>
      <t>一般</t>
    </r>
  </si>
  <si>
    <r>
      <rPr>
        <sz val="11"/>
        <color indexed="8"/>
        <rFont val="宋体"/>
        <family val="3"/>
        <charset val="134"/>
        <scheme val="minor"/>
      </rPr>
      <t>单面临街</t>
    </r>
    <phoneticPr fontId="47" type="noConversion"/>
  </si>
  <si>
    <r>
      <rPr>
        <sz val="11"/>
        <color indexed="8"/>
        <rFont val="宋体"/>
        <family val="3"/>
        <charset val="134"/>
        <scheme val="minor"/>
      </rPr>
      <t>普通住宅</t>
    </r>
    <phoneticPr fontId="18" type="noConversion"/>
  </si>
  <si>
    <r>
      <rPr>
        <sz val="11"/>
        <color indexed="8"/>
        <rFont val="宋体"/>
        <family val="3"/>
        <charset val="134"/>
        <scheme val="minor"/>
      </rPr>
      <t>收益法</t>
    </r>
    <phoneticPr fontId="18" type="noConversion"/>
  </si>
  <si>
    <r>
      <rPr>
        <sz val="11"/>
        <color indexed="8"/>
        <rFont val="宋体"/>
        <family val="3"/>
        <charset val="134"/>
        <scheme val="minor"/>
      </rPr>
      <t>工业</t>
    </r>
    <phoneticPr fontId="18" type="noConversion"/>
  </si>
  <si>
    <r>
      <rPr>
        <sz val="11"/>
        <color indexed="8"/>
        <rFont val="宋体"/>
        <family val="3"/>
        <charset val="134"/>
        <scheme val="minor"/>
      </rPr>
      <t>车库</t>
    </r>
    <phoneticPr fontId="18" type="noConversion"/>
  </si>
  <si>
    <r>
      <t>30-40</t>
    </r>
    <r>
      <rPr>
        <sz val="11"/>
        <color indexed="8"/>
        <rFont val="宋体"/>
        <family val="3"/>
        <charset val="134"/>
        <scheme val="minor"/>
      </rPr>
      <t>（含）</t>
    </r>
    <phoneticPr fontId="18" type="noConversion"/>
  </si>
  <si>
    <r>
      <rPr>
        <sz val="11"/>
        <color indexed="8"/>
        <rFont val="宋体"/>
        <family val="3"/>
        <charset val="134"/>
        <scheme val="minor"/>
      </rPr>
      <t>较差</t>
    </r>
  </si>
  <si>
    <r>
      <rPr>
        <sz val="11"/>
        <color indexed="8"/>
        <rFont val="宋体"/>
        <family val="3"/>
        <charset val="134"/>
        <scheme val="minor"/>
      </rPr>
      <t>不临街</t>
    </r>
    <phoneticPr fontId="47" type="noConversion"/>
  </si>
  <si>
    <r>
      <rPr>
        <sz val="11"/>
        <color indexed="8"/>
        <rFont val="宋体"/>
        <family val="3"/>
        <charset val="134"/>
        <scheme val="minor"/>
      </rPr>
      <t>公寓</t>
    </r>
    <phoneticPr fontId="18" type="noConversion"/>
  </si>
  <si>
    <r>
      <rPr>
        <sz val="11"/>
        <color indexed="8"/>
        <rFont val="宋体"/>
        <family val="3"/>
        <charset val="134"/>
        <scheme val="minor"/>
      </rPr>
      <t>仓储</t>
    </r>
    <phoneticPr fontId="18" type="noConversion"/>
  </si>
  <si>
    <r>
      <t>20-30</t>
    </r>
    <r>
      <rPr>
        <sz val="11"/>
        <color indexed="8"/>
        <rFont val="宋体"/>
        <family val="3"/>
        <charset val="134"/>
        <scheme val="minor"/>
      </rPr>
      <t>（含）</t>
    </r>
    <phoneticPr fontId="18" type="noConversion"/>
  </si>
  <si>
    <r>
      <rPr>
        <sz val="11"/>
        <color indexed="8"/>
        <rFont val="宋体"/>
        <family val="3"/>
        <charset val="134"/>
        <scheme val="minor"/>
      </rPr>
      <t>差</t>
    </r>
  </si>
  <si>
    <r>
      <rPr>
        <sz val="11"/>
        <color indexed="8"/>
        <rFont val="宋体"/>
        <family val="3"/>
        <charset val="134"/>
        <scheme val="minor"/>
      </rPr>
      <t>洋房</t>
    </r>
    <phoneticPr fontId="18" type="noConversion"/>
  </si>
  <si>
    <r>
      <rPr>
        <sz val="11"/>
        <color indexed="8"/>
        <rFont val="宋体"/>
        <family val="3"/>
        <charset val="134"/>
        <scheme val="minor"/>
      </rPr>
      <t>车库—商业</t>
    </r>
    <phoneticPr fontId="18" type="noConversion"/>
  </si>
  <si>
    <r>
      <rPr>
        <sz val="11"/>
        <color indexed="8"/>
        <rFont val="宋体"/>
        <family val="3"/>
        <charset val="134"/>
        <scheme val="minor"/>
      </rPr>
      <t>工业</t>
    </r>
    <phoneticPr fontId="18" type="noConversion"/>
  </si>
  <si>
    <r>
      <t>10-20</t>
    </r>
    <r>
      <rPr>
        <sz val="11"/>
        <color indexed="8"/>
        <rFont val="宋体"/>
        <family val="3"/>
        <charset val="134"/>
        <scheme val="minor"/>
      </rPr>
      <t>（含）</t>
    </r>
    <phoneticPr fontId="18" type="noConversion"/>
  </si>
  <si>
    <r>
      <rPr>
        <sz val="11"/>
        <color indexed="8"/>
        <rFont val="宋体"/>
        <family val="3"/>
        <charset val="134"/>
        <scheme val="minor"/>
      </rPr>
      <t>叠拼</t>
    </r>
    <phoneticPr fontId="18" type="noConversion"/>
  </si>
  <si>
    <r>
      <rPr>
        <sz val="11"/>
        <color indexed="8"/>
        <rFont val="宋体"/>
        <family val="3"/>
        <charset val="134"/>
        <scheme val="minor"/>
      </rPr>
      <t>比较法-住宅</t>
    </r>
    <phoneticPr fontId="18" type="noConversion"/>
  </si>
  <si>
    <r>
      <rPr>
        <sz val="11"/>
        <color indexed="8"/>
        <rFont val="宋体"/>
        <family val="3"/>
        <charset val="134"/>
        <scheme val="minor"/>
      </rPr>
      <t>车库—办公</t>
    </r>
    <phoneticPr fontId="18" type="noConversion"/>
  </si>
  <si>
    <r>
      <t>0-10</t>
    </r>
    <r>
      <rPr>
        <sz val="11"/>
        <color indexed="8"/>
        <rFont val="宋体"/>
        <family val="3"/>
        <charset val="134"/>
        <scheme val="minor"/>
      </rPr>
      <t>（含）</t>
    </r>
    <phoneticPr fontId="18" type="noConversion"/>
  </si>
  <si>
    <r>
      <rPr>
        <sz val="11"/>
        <color indexed="8"/>
        <rFont val="宋体"/>
        <family val="3"/>
        <charset val="134"/>
        <scheme val="minor"/>
      </rPr>
      <t>联排</t>
    </r>
    <phoneticPr fontId="18" type="noConversion"/>
  </si>
  <si>
    <r>
      <rPr>
        <sz val="11"/>
        <color indexed="8"/>
        <rFont val="宋体"/>
        <family val="3"/>
        <charset val="134"/>
        <scheme val="minor"/>
      </rPr>
      <t>比较法-商业</t>
    </r>
    <phoneticPr fontId="18" type="noConversion"/>
  </si>
  <si>
    <r>
      <rPr>
        <sz val="11"/>
        <color indexed="8"/>
        <rFont val="宋体"/>
        <family val="3"/>
        <charset val="134"/>
        <scheme val="minor"/>
      </rPr>
      <t>仓储</t>
    </r>
    <phoneticPr fontId="18" type="noConversion"/>
  </si>
  <si>
    <r>
      <rPr>
        <sz val="11"/>
        <color indexed="8"/>
        <rFont val="宋体"/>
        <family val="3"/>
        <charset val="134"/>
        <scheme val="minor"/>
      </rPr>
      <t>双拼</t>
    </r>
    <phoneticPr fontId="18" type="noConversion"/>
  </si>
  <si>
    <r>
      <rPr>
        <sz val="11"/>
        <color indexed="8"/>
        <rFont val="宋体"/>
        <family val="3"/>
        <charset val="134"/>
        <scheme val="minor"/>
      </rPr>
      <t>比较法-办公</t>
    </r>
    <phoneticPr fontId="18" type="noConversion"/>
  </si>
  <si>
    <r>
      <rPr>
        <sz val="11"/>
        <color indexed="8"/>
        <rFont val="宋体"/>
        <family val="3"/>
        <charset val="134"/>
        <scheme val="minor"/>
      </rPr>
      <t>独栋</t>
    </r>
    <phoneticPr fontId="18" type="noConversion"/>
  </si>
  <si>
    <r>
      <rPr>
        <sz val="11"/>
        <color indexed="8"/>
        <rFont val="宋体"/>
        <family val="3"/>
        <charset val="134"/>
        <scheme val="minor"/>
      </rPr>
      <t>比较法-工业</t>
    </r>
    <phoneticPr fontId="18" type="noConversion"/>
  </si>
  <si>
    <r>
      <rPr>
        <sz val="11"/>
        <color indexed="8"/>
        <rFont val="宋体"/>
        <family val="3"/>
        <charset val="134"/>
        <scheme val="minor"/>
      </rPr>
      <t>底商</t>
    </r>
    <phoneticPr fontId="18" type="noConversion"/>
  </si>
  <si>
    <r>
      <rPr>
        <sz val="11"/>
        <color indexed="8"/>
        <rFont val="宋体"/>
        <family val="3"/>
        <charset val="134"/>
        <scheme val="minor"/>
      </rPr>
      <t>比较法-车位</t>
    </r>
    <phoneticPr fontId="18" type="noConversion"/>
  </si>
  <si>
    <r>
      <rPr>
        <sz val="11"/>
        <color indexed="8"/>
        <rFont val="宋体"/>
        <family val="3"/>
        <charset val="134"/>
        <scheme val="minor"/>
      </rPr>
      <t>独立商业</t>
    </r>
    <phoneticPr fontId="18" type="noConversion"/>
  </si>
  <si>
    <r>
      <rPr>
        <sz val="11"/>
        <color indexed="8"/>
        <rFont val="宋体"/>
        <family val="3"/>
        <charset val="134"/>
        <scheme val="minor"/>
      </rPr>
      <t>比较法-仓储</t>
    </r>
    <phoneticPr fontId="18" type="noConversion"/>
  </si>
  <si>
    <r>
      <rPr>
        <sz val="11"/>
        <color indexed="8"/>
        <rFont val="宋体"/>
        <family val="3"/>
        <charset val="134"/>
        <scheme val="minor"/>
      </rPr>
      <t>商业街</t>
    </r>
    <phoneticPr fontId="18" type="noConversion"/>
  </si>
  <si>
    <r>
      <rPr>
        <sz val="11"/>
        <color indexed="8"/>
        <rFont val="宋体"/>
        <family val="3"/>
        <charset val="134"/>
        <scheme val="minor"/>
      </rPr>
      <t>土地比较法-住宅、综合</t>
    </r>
    <phoneticPr fontId="18" type="noConversion"/>
  </si>
  <si>
    <r>
      <rPr>
        <sz val="11"/>
        <color indexed="8"/>
        <rFont val="宋体"/>
        <family val="3"/>
        <charset val="134"/>
        <scheme val="minor"/>
      </rPr>
      <t>酒店</t>
    </r>
    <phoneticPr fontId="18" type="noConversion"/>
  </si>
  <si>
    <r>
      <rPr>
        <sz val="11"/>
        <color indexed="8"/>
        <rFont val="宋体"/>
        <family val="3"/>
        <charset val="134"/>
        <scheme val="minor"/>
      </rPr>
      <t>土地比较法-工业</t>
    </r>
    <phoneticPr fontId="18" type="noConversion"/>
  </si>
  <si>
    <r>
      <rPr>
        <sz val="11"/>
        <color indexed="8"/>
        <rFont val="宋体"/>
        <family val="3"/>
        <charset val="134"/>
        <scheme val="minor"/>
      </rPr>
      <t>标准厂房</t>
    </r>
    <phoneticPr fontId="18" type="noConversion"/>
  </si>
  <si>
    <r>
      <rPr>
        <sz val="11"/>
        <color indexed="8"/>
        <rFont val="宋体"/>
        <family val="3"/>
        <charset val="134"/>
        <scheme val="minor"/>
      </rPr>
      <t>特殊厂房</t>
    </r>
    <phoneticPr fontId="18" type="noConversion"/>
  </si>
  <si>
    <r>
      <rPr>
        <sz val="11"/>
        <color indexed="8"/>
        <rFont val="宋体"/>
        <family val="3"/>
        <charset val="134"/>
        <scheme val="minor"/>
      </rPr>
      <t>办公楼</t>
    </r>
    <phoneticPr fontId="18" type="noConversion"/>
  </si>
  <si>
    <r>
      <rPr>
        <sz val="11"/>
        <color indexed="8"/>
        <rFont val="宋体"/>
        <family val="3"/>
        <charset val="134"/>
        <scheme val="minor"/>
      </rPr>
      <t>宿舍</t>
    </r>
    <phoneticPr fontId="18" type="noConversion"/>
  </si>
  <si>
    <r>
      <rPr>
        <sz val="11"/>
        <color indexed="8"/>
        <rFont val="宋体"/>
        <family val="3"/>
        <charset val="134"/>
        <scheme val="minor"/>
      </rPr>
      <t>食堂</t>
    </r>
    <phoneticPr fontId="18" type="noConversion"/>
  </si>
  <si>
    <r>
      <rPr>
        <sz val="11"/>
        <color indexed="8"/>
        <rFont val="宋体"/>
        <family val="3"/>
        <charset val="134"/>
        <scheme val="minor"/>
      </rPr>
      <t>车库</t>
    </r>
    <phoneticPr fontId="18" type="noConversion"/>
  </si>
  <si>
    <r>
      <rPr>
        <sz val="11"/>
        <color indexed="8"/>
        <rFont val="宋体"/>
        <family val="3"/>
        <charset val="134"/>
        <scheme val="minor"/>
      </rPr>
      <t>戊类库房</t>
    </r>
    <phoneticPr fontId="18" type="noConversion"/>
  </si>
  <si>
    <r>
      <rPr>
        <sz val="11"/>
        <color indexed="8"/>
        <rFont val="宋体"/>
        <family val="3"/>
        <charset val="134"/>
        <scheme val="minor"/>
      </rPr>
      <t>燃品库房</t>
    </r>
    <phoneticPr fontId="18" type="noConversion"/>
  </si>
  <si>
    <r>
      <rPr>
        <sz val="11"/>
        <color indexed="8"/>
        <rFont val="宋体"/>
        <family val="3"/>
        <charset val="134"/>
        <scheme val="minor"/>
      </rPr>
      <t>非燃品库房</t>
    </r>
    <phoneticPr fontId="18" type="noConversion"/>
  </si>
  <si>
    <r>
      <rPr>
        <sz val="11"/>
        <color indexed="8"/>
        <rFont val="宋体"/>
        <family val="3"/>
        <charset val="134"/>
        <scheme val="minor"/>
      </rPr>
      <t>限价商品房</t>
    </r>
    <phoneticPr fontId="43" type="noConversion"/>
  </si>
  <si>
    <r>
      <rPr>
        <sz val="11"/>
        <color indexed="8"/>
        <rFont val="宋体"/>
        <family val="3"/>
        <charset val="134"/>
        <scheme val="minor"/>
      </rPr>
      <t>自住商品房</t>
    </r>
    <phoneticPr fontId="43" type="noConversion"/>
  </si>
  <si>
    <r>
      <rPr>
        <sz val="12"/>
        <color indexed="8"/>
        <rFont val="宋体"/>
        <family val="3"/>
        <charset val="134"/>
      </rPr>
      <t>估价项目名称</t>
    </r>
    <phoneticPr fontId="5" type="noConversion"/>
  </si>
  <si>
    <r>
      <rPr>
        <sz val="12"/>
        <color indexed="8"/>
        <rFont val="宋体"/>
        <family val="3"/>
        <charset val="134"/>
      </rPr>
      <t>报告编号</t>
    </r>
    <phoneticPr fontId="8" type="noConversion"/>
  </si>
  <si>
    <r>
      <rPr>
        <sz val="12"/>
        <color indexed="8"/>
        <rFont val="宋体"/>
        <family val="3"/>
        <charset val="134"/>
      </rPr>
      <t>现场勘查日</t>
    </r>
    <phoneticPr fontId="89" type="noConversion"/>
  </si>
  <si>
    <r>
      <rPr>
        <sz val="12"/>
        <color indexed="8"/>
        <rFont val="宋体"/>
        <family val="3"/>
        <charset val="134"/>
      </rPr>
      <t>价值时点</t>
    </r>
    <phoneticPr fontId="89" type="noConversion"/>
  </si>
  <si>
    <r>
      <rPr>
        <sz val="12"/>
        <color indexed="8"/>
        <rFont val="宋体"/>
        <family val="3"/>
        <charset val="134"/>
      </rPr>
      <t>签字估价师</t>
    </r>
    <phoneticPr fontId="89" type="noConversion"/>
  </si>
  <si>
    <r>
      <rPr>
        <sz val="12"/>
        <color indexed="8"/>
        <rFont val="宋体"/>
        <family val="3"/>
        <charset val="134"/>
      </rPr>
      <t>估价委托人</t>
    </r>
    <r>
      <rPr>
        <sz val="12"/>
        <color indexed="8"/>
        <rFont val="Arial"/>
        <family val="2"/>
      </rPr>
      <t xml:space="preserve">  </t>
    </r>
    <phoneticPr fontId="87"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</si>
  <si>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7" type="noConversion"/>
  </si>
  <si>
    <r>
      <rPr>
        <sz val="12"/>
        <color indexed="8"/>
        <rFont val="宋体"/>
        <family val="3"/>
        <charset val="134"/>
      </rPr>
      <t>借款方</t>
    </r>
    <phoneticPr fontId="8" type="noConversion"/>
  </si>
  <si>
    <r>
      <rPr>
        <sz val="12"/>
        <color indexed="8"/>
        <rFont val="宋体"/>
        <family val="3"/>
        <charset val="134"/>
      </rPr>
      <t>估价目的</t>
    </r>
    <phoneticPr fontId="87" type="noConversion"/>
  </si>
  <si>
    <r>
      <rPr>
        <sz val="12"/>
        <color indexed="8"/>
        <rFont val="宋体"/>
        <family val="3"/>
        <charset val="134"/>
      </rPr>
      <t>抵押结果包含：</t>
    </r>
    <phoneticPr fontId="89" type="noConversion"/>
  </si>
  <si>
    <r>
      <rPr>
        <sz val="12"/>
        <color indexed="8"/>
        <rFont val="宋体"/>
        <family val="3"/>
        <charset val="134"/>
      </rPr>
      <t>价值类型</t>
    </r>
    <phoneticPr fontId="87" type="noConversion"/>
  </si>
  <si>
    <r>
      <rPr>
        <sz val="12"/>
        <color indexed="8"/>
        <rFont val="宋体"/>
        <family val="3"/>
        <charset val="134"/>
      </rPr>
      <t>项目所在城市</t>
    </r>
    <phoneticPr fontId="8" type="noConversion"/>
  </si>
  <si>
    <r>
      <rPr>
        <sz val="12"/>
        <color indexed="8"/>
        <rFont val="宋体"/>
        <family val="3"/>
        <charset val="134"/>
      </rPr>
      <t>坐落</t>
    </r>
    <phoneticPr fontId="87" type="noConversion"/>
  </si>
  <si>
    <r>
      <rPr>
        <sz val="12"/>
        <color indexed="8"/>
        <rFont val="宋体"/>
        <family val="3"/>
        <charset val="134"/>
      </rPr>
      <t>不动产权利人</t>
    </r>
    <phoneticPr fontId="8" type="noConversion"/>
  </si>
  <si>
    <r>
      <rPr>
        <sz val="12"/>
        <color indexed="8"/>
        <rFont val="宋体"/>
        <family val="3"/>
        <charset val="134"/>
      </rPr>
      <t>土地性质</t>
    </r>
    <phoneticPr fontId="87" type="noConversion"/>
  </si>
  <si>
    <r>
      <rPr>
        <sz val="11"/>
        <color indexed="8"/>
        <rFont val="宋体"/>
        <family val="3"/>
        <charset val="134"/>
      </rPr>
      <t>用途</t>
    </r>
    <phoneticPr fontId="8" type="noConversion"/>
  </si>
  <si>
    <r>
      <rPr>
        <sz val="11"/>
        <color indexed="8"/>
        <rFont val="宋体"/>
        <family val="3"/>
        <charset val="134"/>
      </rPr>
      <t>住宅</t>
    </r>
    <phoneticPr fontId="8" type="noConversion"/>
  </si>
  <si>
    <r>
      <rPr>
        <sz val="11"/>
        <color indexed="8"/>
        <rFont val="宋体"/>
        <family val="3"/>
        <charset val="134"/>
      </rPr>
      <t>商业</t>
    </r>
    <phoneticPr fontId="8" type="noConversion"/>
  </si>
  <si>
    <r>
      <rPr>
        <sz val="11"/>
        <color indexed="8"/>
        <rFont val="宋体"/>
        <family val="3"/>
        <charset val="134"/>
      </rPr>
      <t>办公</t>
    </r>
    <phoneticPr fontId="8" type="noConversion"/>
  </si>
  <si>
    <r>
      <rPr>
        <sz val="11"/>
        <color indexed="8"/>
        <rFont val="宋体"/>
        <family val="3"/>
        <charset val="134"/>
      </rPr>
      <t>车库</t>
    </r>
    <phoneticPr fontId="8" type="noConversion"/>
  </si>
  <si>
    <r>
      <rPr>
        <sz val="11"/>
        <color indexed="8"/>
        <rFont val="宋体"/>
        <family val="3"/>
        <charset val="134"/>
      </rPr>
      <t>仓储</t>
    </r>
    <phoneticPr fontId="8" type="noConversion"/>
  </si>
  <si>
    <r>
      <rPr>
        <sz val="11"/>
        <color indexed="8"/>
        <rFont val="宋体"/>
        <family val="3"/>
        <charset val="134"/>
      </rPr>
      <t>工业</t>
    </r>
    <phoneticPr fontId="8" type="noConversion"/>
  </si>
  <si>
    <r>
      <rPr>
        <sz val="12"/>
        <color indexed="8"/>
        <rFont val="宋体"/>
        <family val="3"/>
        <charset val="134"/>
      </rPr>
      <t>终止日期</t>
    </r>
    <phoneticPr fontId="8" type="noConversion"/>
  </si>
  <si>
    <r>
      <rPr>
        <sz val="12"/>
        <color indexed="8"/>
        <rFont val="宋体"/>
        <family val="3"/>
        <charset val="134"/>
      </rPr>
      <t>出让年限</t>
    </r>
    <phoneticPr fontId="8" type="noConversion"/>
  </si>
  <si>
    <r>
      <rPr>
        <sz val="12"/>
        <color indexed="8"/>
        <rFont val="宋体"/>
        <family val="3"/>
        <charset val="134"/>
      </rPr>
      <t>剩余年限</t>
    </r>
    <phoneticPr fontId="8" type="noConversion"/>
  </si>
  <si>
    <r>
      <rPr>
        <sz val="12"/>
        <color indexed="8"/>
        <rFont val="宋体"/>
        <family val="3"/>
        <charset val="134"/>
      </rPr>
      <t>估价对象用途明细</t>
    </r>
    <phoneticPr fontId="87" type="noConversion"/>
  </si>
  <si>
    <r>
      <rPr>
        <sz val="12"/>
        <color indexed="8"/>
        <rFont val="宋体"/>
        <family val="3"/>
        <charset val="134"/>
      </rPr>
      <t>剩余土地年限</t>
    </r>
    <phoneticPr fontId="8" type="noConversion"/>
  </si>
  <si>
    <r>
      <rPr>
        <sz val="12"/>
        <color indexed="8"/>
        <rFont val="宋体"/>
        <family val="3"/>
        <charset val="134"/>
      </rPr>
      <t>面积指标</t>
    </r>
    <phoneticPr fontId="87" type="noConversion"/>
  </si>
  <si>
    <r>
      <rPr>
        <sz val="12"/>
        <color indexed="8"/>
        <rFont val="宋体"/>
        <family val="3"/>
        <charset val="134"/>
      </rPr>
      <t>建筑面积</t>
    </r>
    <phoneticPr fontId="87" type="noConversion"/>
  </si>
  <si>
    <r>
      <rPr>
        <sz val="12"/>
        <color indexed="8"/>
        <rFont val="宋体"/>
        <family val="3"/>
        <charset val="134"/>
      </rPr>
      <t>面积依据</t>
    </r>
    <phoneticPr fontId="87"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</si>
  <si>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8" type="noConversion"/>
  </si>
  <si>
    <r>
      <rPr>
        <sz val="12"/>
        <color indexed="8"/>
        <rFont val="宋体"/>
        <family val="3"/>
        <charset val="134"/>
      </rPr>
      <t>土地面积</t>
    </r>
    <phoneticPr fontId="87" type="noConversion"/>
  </si>
  <si>
    <r>
      <rPr>
        <sz val="12"/>
        <color theme="9" tint="-0.249977111117893"/>
        <rFont val="宋体"/>
        <family val="3"/>
        <charset val="134"/>
      </rPr>
      <t>《国有土地使用证》</t>
    </r>
    <r>
      <rPr>
        <sz val="12"/>
        <color theme="9" tint="-0.249977111117893"/>
        <rFont val="Arial"/>
        <family val="2"/>
      </rPr>
      <t>[]</t>
    </r>
    <phoneticPr fontId="8" type="noConversion"/>
  </si>
  <si>
    <r>
      <rPr>
        <sz val="10"/>
        <color indexed="8"/>
        <rFont val="宋体"/>
        <family val="3"/>
        <charset val="134"/>
      </rPr>
      <t>权利状况（抵押）</t>
    </r>
    <phoneticPr fontId="89" type="noConversion"/>
  </si>
  <si>
    <r>
      <rPr>
        <sz val="10"/>
        <color indexed="8"/>
        <rFont val="宋体"/>
        <family val="3"/>
        <charset val="134"/>
      </rPr>
      <t>是否抵押</t>
    </r>
    <phoneticPr fontId="89" type="noConversion"/>
  </si>
  <si>
    <r>
      <rPr>
        <sz val="10"/>
        <color indexed="8"/>
        <rFont val="宋体"/>
        <family val="3"/>
        <charset val="134"/>
      </rPr>
      <t>权属证件是否登记权利价值</t>
    </r>
    <phoneticPr fontId="89" type="noConversion"/>
  </si>
  <si>
    <r>
      <rPr>
        <sz val="10"/>
        <color indexed="8"/>
        <rFont val="宋体"/>
        <family val="3"/>
        <charset val="134"/>
      </rPr>
      <t>依据</t>
    </r>
    <phoneticPr fontId="89" type="noConversion"/>
  </si>
  <si>
    <r>
      <rPr>
        <sz val="10"/>
        <color indexed="8"/>
        <rFont val="宋体"/>
        <family val="3"/>
        <charset val="134"/>
      </rPr>
      <t>权属文件</t>
    </r>
    <phoneticPr fontId="89" type="noConversion"/>
  </si>
  <si>
    <r>
      <rPr>
        <sz val="10"/>
        <color indexed="8"/>
        <rFont val="宋体"/>
        <family val="3"/>
        <charset val="134"/>
      </rPr>
      <t>他项权证</t>
    </r>
    <phoneticPr fontId="89" type="noConversion"/>
  </si>
  <si>
    <r>
      <rPr>
        <sz val="10"/>
        <color indexed="8"/>
        <rFont val="宋体"/>
        <family val="3"/>
        <charset val="134"/>
      </rPr>
      <t>其他资料</t>
    </r>
    <phoneticPr fontId="89" type="noConversion"/>
  </si>
  <si>
    <r>
      <rPr>
        <sz val="10"/>
        <color indexed="8"/>
        <rFont val="宋体"/>
        <family val="3"/>
        <charset val="134"/>
      </rPr>
      <t>抵押情况描述</t>
    </r>
    <phoneticPr fontId="89"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</si>
  <si>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</si>
  <si>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</si>
  <si>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9"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</si>
  <si>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</si>
  <si>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</si>
  <si>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9" type="noConversion"/>
  </si>
  <si>
    <r>
      <rPr>
        <sz val="10"/>
        <color indexed="8"/>
        <rFont val="宋体"/>
        <family val="3"/>
        <charset val="134"/>
      </rPr>
      <t>设定日期</t>
    </r>
    <phoneticPr fontId="89" type="noConversion"/>
  </si>
  <si>
    <r>
      <rPr>
        <sz val="10"/>
        <color indexed="8"/>
        <rFont val="宋体"/>
        <family val="3"/>
        <charset val="134"/>
      </rPr>
      <t>权利人</t>
    </r>
    <phoneticPr fontId="89" type="noConversion"/>
  </si>
  <si>
    <r>
      <rPr>
        <sz val="10"/>
        <color indexed="8"/>
        <rFont val="宋体"/>
        <family val="3"/>
        <charset val="134"/>
      </rPr>
      <t>权利范围</t>
    </r>
    <phoneticPr fontId="89" type="noConversion"/>
  </si>
  <si>
    <r>
      <rPr>
        <sz val="10"/>
        <color indexed="8"/>
        <rFont val="宋体"/>
        <family val="3"/>
        <charset val="134"/>
      </rPr>
      <t>权利价值</t>
    </r>
    <phoneticPr fontId="89" type="noConversion"/>
  </si>
  <si>
    <r>
      <rPr>
        <sz val="10"/>
        <color indexed="8"/>
        <rFont val="宋体"/>
        <family val="3"/>
        <charset val="134"/>
      </rPr>
      <t>权利价值</t>
    </r>
    <phoneticPr fontId="89" type="noConversion"/>
  </si>
  <si>
    <r>
      <rPr>
        <sz val="12"/>
        <color indexed="8"/>
        <rFont val="宋体"/>
        <family val="3"/>
        <charset val="134"/>
      </rPr>
      <t>项目类型</t>
    </r>
    <phoneticPr fontId="8" type="noConversion"/>
  </si>
  <si>
    <r>
      <rPr>
        <sz val="12"/>
        <color indexed="8"/>
        <rFont val="宋体"/>
        <family val="3"/>
        <charset val="134"/>
      </rPr>
      <t>按主用途</t>
    </r>
    <phoneticPr fontId="8" type="noConversion"/>
  </si>
  <si>
    <r>
      <rPr>
        <sz val="12"/>
        <color indexed="8"/>
        <rFont val="宋体"/>
        <family val="3"/>
        <charset val="134"/>
      </rPr>
      <t>特殊细项</t>
    </r>
    <phoneticPr fontId="8" type="noConversion"/>
  </si>
  <si>
    <r>
      <rPr>
        <sz val="12"/>
        <color indexed="8"/>
        <rFont val="宋体"/>
        <family val="3"/>
        <charset val="134"/>
      </rPr>
      <t>是否配建</t>
    </r>
    <phoneticPr fontId="8" type="noConversion"/>
  </si>
  <si>
    <r>
      <rPr>
        <sz val="12"/>
        <color indexed="8"/>
        <rFont val="宋体"/>
        <family val="3"/>
        <charset val="134"/>
      </rPr>
      <t>配建类型</t>
    </r>
    <phoneticPr fontId="8" type="noConversion"/>
  </si>
  <si>
    <r>
      <rPr>
        <sz val="12"/>
        <color indexed="8"/>
        <rFont val="宋体"/>
        <family val="3"/>
        <charset val="134"/>
      </rPr>
      <t>项目现状</t>
    </r>
    <phoneticPr fontId="8" type="noConversion"/>
  </si>
  <si>
    <r>
      <rPr>
        <sz val="12"/>
        <color indexed="8"/>
        <rFont val="宋体"/>
        <family val="3"/>
        <charset val="134"/>
      </rPr>
      <t>红线外市政</t>
    </r>
    <phoneticPr fontId="8" type="noConversion"/>
  </si>
  <si>
    <r>
      <rPr>
        <sz val="11"/>
        <color indexed="8"/>
        <rFont val="宋体"/>
        <family val="3"/>
        <charset val="134"/>
      </rPr>
      <t>一通</t>
    </r>
    <phoneticPr fontId="94" type="noConversion"/>
  </si>
  <si>
    <r>
      <rPr>
        <sz val="11"/>
        <color indexed="8"/>
        <rFont val="宋体"/>
        <family val="3"/>
        <charset val="134"/>
      </rPr>
      <t>二通</t>
    </r>
    <phoneticPr fontId="94" type="noConversion"/>
  </si>
  <si>
    <r>
      <rPr>
        <sz val="11"/>
        <color indexed="8"/>
        <rFont val="宋体"/>
        <family val="3"/>
        <charset val="134"/>
      </rPr>
      <t>三通</t>
    </r>
    <phoneticPr fontId="94" type="noConversion"/>
  </si>
  <si>
    <r>
      <rPr>
        <sz val="11"/>
        <color indexed="8"/>
        <rFont val="宋体"/>
        <family val="3"/>
        <charset val="134"/>
      </rPr>
      <t>四通</t>
    </r>
    <phoneticPr fontId="94" type="noConversion"/>
  </si>
  <si>
    <r>
      <rPr>
        <sz val="11"/>
        <color indexed="8"/>
        <rFont val="宋体"/>
        <family val="3"/>
        <charset val="134"/>
      </rPr>
      <t>五通</t>
    </r>
    <phoneticPr fontId="94" type="noConversion"/>
  </si>
  <si>
    <r>
      <rPr>
        <sz val="11"/>
        <color indexed="8"/>
        <rFont val="宋体"/>
        <family val="3"/>
        <charset val="134"/>
      </rPr>
      <t>六通</t>
    </r>
    <phoneticPr fontId="94" type="noConversion"/>
  </si>
  <si>
    <r>
      <rPr>
        <sz val="11"/>
        <color indexed="8"/>
        <rFont val="宋体"/>
        <family val="3"/>
        <charset val="134"/>
      </rPr>
      <t>七通</t>
    </r>
    <phoneticPr fontId="94" type="noConversion"/>
  </si>
  <si>
    <r>
      <rPr>
        <sz val="11"/>
        <color indexed="8"/>
        <rFont val="宋体"/>
        <family val="3"/>
        <charset val="134"/>
      </rPr>
      <t>估价对象</t>
    </r>
    <phoneticPr fontId="94" type="noConversion"/>
  </si>
  <si>
    <r>
      <rPr>
        <sz val="12"/>
        <color indexed="8"/>
        <rFont val="宋体"/>
        <family val="3"/>
        <charset val="134"/>
      </rPr>
      <t>北京市</t>
    </r>
    <phoneticPr fontId="8" type="noConversion"/>
  </si>
  <si>
    <r>
      <rPr>
        <sz val="12"/>
        <color indexed="8"/>
        <rFont val="宋体"/>
        <family val="3"/>
        <charset val="134"/>
      </rPr>
      <t>商业</t>
    </r>
    <phoneticPr fontId="8" type="noConversion"/>
  </si>
  <si>
    <r>
      <rPr>
        <sz val="12"/>
        <color indexed="8"/>
        <rFont val="宋体"/>
        <family val="3"/>
        <charset val="134"/>
      </rPr>
      <t>办公</t>
    </r>
    <phoneticPr fontId="8" type="noConversion"/>
  </si>
  <si>
    <r>
      <rPr>
        <sz val="12"/>
        <color indexed="8"/>
        <rFont val="宋体"/>
        <family val="3"/>
        <charset val="134"/>
      </rPr>
      <t>住宅</t>
    </r>
    <phoneticPr fontId="8" type="noConversion"/>
  </si>
  <si>
    <r>
      <rPr>
        <sz val="12"/>
        <color indexed="8"/>
        <rFont val="宋体"/>
        <family val="3"/>
        <charset val="134"/>
      </rPr>
      <t>工业</t>
    </r>
    <phoneticPr fontId="8" type="noConversion"/>
  </si>
  <si>
    <r>
      <rPr>
        <sz val="12"/>
        <color indexed="8"/>
        <rFont val="宋体"/>
        <family val="3"/>
        <charset val="134"/>
      </rPr>
      <t>土地级别</t>
    </r>
    <phoneticPr fontId="8" type="noConversion"/>
  </si>
  <si>
    <r>
      <rPr>
        <sz val="12"/>
        <color indexed="8"/>
        <rFont val="宋体"/>
        <family val="3"/>
        <charset val="134"/>
      </rPr>
      <t>区片编号</t>
    </r>
    <phoneticPr fontId="8" type="noConversion"/>
  </si>
  <si>
    <r>
      <rPr>
        <b/>
        <sz val="16"/>
        <color rgb="FFFF0000"/>
        <rFont val="宋体"/>
        <family val="3"/>
        <charset val="134"/>
      </rPr>
      <t>虚线以上为必填</t>
    </r>
    <phoneticPr fontId="8" type="noConversion"/>
  </si>
  <si>
    <r>
      <rPr>
        <b/>
        <sz val="11"/>
        <color indexed="8"/>
        <rFont val="宋体"/>
        <family val="3"/>
        <charset val="134"/>
      </rPr>
      <t>证件取得及他项权利状况</t>
    </r>
    <phoneticPr fontId="8" type="noConversion"/>
  </si>
  <si>
    <r>
      <rPr>
        <sz val="11"/>
        <color indexed="8"/>
        <rFont val="宋体"/>
        <family val="3"/>
        <charset val="134"/>
      </rPr>
      <t>地块编号</t>
    </r>
    <phoneticPr fontId="5"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</si>
  <si>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5" type="noConversion"/>
  </si>
  <si>
    <r>
      <rPr>
        <sz val="11"/>
        <color indexed="8"/>
        <rFont val="宋体"/>
        <family val="3"/>
        <charset val="134"/>
      </rPr>
      <t>出让合同</t>
    </r>
    <phoneticPr fontId="5" type="noConversion"/>
  </si>
  <si>
    <r>
      <rPr>
        <sz val="11"/>
        <color indexed="8"/>
        <rFont val="宋体"/>
        <family val="3"/>
        <charset val="134"/>
      </rPr>
      <t>用地规划</t>
    </r>
    <phoneticPr fontId="5" type="noConversion"/>
  </si>
  <si>
    <r>
      <rPr>
        <sz val="11"/>
        <color indexed="8"/>
        <rFont val="宋体"/>
        <family val="3"/>
        <charset val="134"/>
      </rPr>
      <t>规划意见复函</t>
    </r>
    <phoneticPr fontId="5" type="noConversion"/>
  </si>
  <si>
    <r>
      <rPr>
        <sz val="11"/>
        <color indexed="8"/>
        <rFont val="宋体"/>
        <family val="3"/>
        <charset val="134"/>
      </rPr>
      <t>工程规划</t>
    </r>
    <phoneticPr fontId="5" type="noConversion"/>
  </si>
  <si>
    <r>
      <rPr>
        <sz val="11"/>
        <color indexed="8"/>
        <rFont val="宋体"/>
        <family val="3"/>
        <charset val="134"/>
      </rPr>
      <t>施工证</t>
    </r>
    <phoneticPr fontId="5" type="noConversion"/>
  </si>
  <si>
    <r>
      <rPr>
        <sz val="11"/>
        <color indexed="8"/>
        <rFont val="宋体"/>
        <family val="3"/>
        <charset val="134"/>
      </rPr>
      <t>预售证</t>
    </r>
    <phoneticPr fontId="5" type="noConversion"/>
  </si>
  <si>
    <r>
      <rPr>
        <sz val="11"/>
        <color indexed="8"/>
        <rFont val="宋体"/>
        <family val="3"/>
        <charset val="134"/>
      </rPr>
      <t>竣工备案</t>
    </r>
    <phoneticPr fontId="5" type="noConversion"/>
  </si>
  <si>
    <r>
      <rPr>
        <sz val="11"/>
        <color indexed="8"/>
        <rFont val="宋体"/>
        <family val="3"/>
        <charset val="134"/>
      </rPr>
      <t>测绘报告</t>
    </r>
    <phoneticPr fontId="5" type="noConversion"/>
  </si>
  <si>
    <r>
      <rPr>
        <sz val="11"/>
        <color indexed="8"/>
        <rFont val="宋体"/>
        <family val="3"/>
        <charset val="134"/>
      </rPr>
      <t>现状</t>
    </r>
    <phoneticPr fontId="8"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</si>
  <si>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8" type="noConversion"/>
  </si>
  <si>
    <r>
      <rPr>
        <sz val="11"/>
        <color indexed="8"/>
        <rFont val="宋体"/>
        <family val="3"/>
        <charset val="134"/>
      </rPr>
      <t>不动产权证书</t>
    </r>
    <phoneticPr fontId="8" type="noConversion"/>
  </si>
  <si>
    <r>
      <rPr>
        <sz val="11"/>
        <color indexed="8"/>
        <rFont val="宋体"/>
        <family val="3"/>
        <charset val="134"/>
      </rPr>
      <t>国土证</t>
    </r>
    <phoneticPr fontId="5" type="noConversion"/>
  </si>
  <si>
    <r>
      <rPr>
        <sz val="11"/>
        <color indexed="8"/>
        <rFont val="宋体"/>
        <family val="3"/>
        <charset val="134"/>
      </rPr>
      <t>房产证</t>
    </r>
    <phoneticPr fontId="5"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</si>
  <si>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5"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</si>
  <si>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8"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</si>
  <si>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8" type="noConversion"/>
  </si>
  <si>
    <r>
      <rPr>
        <b/>
        <sz val="14"/>
        <color rgb="FFFF0000"/>
        <rFont val="宋体"/>
        <family val="3"/>
        <charset val="134"/>
      </rPr>
      <t>数据基础表</t>
    </r>
    <phoneticPr fontId="5" type="noConversion"/>
  </si>
  <si>
    <r>
      <rPr>
        <b/>
        <sz val="16"/>
        <color rgb="FFFF0000"/>
        <rFont val="宋体"/>
        <family val="3"/>
        <charset val="134"/>
      </rPr>
      <t>抵押物清单</t>
    </r>
    <phoneticPr fontId="5" type="noConversion"/>
  </si>
  <si>
    <r>
      <rPr>
        <sz val="10"/>
        <color indexed="8"/>
        <rFont val="宋体"/>
        <family val="3"/>
        <charset val="134"/>
      </rPr>
      <t>土地面积</t>
    </r>
    <phoneticPr fontId="5" type="noConversion"/>
  </si>
  <si>
    <r>
      <rPr>
        <sz val="10"/>
        <color indexed="8"/>
        <rFont val="宋体"/>
        <family val="3"/>
        <charset val="134"/>
      </rPr>
      <t>建筑面积</t>
    </r>
    <phoneticPr fontId="5" type="noConversion"/>
  </si>
  <si>
    <r>
      <rPr>
        <sz val="10"/>
        <color indexed="8"/>
        <rFont val="宋体"/>
        <family val="3"/>
        <charset val="134"/>
      </rPr>
      <t>人防是否参与分摊</t>
    </r>
    <phoneticPr fontId="5" type="noConversion"/>
  </si>
  <si>
    <r>
      <rPr>
        <sz val="10"/>
        <color indexed="8"/>
        <rFont val="宋体"/>
        <family val="3"/>
        <charset val="134"/>
      </rPr>
      <t>测绘分摊土地面积</t>
    </r>
    <phoneticPr fontId="5" type="noConversion"/>
  </si>
  <si>
    <r>
      <rPr>
        <sz val="10"/>
        <color theme="1"/>
        <rFont val="宋体"/>
        <family val="3"/>
        <charset val="134"/>
      </rPr>
      <t>计容建筑面积</t>
    </r>
    <phoneticPr fontId="5" type="noConversion"/>
  </si>
  <si>
    <r>
      <rPr>
        <sz val="10"/>
        <color indexed="8"/>
        <rFont val="宋体"/>
        <family val="3"/>
        <charset val="134"/>
      </rPr>
      <t>计容部位</t>
    </r>
    <phoneticPr fontId="5" type="noConversion"/>
  </si>
  <si>
    <r>
      <rPr>
        <sz val="10"/>
        <color indexed="8"/>
        <rFont val="宋体"/>
        <family val="3"/>
        <charset val="134"/>
      </rPr>
      <t>否</t>
    </r>
  </si>
  <si>
    <r>
      <rPr>
        <sz val="10"/>
        <color indexed="8"/>
        <rFont val="宋体"/>
        <family val="3"/>
        <charset val="134"/>
      </rPr>
      <t>建筑面积合计</t>
    </r>
    <phoneticPr fontId="7" type="noConversion"/>
  </si>
  <si>
    <r>
      <rPr>
        <sz val="10"/>
        <color indexed="8"/>
        <rFont val="宋体"/>
        <family val="3"/>
        <charset val="134"/>
      </rPr>
      <t>（分摊）土地面积</t>
    </r>
    <phoneticPr fontId="7" type="noConversion"/>
  </si>
  <si>
    <r>
      <rPr>
        <sz val="10"/>
        <color indexed="8"/>
        <rFont val="宋体"/>
        <family val="3"/>
        <charset val="134"/>
      </rPr>
      <t>土地使用权证号</t>
    </r>
    <phoneticPr fontId="7" type="noConversion"/>
  </si>
  <si>
    <r>
      <rPr>
        <sz val="10"/>
        <color indexed="8"/>
        <rFont val="宋体"/>
        <family val="3"/>
        <charset val="134"/>
      </rPr>
      <t>建筑面积依据</t>
    </r>
    <phoneticPr fontId="7"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</si>
  <si>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7" type="noConversion"/>
  </si>
  <si>
    <r>
      <rPr>
        <sz val="10"/>
        <color indexed="8"/>
        <rFont val="宋体"/>
        <family val="3"/>
        <charset val="134"/>
      </rPr>
      <t>是否为抵押范围</t>
    </r>
    <phoneticPr fontId="7" type="noConversion"/>
  </si>
  <si>
    <r>
      <rPr>
        <sz val="10"/>
        <color indexed="8"/>
        <rFont val="宋体"/>
        <family val="3"/>
        <charset val="134"/>
      </rPr>
      <t>（分摊）土地面积</t>
    </r>
    <phoneticPr fontId="7" type="noConversion"/>
  </si>
  <si>
    <r>
      <rPr>
        <sz val="10"/>
        <color indexed="8"/>
        <rFont val="宋体"/>
        <family val="3"/>
        <charset val="134"/>
      </rPr>
      <t>楼基面积</t>
    </r>
    <phoneticPr fontId="7" type="noConversion"/>
  </si>
  <si>
    <r>
      <rPr>
        <sz val="10"/>
        <color indexed="8"/>
        <rFont val="宋体"/>
        <family val="3"/>
        <charset val="134"/>
      </rPr>
      <t>建筑面积（含人防）</t>
    </r>
    <phoneticPr fontId="7" type="noConversion"/>
  </si>
  <si>
    <r>
      <rPr>
        <sz val="10"/>
        <color indexed="8"/>
        <rFont val="宋体"/>
        <family val="3"/>
        <charset val="134"/>
      </rPr>
      <t>不在估价范围内的项目</t>
    </r>
    <phoneticPr fontId="5" type="noConversion"/>
  </si>
  <si>
    <r>
      <rPr>
        <sz val="10"/>
        <color indexed="8"/>
        <rFont val="宋体"/>
        <family val="3"/>
        <charset val="134"/>
      </rPr>
      <t>土地使用权证号</t>
    </r>
    <phoneticPr fontId="7" type="noConversion"/>
  </si>
  <si>
    <r>
      <rPr>
        <sz val="10"/>
        <color indexed="8"/>
        <rFont val="宋体"/>
        <family val="3"/>
        <charset val="134"/>
      </rPr>
      <t>建筑面积依据</t>
    </r>
    <phoneticPr fontId="7" type="noConversion"/>
  </si>
  <si>
    <r>
      <rPr>
        <sz val="10"/>
        <color indexed="8"/>
        <rFont val="宋体"/>
        <family val="3"/>
        <charset val="134"/>
      </rPr>
      <t>抵押物</t>
    </r>
    <phoneticPr fontId="5" type="noConversion"/>
  </si>
  <si>
    <r>
      <rPr>
        <sz val="10"/>
        <color indexed="8"/>
        <rFont val="宋体"/>
        <family val="3"/>
        <charset val="134"/>
      </rPr>
      <t>合计</t>
    </r>
    <phoneticPr fontId="5"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</si>
  <si>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7"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</si>
  <si>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7" type="noConversion"/>
  </si>
  <si>
    <r>
      <rPr>
        <sz val="10"/>
        <color indexed="8"/>
        <rFont val="宋体"/>
        <family val="3"/>
        <charset val="134"/>
      </rPr>
      <t>人防</t>
    </r>
    <phoneticPr fontId="5" type="noConversion"/>
  </si>
  <si>
    <r>
      <rPr>
        <sz val="10"/>
        <color indexed="8"/>
        <rFont val="宋体"/>
        <family val="3"/>
        <charset val="134"/>
      </rPr>
      <t>文字说明</t>
    </r>
    <phoneticPr fontId="5" type="noConversion"/>
  </si>
  <si>
    <r>
      <rPr>
        <sz val="10"/>
        <color indexed="8"/>
        <rFont val="宋体"/>
        <family val="3"/>
        <charset val="134"/>
      </rPr>
      <t>（分摊）土地面积</t>
    </r>
    <phoneticPr fontId="5" type="noConversion"/>
  </si>
  <si>
    <r>
      <rPr>
        <sz val="10"/>
        <color indexed="8"/>
        <rFont val="宋体"/>
        <family val="3"/>
        <charset val="134"/>
      </rPr>
      <t>建筑面积</t>
    </r>
    <phoneticPr fontId="5" type="noConversion"/>
  </si>
  <si>
    <r>
      <rPr>
        <sz val="10"/>
        <color indexed="8"/>
        <rFont val="宋体"/>
        <family val="3"/>
        <charset val="134"/>
      </rPr>
      <t>小计</t>
    </r>
    <phoneticPr fontId="5" type="noConversion"/>
  </si>
  <si>
    <r>
      <rPr>
        <sz val="10"/>
        <color indexed="8"/>
        <rFont val="宋体"/>
        <family val="3"/>
        <charset val="134"/>
      </rPr>
      <t>地上</t>
    </r>
    <phoneticPr fontId="5" type="noConversion"/>
  </si>
  <si>
    <r>
      <rPr>
        <sz val="10"/>
        <color indexed="8"/>
        <rFont val="宋体"/>
        <family val="3"/>
        <charset val="134"/>
      </rPr>
      <t>地下</t>
    </r>
    <phoneticPr fontId="5"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</si>
  <si>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5" type="noConversion"/>
  </si>
  <si>
    <r>
      <rPr>
        <sz val="10"/>
        <color indexed="8"/>
        <rFont val="宋体"/>
        <family val="3"/>
        <charset val="134"/>
      </rPr>
      <t>经营性用途</t>
    </r>
    <phoneticPr fontId="7" type="noConversion"/>
  </si>
  <si>
    <r>
      <rPr>
        <sz val="10"/>
        <color indexed="8"/>
        <rFont val="宋体"/>
        <family val="3"/>
        <charset val="134"/>
      </rPr>
      <t>非经营性用途</t>
    </r>
    <phoneticPr fontId="7" type="noConversion"/>
  </si>
  <si>
    <r>
      <rPr>
        <sz val="10"/>
        <color indexed="8"/>
        <rFont val="宋体"/>
        <family val="3"/>
        <charset val="134"/>
      </rPr>
      <t>公共配套设施</t>
    </r>
    <phoneticPr fontId="5" type="noConversion"/>
  </si>
  <si>
    <r>
      <rPr>
        <sz val="10"/>
        <color indexed="8"/>
        <rFont val="宋体"/>
        <family val="3"/>
        <charset val="134"/>
      </rPr>
      <t>物业管理用房</t>
    </r>
    <phoneticPr fontId="5" type="noConversion"/>
  </si>
  <si>
    <r>
      <rPr>
        <sz val="10"/>
        <color indexed="8"/>
        <rFont val="宋体"/>
        <family val="3"/>
        <charset val="134"/>
      </rPr>
      <t>设备及其他</t>
    </r>
    <phoneticPr fontId="5" type="noConversion"/>
  </si>
  <si>
    <r>
      <rPr>
        <sz val="10"/>
        <color indexed="8"/>
        <rFont val="宋体"/>
        <family val="3"/>
        <charset val="134"/>
      </rPr>
      <t>未注明</t>
    </r>
    <phoneticPr fontId="5" type="noConversion"/>
  </si>
  <si>
    <r>
      <rPr>
        <sz val="10"/>
        <color rgb="FFFF0000"/>
        <rFont val="宋体"/>
        <family val="3"/>
        <charset val="134"/>
      </rPr>
      <t>（住宅）</t>
    </r>
    <phoneticPr fontId="5" type="noConversion"/>
  </si>
  <si>
    <r>
      <rPr>
        <sz val="10"/>
        <color rgb="FFFF0000"/>
        <rFont val="宋体"/>
        <family val="3"/>
        <charset val="134"/>
      </rPr>
      <t>（住宅、计出让金）</t>
    </r>
    <phoneticPr fontId="5" type="noConversion"/>
  </si>
  <si>
    <r>
      <rPr>
        <sz val="10"/>
        <color indexed="8"/>
        <rFont val="宋体"/>
        <family val="3"/>
        <charset val="134"/>
      </rPr>
      <t>总值</t>
    </r>
    <phoneticPr fontId="5" type="noConversion"/>
  </si>
  <si>
    <r>
      <rPr>
        <sz val="10"/>
        <color indexed="8"/>
        <rFont val="宋体"/>
        <family val="3"/>
        <charset val="134"/>
      </rPr>
      <t>扣减值</t>
    </r>
    <phoneticPr fontId="5" type="noConversion"/>
  </si>
  <si>
    <r>
      <rPr>
        <b/>
        <sz val="11"/>
        <color indexed="8"/>
        <rFont val="宋体"/>
        <family val="3"/>
        <charset val="134"/>
      </rPr>
      <t>面积总计</t>
    </r>
    <phoneticPr fontId="9" type="noConversion"/>
  </si>
  <si>
    <r>
      <rPr>
        <sz val="11"/>
        <color indexed="8"/>
        <rFont val="宋体"/>
        <family val="3"/>
        <charset val="134"/>
      </rPr>
      <t>总</t>
    </r>
    <phoneticPr fontId="9" type="noConversion"/>
  </si>
  <si>
    <r>
      <rPr>
        <b/>
        <sz val="11"/>
        <color indexed="8"/>
        <rFont val="宋体"/>
        <family val="3"/>
        <charset val="134"/>
      </rPr>
      <t>土地面积</t>
    </r>
    <phoneticPr fontId="12" type="noConversion"/>
  </si>
  <si>
    <r>
      <rPr>
        <b/>
        <sz val="11"/>
        <rFont val="宋体"/>
        <family val="3"/>
        <charset val="134"/>
      </rPr>
      <t>建筑面积</t>
    </r>
    <phoneticPr fontId="12" type="noConversion"/>
  </si>
  <si>
    <r>
      <t>1.</t>
    </r>
    <r>
      <rPr>
        <sz val="11"/>
        <color indexed="8"/>
        <rFont val="宋体"/>
        <family val="3"/>
        <charset val="134"/>
      </rPr>
      <t>其中：</t>
    </r>
    <phoneticPr fontId="9" type="noConversion"/>
  </si>
  <si>
    <r>
      <rPr>
        <sz val="11"/>
        <color indexed="8"/>
        <rFont val="宋体"/>
        <family val="3"/>
        <charset val="134"/>
      </rPr>
      <t>住宅</t>
    </r>
    <phoneticPr fontId="9" type="noConversion"/>
  </si>
  <si>
    <r>
      <rPr>
        <sz val="11"/>
        <color indexed="8"/>
        <rFont val="宋体"/>
        <family val="3"/>
        <charset val="134"/>
      </rPr>
      <t>非住宅</t>
    </r>
    <phoneticPr fontId="9" type="noConversion"/>
  </si>
  <si>
    <r>
      <rPr>
        <sz val="11"/>
        <color indexed="8"/>
        <rFont val="宋体"/>
        <family val="3"/>
        <charset val="134"/>
      </rPr>
      <t>估价对象</t>
    </r>
    <phoneticPr fontId="9" type="noConversion"/>
  </si>
  <si>
    <r>
      <rPr>
        <sz val="11"/>
        <color indexed="8"/>
        <rFont val="宋体"/>
        <family val="3"/>
        <charset val="134"/>
      </rPr>
      <t>地上</t>
    </r>
    <phoneticPr fontId="9" type="noConversion"/>
  </si>
  <si>
    <r>
      <rPr>
        <b/>
        <sz val="11"/>
        <color indexed="8"/>
        <rFont val="宋体"/>
        <family val="3"/>
        <charset val="134"/>
      </rPr>
      <t>建筑面积</t>
    </r>
    <phoneticPr fontId="12" type="noConversion"/>
  </si>
  <si>
    <r>
      <rPr>
        <sz val="11"/>
        <color indexed="8"/>
        <rFont val="宋体"/>
        <family val="3"/>
        <charset val="134"/>
      </rPr>
      <t>自定义容积率</t>
    </r>
    <phoneticPr fontId="9" type="noConversion"/>
  </si>
  <si>
    <r>
      <t>2.</t>
    </r>
    <r>
      <rPr>
        <sz val="11"/>
        <color indexed="8"/>
        <rFont val="宋体"/>
        <family val="3"/>
        <charset val="134"/>
      </rPr>
      <t>其中：</t>
    </r>
    <phoneticPr fontId="9" type="noConversion"/>
  </si>
  <si>
    <r>
      <rPr>
        <sz val="11"/>
        <color indexed="8"/>
        <rFont val="宋体"/>
        <family val="3"/>
        <charset val="134"/>
      </rPr>
      <t>计出让部分</t>
    </r>
    <phoneticPr fontId="12" type="noConversion"/>
  </si>
  <si>
    <r>
      <rPr>
        <sz val="11"/>
        <color indexed="8"/>
        <rFont val="宋体"/>
        <family val="3"/>
        <charset val="134"/>
      </rPr>
      <t>地上经营性用途</t>
    </r>
    <phoneticPr fontId="9" type="noConversion"/>
  </si>
  <si>
    <r>
      <rPr>
        <sz val="11"/>
        <color indexed="8"/>
        <rFont val="宋体"/>
        <family val="3"/>
        <charset val="134"/>
      </rPr>
      <t>地上其他</t>
    </r>
    <phoneticPr fontId="9" type="noConversion"/>
  </si>
  <si>
    <r>
      <rPr>
        <sz val="11"/>
        <color indexed="8"/>
        <rFont val="宋体"/>
        <family val="3"/>
        <charset val="134"/>
      </rPr>
      <t>地下办公（含物业）</t>
    </r>
    <phoneticPr fontId="9" type="noConversion"/>
  </si>
  <si>
    <r>
      <rPr>
        <sz val="11"/>
        <color indexed="8"/>
        <rFont val="宋体"/>
        <family val="3"/>
        <charset val="134"/>
      </rPr>
      <t>地下仓储</t>
    </r>
    <phoneticPr fontId="9" type="noConversion"/>
  </si>
  <si>
    <r>
      <rPr>
        <sz val="11"/>
        <color indexed="8"/>
        <rFont val="宋体"/>
        <family val="3"/>
        <charset val="134"/>
      </rPr>
      <t>地下车库（除商业、办公）</t>
    </r>
    <phoneticPr fontId="9" type="noConversion"/>
  </si>
  <si>
    <r>
      <rPr>
        <sz val="11"/>
        <color indexed="8"/>
        <rFont val="宋体"/>
        <family val="3"/>
        <charset val="134"/>
      </rPr>
      <t>小计</t>
    </r>
    <phoneticPr fontId="9"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</si>
  <si>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</si>
  <si>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</si>
  <si>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2" type="noConversion"/>
  </si>
  <si>
    <r>
      <rPr>
        <b/>
        <sz val="11"/>
        <rFont val="宋体"/>
        <family val="3"/>
        <charset val="134"/>
      </rPr>
      <t>建筑面积</t>
    </r>
    <phoneticPr fontId="12" type="noConversion"/>
  </si>
  <si>
    <r>
      <rPr>
        <sz val="11"/>
        <color indexed="8"/>
        <rFont val="宋体"/>
        <family val="3"/>
        <charset val="134"/>
      </rPr>
      <t>地下商业</t>
    </r>
    <phoneticPr fontId="9"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</si>
  <si>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9" type="noConversion"/>
  </si>
  <si>
    <r>
      <rPr>
        <b/>
        <sz val="14"/>
        <color rgb="FFFF0000"/>
        <rFont val="宋体"/>
        <family val="3"/>
        <charset val="134"/>
      </rPr>
      <t>数据汇总表</t>
    </r>
    <phoneticPr fontId="9" type="noConversion"/>
  </si>
  <si>
    <r>
      <rPr>
        <b/>
        <sz val="11"/>
        <color indexed="8"/>
        <rFont val="宋体"/>
        <family val="3"/>
        <charset val="134"/>
      </rPr>
      <t>估价对象</t>
    </r>
    <phoneticPr fontId="9" type="noConversion"/>
  </si>
  <si>
    <r>
      <rPr>
        <b/>
        <sz val="11"/>
        <color indexed="8"/>
        <rFont val="宋体"/>
        <family val="3"/>
        <charset val="134"/>
      </rPr>
      <t>容积率</t>
    </r>
    <phoneticPr fontId="9" type="noConversion"/>
  </si>
  <si>
    <r>
      <rPr>
        <sz val="11"/>
        <color indexed="8"/>
        <rFont val="宋体"/>
        <family val="3"/>
        <charset val="134"/>
      </rPr>
      <t>项目</t>
    </r>
    <phoneticPr fontId="9"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</si>
  <si>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9" type="noConversion"/>
  </si>
  <si>
    <r>
      <rPr>
        <b/>
        <sz val="11"/>
        <color indexed="8"/>
        <rFont val="宋体"/>
        <family val="3"/>
        <charset val="134"/>
      </rPr>
      <t>分摊非经营性用途用房</t>
    </r>
    <phoneticPr fontId="9" type="noConversion"/>
  </si>
  <si>
    <r>
      <t>3.</t>
    </r>
    <r>
      <rPr>
        <sz val="11"/>
        <color indexed="8"/>
        <rFont val="宋体"/>
        <family val="3"/>
        <charset val="134"/>
      </rPr>
      <t>其中：</t>
    </r>
    <phoneticPr fontId="12" type="noConversion"/>
  </si>
  <si>
    <r>
      <rPr>
        <sz val="11"/>
        <color indexed="8"/>
        <rFont val="宋体"/>
        <family val="3"/>
        <charset val="134"/>
      </rPr>
      <t>类别</t>
    </r>
    <phoneticPr fontId="9" type="noConversion"/>
  </si>
  <si>
    <r>
      <rPr>
        <sz val="11"/>
        <color indexed="8"/>
        <rFont val="宋体"/>
        <family val="3"/>
        <charset val="134"/>
      </rPr>
      <t>项目类型</t>
    </r>
    <phoneticPr fontId="9" type="noConversion"/>
  </si>
  <si>
    <r>
      <rPr>
        <b/>
        <sz val="11"/>
        <color indexed="8"/>
        <rFont val="宋体"/>
        <family val="3"/>
        <charset val="134"/>
      </rPr>
      <t>分摊原则：</t>
    </r>
    <phoneticPr fontId="9" type="noConversion"/>
  </si>
  <si>
    <r>
      <rPr>
        <sz val="11"/>
        <color indexed="8"/>
        <rFont val="宋体"/>
        <family val="3"/>
        <charset val="134"/>
      </rPr>
      <t>按面积比例分摊</t>
    </r>
    <phoneticPr fontId="9" type="noConversion"/>
  </si>
  <si>
    <r>
      <rPr>
        <sz val="11"/>
        <color indexed="8"/>
        <rFont val="宋体"/>
        <family val="3"/>
        <charset val="134"/>
      </rPr>
      <t>自定义分摊</t>
    </r>
    <phoneticPr fontId="9" type="noConversion"/>
  </si>
  <si>
    <r>
      <rPr>
        <sz val="11"/>
        <color indexed="8"/>
        <rFont val="宋体"/>
        <family val="3"/>
        <charset val="134"/>
      </rPr>
      <t>面积加总（含分摊非经营）</t>
    </r>
    <phoneticPr fontId="5" type="noConversion"/>
  </si>
  <si>
    <r>
      <rPr>
        <sz val="11"/>
        <rFont val="宋体"/>
        <family val="3"/>
        <charset val="134"/>
      </rPr>
      <t>合计</t>
    </r>
    <phoneticPr fontId="9" type="noConversion"/>
  </si>
  <si>
    <r>
      <rPr>
        <sz val="11"/>
        <color indexed="8"/>
        <rFont val="宋体"/>
        <family val="3"/>
        <charset val="134"/>
      </rPr>
      <t>地上</t>
    </r>
    <phoneticPr fontId="9" type="noConversion"/>
  </si>
  <si>
    <r>
      <rPr>
        <sz val="11"/>
        <color indexed="8"/>
        <rFont val="宋体"/>
        <family val="3"/>
        <charset val="134"/>
      </rPr>
      <t>地下</t>
    </r>
    <phoneticPr fontId="9" type="noConversion"/>
  </si>
  <si>
    <r>
      <rPr>
        <sz val="11"/>
        <color indexed="8"/>
        <rFont val="宋体"/>
        <family val="3"/>
        <charset val="134"/>
      </rPr>
      <t>土地面积</t>
    </r>
    <phoneticPr fontId="9" type="noConversion"/>
  </si>
  <si>
    <r>
      <rPr>
        <sz val="11"/>
        <color indexed="8"/>
        <rFont val="宋体"/>
        <family val="3"/>
        <charset val="134"/>
      </rPr>
      <t>建筑面积</t>
    </r>
    <phoneticPr fontId="9" type="noConversion"/>
  </si>
  <si>
    <r>
      <rPr>
        <sz val="11"/>
        <color indexed="8"/>
        <rFont val="宋体"/>
        <family val="3"/>
        <charset val="134"/>
      </rPr>
      <t>设备</t>
    </r>
    <phoneticPr fontId="9"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</si>
  <si>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9" type="noConversion"/>
  </si>
  <si>
    <r>
      <rPr>
        <sz val="11"/>
        <color indexed="8"/>
        <rFont val="宋体"/>
        <family val="3"/>
        <charset val="134"/>
      </rPr>
      <t>合</t>
    </r>
    <phoneticPr fontId="9" type="noConversion"/>
  </si>
  <si>
    <r>
      <rPr>
        <sz val="11"/>
        <color indexed="8"/>
        <rFont val="宋体"/>
        <family val="3"/>
        <charset val="134"/>
      </rPr>
      <t>土地面积</t>
    </r>
    <phoneticPr fontId="5" type="noConversion"/>
  </si>
  <si>
    <r>
      <rPr>
        <sz val="11"/>
        <color indexed="8"/>
        <rFont val="宋体"/>
        <family val="3"/>
        <charset val="134"/>
      </rPr>
      <t>建筑面积</t>
    </r>
    <phoneticPr fontId="5" type="noConversion"/>
  </si>
  <si>
    <r>
      <rPr>
        <sz val="11"/>
        <color indexed="8"/>
        <rFont val="宋体"/>
        <family val="3"/>
        <charset val="134"/>
      </rPr>
      <t>经营性</t>
    </r>
    <phoneticPr fontId="9" type="noConversion"/>
  </si>
  <si>
    <r>
      <rPr>
        <b/>
        <sz val="11"/>
        <color indexed="8"/>
        <rFont val="宋体"/>
        <family val="3"/>
        <charset val="134"/>
      </rPr>
      <t>小计</t>
    </r>
    <phoneticPr fontId="9" type="noConversion"/>
  </si>
  <si>
    <r>
      <rPr>
        <sz val="11"/>
        <color indexed="8"/>
        <rFont val="宋体"/>
        <family val="3"/>
        <charset val="134"/>
      </rPr>
      <t>非经营性</t>
    </r>
    <phoneticPr fontId="12" type="noConversion"/>
  </si>
  <si>
    <r>
      <rPr>
        <sz val="11"/>
        <color indexed="8"/>
        <rFont val="宋体"/>
        <family val="3"/>
        <charset val="134"/>
      </rPr>
      <t>设备及其他</t>
    </r>
    <phoneticPr fontId="9" type="noConversion"/>
  </si>
  <si>
    <r>
      <rPr>
        <sz val="11"/>
        <color indexed="8"/>
        <rFont val="宋体"/>
        <family val="3"/>
        <charset val="134"/>
      </rPr>
      <t>公共配套及物业（住宅）</t>
    </r>
    <phoneticPr fontId="9" type="noConversion"/>
  </si>
  <si>
    <r>
      <rPr>
        <b/>
        <sz val="11"/>
        <color indexed="8"/>
        <rFont val="宋体"/>
        <family val="3"/>
        <charset val="134"/>
      </rPr>
      <t>合计</t>
    </r>
    <phoneticPr fontId="9" type="noConversion"/>
  </si>
  <si>
    <r>
      <rPr>
        <sz val="11"/>
        <color indexed="8"/>
        <rFont val="宋体"/>
        <family val="3"/>
        <charset val="134"/>
      </rPr>
      <t>住宅用房合计</t>
    </r>
    <phoneticPr fontId="9"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</si>
  <si>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</si>
  <si>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</si>
  <si>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综合取费</t>
    </r>
    <phoneticPr fontId="5" type="noConversion"/>
  </si>
  <si>
    <r>
      <rPr>
        <sz val="11"/>
        <color indexed="8"/>
        <rFont val="宋体"/>
        <family val="3"/>
        <charset val="134"/>
      </rPr>
      <t>土地使用年期</t>
    </r>
    <phoneticPr fontId="5" type="noConversion"/>
  </si>
  <si>
    <r>
      <rPr>
        <sz val="11"/>
        <color indexed="8"/>
        <rFont val="宋体"/>
        <family val="3"/>
        <charset val="134"/>
      </rPr>
      <t>建安费用</t>
    </r>
    <phoneticPr fontId="5"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</si>
  <si>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5" type="noConversion"/>
  </si>
  <si>
    <r>
      <rPr>
        <sz val="11"/>
        <color indexed="8"/>
        <rFont val="宋体"/>
        <family val="3"/>
        <charset val="134"/>
      </rPr>
      <t>租期外</t>
    </r>
    <phoneticPr fontId="5" type="noConversion"/>
  </si>
  <si>
    <r>
      <rPr>
        <sz val="11"/>
        <color indexed="8"/>
        <rFont val="宋体"/>
        <family val="3"/>
        <charset val="134"/>
      </rPr>
      <t>收益期</t>
    </r>
    <phoneticPr fontId="5" type="noConversion"/>
  </si>
  <si>
    <r>
      <rPr>
        <sz val="11"/>
        <color indexed="8"/>
        <rFont val="宋体"/>
        <family val="3"/>
        <charset val="134"/>
      </rPr>
      <t>项目类型</t>
    </r>
    <phoneticPr fontId="6" type="noConversion"/>
  </si>
  <si>
    <r>
      <rPr>
        <sz val="11"/>
        <color indexed="8"/>
        <rFont val="宋体"/>
        <family val="3"/>
        <charset val="134"/>
      </rPr>
      <t>类别</t>
    </r>
    <phoneticPr fontId="5" type="noConversion"/>
  </si>
  <si>
    <r>
      <rPr>
        <sz val="11"/>
        <color indexed="8"/>
        <rFont val="宋体"/>
        <family val="3"/>
        <charset val="134"/>
      </rPr>
      <t>地类判定</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</si>
  <si>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</si>
  <si>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终止日期</t>
    </r>
    <phoneticPr fontId="5" type="noConversion"/>
  </si>
  <si>
    <r>
      <rPr>
        <sz val="11"/>
        <color indexed="8"/>
        <rFont val="宋体"/>
        <family val="3"/>
        <charset val="134"/>
      </rPr>
      <t>剩余土地使用年限</t>
    </r>
    <phoneticPr fontId="5" type="noConversion"/>
  </si>
  <si>
    <r>
      <rPr>
        <sz val="11"/>
        <color indexed="8"/>
        <rFont val="宋体"/>
        <family val="3"/>
        <charset val="134"/>
      </rPr>
      <t>年期修正系数</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</si>
  <si>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</si>
  <si>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</si>
  <si>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</si>
  <si>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建筑面积</t>
    </r>
    <phoneticPr fontId="6" type="noConversion"/>
  </si>
  <si>
    <r>
      <rPr>
        <sz val="11"/>
        <color indexed="8"/>
        <rFont val="宋体"/>
        <family val="3"/>
        <charset val="134"/>
      </rPr>
      <t>单方造价</t>
    </r>
    <phoneticPr fontId="6" type="noConversion"/>
  </si>
  <si>
    <r>
      <rPr>
        <sz val="11"/>
        <color indexed="8"/>
        <rFont val="宋体"/>
        <family val="3"/>
        <charset val="134"/>
      </rPr>
      <t>建安总额</t>
    </r>
    <phoneticPr fontId="6" type="noConversion"/>
  </si>
  <si>
    <r>
      <rPr>
        <sz val="11"/>
        <color indexed="8"/>
        <rFont val="宋体"/>
        <family val="3"/>
        <charset val="134"/>
      </rPr>
      <t>在建建安</t>
    </r>
    <phoneticPr fontId="6" type="noConversion"/>
  </si>
  <si>
    <r>
      <rPr>
        <sz val="11"/>
        <color indexed="8"/>
        <rFont val="宋体"/>
        <family val="3"/>
        <charset val="134"/>
      </rPr>
      <t>续建建安</t>
    </r>
    <phoneticPr fontId="6" type="noConversion"/>
  </si>
  <si>
    <r>
      <rPr>
        <sz val="11"/>
        <color indexed="8"/>
        <rFont val="宋体"/>
        <family val="3"/>
        <charset val="134"/>
      </rPr>
      <t>利润</t>
    </r>
    <phoneticPr fontId="5" type="noConversion"/>
  </si>
  <si>
    <r>
      <rPr>
        <sz val="11"/>
        <color indexed="8"/>
        <rFont val="宋体"/>
        <family val="3"/>
        <charset val="134"/>
      </rPr>
      <t>分摊土地面积（经营性）</t>
    </r>
    <phoneticPr fontId="5" type="noConversion"/>
  </si>
  <si>
    <r>
      <rPr>
        <sz val="11"/>
        <color indexed="8"/>
        <rFont val="宋体"/>
        <family val="3"/>
        <charset val="134"/>
      </rPr>
      <t>建筑面积（分摊设备）</t>
    </r>
    <phoneticPr fontId="5" type="noConversion"/>
  </si>
  <si>
    <r>
      <rPr>
        <sz val="11"/>
        <color indexed="8"/>
        <rFont val="宋体"/>
        <family val="3"/>
        <charset val="134"/>
      </rPr>
      <t>总建安（分摊非经营）</t>
    </r>
    <phoneticPr fontId="5" type="noConversion"/>
  </si>
  <si>
    <r>
      <rPr>
        <sz val="11"/>
        <color indexed="8"/>
        <rFont val="宋体"/>
        <family val="3"/>
        <charset val="134"/>
      </rPr>
      <t>租金</t>
    </r>
    <phoneticPr fontId="5" type="noConversion"/>
  </si>
  <si>
    <r>
      <rPr>
        <sz val="11"/>
        <color indexed="8"/>
        <rFont val="宋体"/>
        <family val="3"/>
        <charset val="134"/>
      </rPr>
      <t>年租金增长率</t>
    </r>
    <phoneticPr fontId="5" type="noConversion"/>
  </si>
  <si>
    <r>
      <rPr>
        <sz val="11"/>
        <color indexed="8"/>
        <rFont val="宋体"/>
        <family val="3"/>
        <charset val="134"/>
      </rPr>
      <t>空置率</t>
    </r>
    <phoneticPr fontId="5" type="noConversion"/>
  </si>
  <si>
    <r>
      <rPr>
        <sz val="11"/>
        <color indexed="8"/>
        <rFont val="宋体"/>
        <family val="3"/>
        <charset val="134"/>
      </rPr>
      <t>成新度</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</si>
  <si>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</si>
  <si>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剩余租赁期</t>
    </r>
    <phoneticPr fontId="5" type="noConversion"/>
  </si>
  <si>
    <r>
      <rPr>
        <sz val="11"/>
        <color indexed="8"/>
        <rFont val="宋体"/>
        <family val="3"/>
        <charset val="134"/>
      </rPr>
      <t>租赁期外收益期</t>
    </r>
    <phoneticPr fontId="5"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</si>
  <si>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</si>
  <si>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</si>
  <si>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</si>
  <si>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维修费率</t>
    </r>
    <phoneticPr fontId="5" type="noConversion"/>
  </si>
  <si>
    <r>
      <rPr>
        <sz val="11"/>
        <color indexed="8"/>
        <rFont val="宋体"/>
        <family val="3"/>
        <charset val="134"/>
      </rPr>
      <t>保险费率</t>
    </r>
    <phoneticPr fontId="5" type="noConversion"/>
  </si>
  <si>
    <r>
      <rPr>
        <sz val="11"/>
        <color indexed="8"/>
        <rFont val="宋体"/>
        <family val="3"/>
        <charset val="134"/>
      </rPr>
      <t>管理费率</t>
    </r>
    <phoneticPr fontId="5" type="noConversion"/>
  </si>
  <si>
    <r>
      <rPr>
        <sz val="11"/>
        <color indexed="8"/>
        <rFont val="宋体"/>
        <family val="3"/>
        <charset val="134"/>
      </rPr>
      <t>请选择所对应的收益法</t>
    </r>
    <phoneticPr fontId="5" type="noConversion"/>
  </si>
  <si>
    <r>
      <rPr>
        <sz val="11"/>
        <color indexed="8"/>
        <rFont val="宋体"/>
        <family val="3"/>
        <charset val="134"/>
      </rPr>
      <t>收益法结果</t>
    </r>
    <phoneticPr fontId="5" type="noConversion"/>
  </si>
  <si>
    <r>
      <rPr>
        <sz val="11"/>
        <color indexed="8"/>
        <rFont val="宋体"/>
        <family val="3"/>
        <charset val="134"/>
      </rPr>
      <t>辅助计算</t>
    </r>
    <phoneticPr fontId="5" type="noConversion"/>
  </si>
  <si>
    <r>
      <rPr>
        <sz val="11"/>
        <color indexed="8"/>
        <rFont val="宋体"/>
        <family val="3"/>
        <charset val="134"/>
      </rPr>
      <t>在建建安（分摊非经营）</t>
    </r>
    <phoneticPr fontId="5" type="noConversion"/>
  </si>
  <si>
    <r>
      <rPr>
        <sz val="11"/>
        <color indexed="8"/>
        <rFont val="宋体"/>
        <family val="3"/>
        <charset val="134"/>
      </rPr>
      <t>续建建安（分摊非经营）</t>
    </r>
    <phoneticPr fontId="5"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</si>
  <si>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</si>
  <si>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</si>
  <si>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5" type="noConversion"/>
  </si>
  <si>
    <r>
      <rPr>
        <sz val="11"/>
        <color indexed="8"/>
        <rFont val="宋体"/>
        <family val="3"/>
        <charset val="134"/>
      </rPr>
      <t>公共配套</t>
    </r>
  </si>
  <si>
    <r>
      <rPr>
        <b/>
        <sz val="11"/>
        <color indexed="8"/>
        <rFont val="宋体"/>
        <family val="3"/>
        <charset val="134"/>
      </rPr>
      <t>合计</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</si>
  <si>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</si>
  <si>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</si>
  <si>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color indexed="8"/>
        <rFont val="宋体"/>
        <family val="3"/>
        <charset val="134"/>
      </rPr>
      <t>默认为已完成的土地开发期</t>
    </r>
    <phoneticPr fontId="5" type="noConversion"/>
  </si>
  <si>
    <r>
      <rPr>
        <sz val="11"/>
        <rFont val="宋体"/>
        <family val="3"/>
        <charset val="134"/>
      </rPr>
      <t>建设期</t>
    </r>
    <phoneticPr fontId="6" type="noConversion"/>
  </si>
  <si>
    <r>
      <rPr>
        <sz val="11"/>
        <color indexed="8"/>
        <rFont val="宋体"/>
        <family val="3"/>
        <charset val="134"/>
      </rPr>
      <t>包含未完成的红线外市政工程时间（如现状三通，开发完成后七通）</t>
    </r>
    <phoneticPr fontId="5" type="noConversion"/>
  </si>
  <si>
    <r>
      <rPr>
        <sz val="11"/>
        <color indexed="8"/>
        <rFont val="宋体"/>
        <family val="3"/>
        <charset val="134"/>
      </rPr>
      <t>已建工期</t>
    </r>
    <phoneticPr fontId="6" type="noConversion"/>
  </si>
  <si>
    <r>
      <rPr>
        <sz val="11"/>
        <rFont val="宋体"/>
        <family val="3"/>
        <charset val="134"/>
      </rPr>
      <t>项目开发期</t>
    </r>
    <phoneticPr fontId="6" type="noConversion"/>
  </si>
  <si>
    <r>
      <rPr>
        <sz val="11"/>
        <color indexed="8"/>
        <rFont val="宋体"/>
        <family val="3"/>
        <charset val="134"/>
      </rPr>
      <t>项目已运行</t>
    </r>
    <phoneticPr fontId="6" type="noConversion"/>
  </si>
  <si>
    <r>
      <rPr>
        <sz val="11"/>
        <rFont val="宋体"/>
        <family val="3"/>
        <charset val="134"/>
      </rPr>
      <t>续建工期</t>
    </r>
    <phoneticPr fontId="6"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</si>
  <si>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</si>
  <si>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</si>
  <si>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</si>
  <si>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</si>
  <si>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theme="1"/>
        <rFont val="宋体"/>
        <family val="3"/>
        <charset val="134"/>
      </rPr>
      <t>请录依据文件名称：</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</si>
  <si>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</si>
  <si>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5" type="noConversion"/>
  </si>
  <si>
    <r>
      <rPr>
        <sz val="11"/>
        <color theme="1"/>
        <rFont val="宋体"/>
        <family val="3"/>
        <charset val="134"/>
      </rPr>
      <t>凭票据或默认已缴纳</t>
    </r>
    <phoneticPr fontId="5" type="noConversion"/>
  </si>
  <si>
    <r>
      <rPr>
        <sz val="11"/>
        <color indexed="8"/>
        <rFont val="宋体"/>
        <family val="3"/>
        <charset val="134"/>
      </rPr>
      <t>红线外市政基础设施（总）</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</si>
  <si>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</si>
  <si>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红线外市政基础设施（待完成）</t>
    </r>
    <phoneticPr fontId="5" type="noConversion"/>
  </si>
  <si>
    <r>
      <rPr>
        <sz val="11"/>
        <color indexed="8"/>
        <rFont val="宋体"/>
        <family val="3"/>
        <charset val="134"/>
      </rPr>
      <t>勘察设计和前期工程费</t>
    </r>
    <phoneticPr fontId="5" type="noConversion"/>
  </si>
  <si>
    <r>
      <rPr>
        <sz val="10"/>
        <color theme="1"/>
        <rFont val="宋体"/>
        <family val="3"/>
        <charset val="134"/>
      </rPr>
      <t>范围：</t>
    </r>
    <r>
      <rPr>
        <sz val="10"/>
        <color theme="1"/>
        <rFont val="Arial"/>
        <family val="2"/>
      </rPr>
      <t>3%-5%</t>
    </r>
    <phoneticPr fontId="5" type="noConversion"/>
  </si>
  <si>
    <r>
      <rPr>
        <sz val="11"/>
        <color indexed="8"/>
        <rFont val="宋体"/>
        <family val="3"/>
        <charset val="134"/>
      </rPr>
      <t>公共配套设施费用</t>
    </r>
    <phoneticPr fontId="5" type="noConversion"/>
  </si>
  <si>
    <r>
      <rPr>
        <sz val="10"/>
        <color theme="1"/>
        <rFont val="宋体"/>
        <family val="3"/>
        <charset val="134"/>
      </rPr>
      <t>范围：</t>
    </r>
    <r>
      <rPr>
        <sz val="10"/>
        <color theme="1"/>
        <rFont val="Arial"/>
        <family val="2"/>
      </rPr>
      <t>0-10%</t>
    </r>
    <phoneticPr fontId="5" type="noConversion"/>
  </si>
  <si>
    <r>
      <rPr>
        <sz val="11"/>
        <color indexed="8"/>
        <rFont val="宋体"/>
        <family val="3"/>
        <charset val="134"/>
      </rPr>
      <t>非住宅项目及用公共配套计算实为</t>
    </r>
    <r>
      <rPr>
        <sz val="11"/>
        <color indexed="8"/>
        <rFont val="Arial"/>
        <family val="2"/>
      </rPr>
      <t>0</t>
    </r>
    <phoneticPr fontId="5" type="noConversion"/>
  </si>
  <si>
    <r>
      <rPr>
        <sz val="11"/>
        <color indexed="8"/>
        <rFont val="宋体"/>
        <family val="3"/>
        <charset val="134"/>
      </rPr>
      <t>红线内市政基础设施</t>
    </r>
    <phoneticPr fontId="5" type="noConversion"/>
  </si>
  <si>
    <r>
      <rPr>
        <sz val="10"/>
        <color theme="1"/>
        <rFont val="宋体"/>
        <family val="3"/>
        <charset val="134"/>
      </rPr>
      <t>变化</t>
    </r>
    <phoneticPr fontId="5" type="noConversion"/>
  </si>
  <si>
    <r>
      <rPr>
        <sz val="11"/>
        <color indexed="8"/>
        <rFont val="宋体"/>
        <family val="3"/>
        <charset val="134"/>
      </rPr>
      <t>建造成本中相关税费</t>
    </r>
    <phoneticPr fontId="5" type="noConversion"/>
  </si>
  <si>
    <r>
      <rPr>
        <sz val="10"/>
        <color theme="1"/>
        <rFont val="宋体"/>
        <family val="3"/>
        <charset val="134"/>
      </rPr>
      <t>定值：</t>
    </r>
    <r>
      <rPr>
        <sz val="10"/>
        <color theme="1"/>
        <rFont val="Arial"/>
        <family val="2"/>
      </rPr>
      <t>1.5%</t>
    </r>
    <phoneticPr fontId="5" type="noConversion"/>
  </si>
  <si>
    <r>
      <rPr>
        <sz val="11"/>
        <color indexed="8"/>
        <rFont val="宋体"/>
        <family val="3"/>
        <charset val="134"/>
      </rPr>
      <t>管理费用</t>
    </r>
    <phoneticPr fontId="5" type="noConversion"/>
  </si>
  <si>
    <r>
      <rPr>
        <sz val="10"/>
        <color theme="1"/>
        <rFont val="宋体"/>
        <family val="3"/>
        <charset val="134"/>
      </rPr>
      <t>范围：</t>
    </r>
    <r>
      <rPr>
        <sz val="10"/>
        <color theme="1"/>
        <rFont val="Arial"/>
        <family val="2"/>
      </rPr>
      <t>1%-3%</t>
    </r>
    <phoneticPr fontId="5" type="noConversion"/>
  </si>
  <si>
    <r>
      <rPr>
        <sz val="11"/>
        <color indexed="8"/>
        <rFont val="宋体"/>
        <family val="3"/>
        <charset val="134"/>
      </rPr>
      <t>销售费用</t>
    </r>
    <phoneticPr fontId="5" type="noConversion"/>
  </si>
  <si>
    <r>
      <rPr>
        <sz val="11"/>
        <color indexed="8"/>
        <rFont val="宋体"/>
        <family val="3"/>
        <charset val="134"/>
      </rPr>
      <t>一年期存款利率</t>
    </r>
    <phoneticPr fontId="5" type="noConversion"/>
  </si>
  <si>
    <r>
      <rPr>
        <sz val="11"/>
        <color indexed="8"/>
        <rFont val="宋体"/>
        <family val="3"/>
        <charset val="134"/>
      </rPr>
      <t>贷款利息</t>
    </r>
    <phoneticPr fontId="5"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</si>
  <si>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</si>
  <si>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</si>
  <si>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增值税</t>
    </r>
    <phoneticPr fontId="5" type="noConversion"/>
  </si>
  <si>
    <r>
      <rPr>
        <sz val="11"/>
        <color indexed="8"/>
        <rFont val="宋体"/>
        <family val="3"/>
        <charset val="134"/>
      </rPr>
      <t>附加税合计</t>
    </r>
    <phoneticPr fontId="5" type="noConversion"/>
  </si>
  <si>
    <r>
      <rPr>
        <sz val="11"/>
        <color indexed="8"/>
        <rFont val="宋体"/>
        <family val="3"/>
        <charset val="134"/>
      </rPr>
      <t>城市维护建设税</t>
    </r>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</si>
  <si>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</si>
  <si>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</si>
  <si>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</si>
  <si>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</si>
  <si>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</si>
  <si>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sz val="11"/>
        <color indexed="8"/>
        <rFont val="宋体"/>
        <family val="3"/>
        <charset val="134"/>
      </rPr>
      <t>其他税种</t>
    </r>
    <phoneticPr fontId="5" type="noConversion"/>
  </si>
  <si>
    <r>
      <rPr>
        <sz val="11"/>
        <color theme="1"/>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</si>
  <si>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</si>
  <si>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</si>
  <si>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</si>
  <si>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</si>
  <si>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</si>
  <si>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</si>
  <si>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</si>
  <si>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</si>
  <si>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</si>
  <si>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</si>
  <si>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一级</t>
    </r>
    <phoneticPr fontId="5" type="noConversion"/>
  </si>
  <si>
    <r>
      <rPr>
        <sz val="11"/>
        <color indexed="8"/>
        <rFont val="宋体"/>
        <family val="3"/>
        <charset val="134"/>
      </rPr>
      <t>二级</t>
    </r>
    <phoneticPr fontId="5" type="noConversion"/>
  </si>
  <si>
    <r>
      <rPr>
        <sz val="11"/>
        <color indexed="8"/>
        <rFont val="宋体"/>
        <family val="3"/>
        <charset val="134"/>
      </rPr>
      <t>三级</t>
    </r>
    <phoneticPr fontId="5" type="noConversion"/>
  </si>
  <si>
    <r>
      <rPr>
        <sz val="11"/>
        <color indexed="8"/>
        <rFont val="宋体"/>
        <family val="3"/>
        <charset val="134"/>
      </rPr>
      <t>四级</t>
    </r>
    <phoneticPr fontId="5" type="noConversion"/>
  </si>
  <si>
    <r>
      <rPr>
        <sz val="11"/>
        <color indexed="8"/>
        <rFont val="宋体"/>
        <family val="3"/>
        <charset val="134"/>
      </rPr>
      <t>五级</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</si>
  <si>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</si>
  <si>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</si>
  <si>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</si>
  <si>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</si>
  <si>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</si>
  <si>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</si>
  <si>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30" type="noConversion"/>
  </si>
  <si>
    <r>
      <rPr>
        <b/>
        <sz val="11"/>
        <color indexed="8"/>
        <rFont val="宋体"/>
        <family val="3"/>
        <charset val="134"/>
      </rPr>
      <t>工业</t>
    </r>
    <phoneticPr fontId="30" type="noConversion"/>
  </si>
  <si>
    <r>
      <rPr>
        <b/>
        <sz val="11"/>
        <color indexed="8"/>
        <rFont val="宋体"/>
        <family val="3"/>
        <charset val="134"/>
      </rPr>
      <t>区位状况</t>
    </r>
    <phoneticPr fontId="27"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</si>
  <si>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</si>
  <si>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3"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</si>
  <si>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</si>
  <si>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3" type="noConversion"/>
  </si>
  <si>
    <r>
      <rPr>
        <sz val="11"/>
        <color indexed="8"/>
        <rFont val="宋体"/>
        <family val="3"/>
        <charset val="134"/>
      </rPr>
      <t>商业繁华度</t>
    </r>
    <phoneticPr fontId="31"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</si>
  <si>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7" type="noConversion"/>
  </si>
  <si>
    <r>
      <rPr>
        <sz val="11"/>
        <color indexed="8"/>
        <rFont val="宋体"/>
        <family val="3"/>
        <charset val="134"/>
      </rPr>
      <t>交通便捷度</t>
    </r>
    <phoneticPr fontId="31" type="noConversion"/>
  </si>
  <si>
    <r>
      <rPr>
        <sz val="11"/>
        <color theme="9" tint="-0.249977111117893"/>
        <rFont val="宋体"/>
        <family val="3"/>
        <charset val="134"/>
      </rPr>
      <t>估价对象周边道路状况、公共交通通达情况、停车便捷程度，综合评价交通便捷度较好</t>
    </r>
    <phoneticPr fontId="43" type="noConversion"/>
  </si>
  <si>
    <r>
      <rPr>
        <sz val="11"/>
        <color indexed="8"/>
        <rFont val="宋体"/>
        <family val="3"/>
        <charset val="134"/>
      </rPr>
      <t>办公集聚程度</t>
    </r>
    <phoneticPr fontId="31"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</si>
  <si>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7" type="noConversion"/>
  </si>
  <si>
    <r>
      <rPr>
        <sz val="11"/>
        <color indexed="8"/>
        <rFont val="宋体"/>
        <family val="3"/>
        <charset val="134"/>
      </rPr>
      <t>公共配套设施</t>
    </r>
    <phoneticPr fontId="27" type="noConversion"/>
  </si>
  <si>
    <r>
      <rPr>
        <sz val="11"/>
        <color theme="9" tint="-0.249977111117893"/>
        <rFont val="宋体"/>
        <family val="3"/>
        <charset val="134"/>
      </rPr>
      <t>估价对象所在区域公共配套设施齐备情况</t>
    </r>
    <phoneticPr fontId="43" type="noConversion"/>
  </si>
  <si>
    <r>
      <rPr>
        <sz val="11"/>
        <color indexed="8"/>
        <rFont val="宋体"/>
        <family val="3"/>
        <charset val="134"/>
      </rPr>
      <t>交通便捷度</t>
    </r>
  </si>
  <si>
    <r>
      <rPr>
        <sz val="11"/>
        <color indexed="8"/>
        <rFont val="宋体"/>
        <family val="3"/>
        <charset val="134"/>
      </rPr>
      <t>基础设施水平</t>
    </r>
    <phoneticPr fontId="27" type="noConversion"/>
  </si>
  <si>
    <r>
      <rPr>
        <sz val="11"/>
        <color theme="9" tint="-0.249977111117893"/>
        <rFont val="宋体"/>
        <family val="3"/>
        <charset val="134"/>
      </rPr>
      <t>估价对象所在区域基础设施水平</t>
    </r>
    <phoneticPr fontId="27" type="noConversion"/>
  </si>
  <si>
    <r>
      <rPr>
        <sz val="11"/>
        <color indexed="8"/>
        <rFont val="宋体"/>
        <family val="3"/>
        <charset val="134"/>
      </rPr>
      <t>环境状况</t>
    </r>
    <phoneticPr fontId="31" type="noConversion"/>
  </si>
  <si>
    <r>
      <rPr>
        <sz val="11"/>
        <color theme="9" tint="-0.249977111117893"/>
        <rFont val="宋体"/>
        <family val="3"/>
        <charset val="134"/>
      </rPr>
      <t>该园区内是否有污染型企业，绿化情况，卫生条件，整体环境状况判断</t>
    </r>
    <phoneticPr fontId="43"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</si>
  <si>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</si>
  <si>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3" type="noConversion"/>
  </si>
  <si>
    <r>
      <rPr>
        <sz val="11"/>
        <color indexed="8"/>
        <rFont val="宋体"/>
        <family val="3"/>
        <charset val="134"/>
      </rPr>
      <t>毗邻道路的类型与等级</t>
    </r>
    <phoneticPr fontId="31"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</si>
  <si>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</si>
  <si>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30" type="noConversion"/>
  </si>
  <si>
    <r>
      <rPr>
        <b/>
        <sz val="11"/>
        <color indexed="8"/>
        <rFont val="宋体"/>
        <family val="3"/>
        <charset val="134"/>
      </rPr>
      <t>工业</t>
    </r>
    <phoneticPr fontId="30" type="noConversion"/>
  </si>
  <si>
    <r>
      <rPr>
        <b/>
        <sz val="11"/>
        <color indexed="8"/>
        <rFont val="宋体"/>
        <family val="3"/>
        <charset val="134"/>
      </rPr>
      <t>区位状况</t>
    </r>
    <phoneticPr fontId="31" type="noConversion"/>
  </si>
  <si>
    <r>
      <rPr>
        <b/>
        <sz val="11"/>
        <color indexed="8"/>
        <rFont val="宋体"/>
        <family val="3"/>
        <charset val="134"/>
      </rPr>
      <t>区位状况</t>
    </r>
    <phoneticPr fontId="27" type="noConversion"/>
  </si>
  <si>
    <r>
      <rPr>
        <sz val="11"/>
        <color indexed="8"/>
        <rFont val="宋体"/>
        <family val="3"/>
        <charset val="134"/>
      </rPr>
      <t>产业集聚程度</t>
    </r>
    <phoneticPr fontId="31" type="noConversion"/>
  </si>
  <si>
    <r>
      <rPr>
        <sz val="11"/>
        <color indexed="8"/>
        <rFont val="宋体"/>
        <family val="3"/>
        <charset val="134"/>
      </rPr>
      <t>区域土地利用方向</t>
    </r>
    <phoneticPr fontId="31"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</si>
  <si>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</si>
  <si>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</si>
  <si>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7" type="noConversion"/>
  </si>
  <si>
    <r>
      <rPr>
        <sz val="11"/>
        <color indexed="8"/>
        <rFont val="宋体"/>
        <family val="3"/>
        <charset val="134"/>
      </rPr>
      <t>临街状况</t>
    </r>
  </si>
  <si>
    <r>
      <rPr>
        <sz val="11"/>
        <color indexed="8"/>
        <rFont val="宋体"/>
        <family val="3"/>
        <charset val="134"/>
      </rPr>
      <t>土地级别</t>
    </r>
    <phoneticPr fontId="31" type="noConversion"/>
  </si>
  <si>
    <r>
      <rPr>
        <sz val="11"/>
        <color indexed="8"/>
        <rFont val="宋体"/>
        <family val="3"/>
        <charset val="134"/>
      </rPr>
      <t>毗邻道路的类型与等级</t>
    </r>
  </si>
  <si>
    <r>
      <rPr>
        <b/>
        <sz val="14"/>
        <color rgb="FFFF0000"/>
        <rFont val="宋体"/>
        <family val="3"/>
        <charset val="134"/>
      </rPr>
      <t>估价结果（过程）</t>
    </r>
    <phoneticPr fontId="10" type="noConversion"/>
  </si>
  <si>
    <r>
      <rPr>
        <sz val="12"/>
        <color indexed="8"/>
        <rFont val="宋体"/>
        <family val="3"/>
        <charset val="134"/>
      </rPr>
      <t>估价对象状态</t>
    </r>
    <phoneticPr fontId="10"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</si>
  <si>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</si>
  <si>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</si>
  <si>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</si>
  <si>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10"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</si>
  <si>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</si>
  <si>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10"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</si>
  <si>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10"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</si>
  <si>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10"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</si>
  <si>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</si>
  <si>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10"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</si>
  <si>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10"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</si>
  <si>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</si>
  <si>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10"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</si>
  <si>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10"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</si>
  <si>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</si>
  <si>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10"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</si>
  <si>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10"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</si>
  <si>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</si>
  <si>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10"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</si>
  <si>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10"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</si>
  <si>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10" type="noConversion"/>
  </si>
  <si>
    <r>
      <rPr>
        <b/>
        <sz val="11"/>
        <color indexed="8"/>
        <rFont val="宋体"/>
        <family val="3"/>
        <charset val="134"/>
      </rPr>
      <t>分值</t>
    </r>
  </si>
  <si>
    <r>
      <rPr>
        <sz val="10"/>
        <color indexed="8"/>
        <rFont val="宋体"/>
        <family val="3"/>
        <charset val="134"/>
      </rPr>
      <t>含分摊设备建面</t>
    </r>
    <phoneticPr fontId="10" type="noConversion"/>
  </si>
  <si>
    <r>
      <rPr>
        <sz val="10"/>
        <color indexed="8"/>
        <rFont val="宋体"/>
        <family val="3"/>
        <charset val="134"/>
      </rPr>
      <t>用途建面</t>
    </r>
    <phoneticPr fontId="10" type="noConversion"/>
  </si>
  <si>
    <r>
      <rPr>
        <b/>
        <sz val="11"/>
        <color indexed="8"/>
        <rFont val="宋体"/>
        <family val="3"/>
        <charset val="134"/>
      </rPr>
      <t>权重</t>
    </r>
  </si>
  <si>
    <r>
      <rPr>
        <sz val="10"/>
        <color indexed="8"/>
        <rFont val="宋体"/>
        <family val="3"/>
        <charset val="134"/>
      </rPr>
      <t>建筑面积</t>
    </r>
    <phoneticPr fontId="10" type="noConversion"/>
  </si>
  <si>
    <r>
      <rPr>
        <b/>
        <sz val="11"/>
        <color indexed="8"/>
        <rFont val="宋体"/>
        <family val="3"/>
        <charset val="134"/>
      </rPr>
      <t>各方法结果</t>
    </r>
    <phoneticPr fontId="11" type="noConversion"/>
  </si>
  <si>
    <r>
      <rPr>
        <sz val="11"/>
        <color indexed="8"/>
        <rFont val="宋体"/>
        <family val="3"/>
        <charset val="134"/>
      </rPr>
      <t>总价</t>
    </r>
    <phoneticPr fontId="11" type="noConversion"/>
  </si>
  <si>
    <r>
      <rPr>
        <b/>
        <sz val="11"/>
        <color indexed="8"/>
        <rFont val="宋体"/>
        <family val="3"/>
        <charset val="134"/>
      </rPr>
      <t>权重结果</t>
    </r>
    <phoneticPr fontId="11" type="noConversion"/>
  </si>
  <si>
    <r>
      <rPr>
        <sz val="10"/>
        <color indexed="8"/>
        <rFont val="宋体"/>
        <family val="3"/>
        <charset val="134"/>
      </rPr>
      <t>万元</t>
    </r>
    <phoneticPr fontId="10" type="noConversion"/>
  </si>
  <si>
    <r>
      <rPr>
        <sz val="10"/>
        <color indexed="8"/>
        <rFont val="宋体"/>
        <family val="3"/>
        <charset val="134"/>
      </rPr>
      <t>土地面积</t>
    </r>
    <phoneticPr fontId="10" type="noConversion"/>
  </si>
  <si>
    <r>
      <rPr>
        <sz val="11"/>
        <color indexed="8"/>
        <rFont val="宋体"/>
        <family val="3"/>
        <charset val="134"/>
      </rPr>
      <t>楼面单价</t>
    </r>
    <phoneticPr fontId="1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</si>
  <si>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10" type="noConversion"/>
  </si>
  <si>
    <r>
      <rPr>
        <sz val="11"/>
        <color indexed="8"/>
        <rFont val="宋体"/>
        <family val="3"/>
        <charset val="134"/>
      </rPr>
      <t>地面单价</t>
    </r>
    <phoneticPr fontId="11" type="noConversion"/>
  </si>
  <si>
    <r>
      <rPr>
        <sz val="11"/>
        <color indexed="8"/>
        <rFont val="宋体"/>
        <family val="3"/>
        <charset val="134"/>
      </rPr>
      <t>各方法结果差值</t>
    </r>
    <phoneticPr fontId="10"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</si>
  <si>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10" type="noConversion"/>
  </si>
  <si>
    <r>
      <rPr>
        <sz val="11"/>
        <color rgb="FFFF0000"/>
        <rFont val="宋体"/>
        <family val="3"/>
        <charset val="134"/>
      </rPr>
      <t>扣减项</t>
    </r>
    <phoneticPr fontId="10" type="noConversion"/>
  </si>
  <si>
    <r>
      <rPr>
        <sz val="11"/>
        <color rgb="FFFF0000"/>
        <rFont val="宋体"/>
        <family val="3"/>
        <charset val="134"/>
      </rPr>
      <t>面积</t>
    </r>
    <phoneticPr fontId="10" type="noConversion"/>
  </si>
  <si>
    <r>
      <rPr>
        <sz val="11"/>
        <color rgb="FFFF0000"/>
        <rFont val="宋体"/>
        <family val="3"/>
        <charset val="134"/>
      </rPr>
      <t>单价</t>
    </r>
    <phoneticPr fontId="10" type="noConversion"/>
  </si>
  <si>
    <r>
      <rPr>
        <sz val="11"/>
        <color rgb="FFFF0000"/>
        <rFont val="宋体"/>
        <family val="3"/>
        <charset val="134"/>
      </rPr>
      <t>总值</t>
    </r>
    <phoneticPr fontId="10" type="noConversion"/>
  </si>
  <si>
    <r>
      <rPr>
        <sz val="11"/>
        <color rgb="FFFF0000"/>
        <rFont val="宋体"/>
        <family val="3"/>
        <charset val="134"/>
      </rPr>
      <t>合计</t>
    </r>
    <phoneticPr fontId="10" type="noConversion"/>
  </si>
  <si>
    <r>
      <rPr>
        <b/>
        <sz val="11"/>
        <color indexed="8"/>
        <rFont val="宋体"/>
        <family val="3"/>
        <charset val="134"/>
      </rPr>
      <t>房地产价值</t>
    </r>
    <phoneticPr fontId="10" type="noConversion"/>
  </si>
  <si>
    <r>
      <rPr>
        <b/>
        <sz val="11"/>
        <color indexed="8"/>
        <rFont val="宋体"/>
        <family val="3"/>
        <charset val="134"/>
      </rPr>
      <t>总价</t>
    </r>
  </si>
  <si>
    <r>
      <rPr>
        <b/>
        <sz val="11"/>
        <color indexed="8"/>
        <rFont val="宋体"/>
        <family val="3"/>
        <charset val="134"/>
      </rPr>
      <t>土地与建筑物价值分配原则</t>
    </r>
    <phoneticPr fontId="10" type="noConversion"/>
  </si>
  <si>
    <r>
      <rPr>
        <sz val="10"/>
        <color indexed="8"/>
        <rFont val="宋体"/>
        <family val="3"/>
        <charset val="134"/>
      </rPr>
      <t>自定义比例设置</t>
    </r>
    <phoneticPr fontId="94" type="noConversion"/>
  </si>
  <si>
    <r>
      <rPr>
        <sz val="11"/>
        <color indexed="8"/>
        <rFont val="宋体"/>
        <family val="3"/>
        <charset val="134"/>
      </rPr>
      <t>土地价值</t>
    </r>
    <phoneticPr fontId="10" type="noConversion"/>
  </si>
  <si>
    <r>
      <rPr>
        <sz val="10"/>
        <color indexed="8"/>
        <rFont val="宋体"/>
        <family val="3"/>
        <charset val="134"/>
      </rPr>
      <t>土地价值</t>
    </r>
    <phoneticPr fontId="94" type="noConversion"/>
  </si>
  <si>
    <r>
      <rPr>
        <sz val="11"/>
        <color indexed="8"/>
        <rFont val="宋体"/>
        <family val="3"/>
        <charset val="134"/>
      </rPr>
      <t>建筑物价值</t>
    </r>
    <phoneticPr fontId="10" type="noConversion"/>
  </si>
  <si>
    <r>
      <rPr>
        <sz val="10"/>
        <color indexed="8"/>
        <rFont val="宋体"/>
        <family val="3"/>
        <charset val="134"/>
      </rPr>
      <t>建筑物价值</t>
    </r>
    <phoneticPr fontId="94" type="noConversion"/>
  </si>
  <si>
    <r>
      <rPr>
        <b/>
        <sz val="11"/>
        <color indexed="8"/>
        <rFont val="宋体"/>
        <family val="3"/>
        <charset val="134"/>
      </rPr>
      <t>优先受偿情况</t>
    </r>
    <phoneticPr fontId="10" type="noConversion"/>
  </si>
  <si>
    <r>
      <rPr>
        <sz val="11"/>
        <color indexed="8"/>
        <rFont val="宋体"/>
        <family val="3"/>
        <charset val="134"/>
      </rPr>
      <t>已抵押担保数额</t>
    </r>
    <phoneticPr fontId="10" type="noConversion"/>
  </si>
  <si>
    <r>
      <rPr>
        <sz val="11"/>
        <color indexed="8"/>
        <rFont val="宋体"/>
        <family val="3"/>
        <charset val="134"/>
      </rPr>
      <t>拖欠工程款</t>
    </r>
    <phoneticPr fontId="10" type="noConversion"/>
  </si>
  <si>
    <r>
      <rPr>
        <sz val="11"/>
        <color indexed="8"/>
        <rFont val="宋体"/>
        <family val="3"/>
        <charset val="134"/>
      </rPr>
      <t>其他</t>
    </r>
    <phoneticPr fontId="10" type="noConversion"/>
  </si>
  <si>
    <r>
      <rPr>
        <sz val="11"/>
        <color indexed="8"/>
        <rFont val="宋体"/>
        <family val="3"/>
        <charset val="134"/>
      </rPr>
      <t>补交地价款</t>
    </r>
    <phoneticPr fontId="5" type="noConversion"/>
  </si>
  <si>
    <r>
      <rPr>
        <b/>
        <sz val="11"/>
        <color indexed="8"/>
        <rFont val="宋体"/>
        <family val="3"/>
        <charset val="134"/>
      </rPr>
      <t>补交地价款</t>
    </r>
    <phoneticPr fontId="10" type="noConversion"/>
  </si>
  <si>
    <r>
      <rPr>
        <sz val="11"/>
        <color rgb="FFFF0000"/>
        <rFont val="宋体"/>
        <family val="3"/>
        <charset val="134"/>
      </rPr>
      <t>面积</t>
    </r>
    <phoneticPr fontId="10" type="noConversion"/>
  </si>
  <si>
    <r>
      <rPr>
        <sz val="11"/>
        <color rgb="FFFF0000"/>
        <rFont val="宋体"/>
        <family val="3"/>
        <charset val="134"/>
      </rPr>
      <t>单价</t>
    </r>
    <phoneticPr fontId="10" type="noConversion"/>
  </si>
  <si>
    <r>
      <rPr>
        <sz val="11"/>
        <color rgb="FFFF0000"/>
        <rFont val="宋体"/>
        <family val="3"/>
        <charset val="134"/>
      </rPr>
      <t>税费</t>
    </r>
    <phoneticPr fontId="10" type="noConversion"/>
  </si>
  <si>
    <r>
      <rPr>
        <sz val="11"/>
        <color rgb="FFFF0000"/>
        <rFont val="宋体"/>
        <family val="3"/>
        <charset val="134"/>
      </rPr>
      <t>总值</t>
    </r>
    <phoneticPr fontId="10"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</si>
  <si>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</si>
  <si>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</si>
  <si>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10"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</si>
  <si>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</si>
  <si>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10" type="noConversion"/>
  </si>
  <si>
    <r>
      <rPr>
        <sz val="10"/>
        <color indexed="8"/>
        <rFont val="宋体"/>
        <family val="3"/>
        <charset val="134"/>
      </rPr>
      <t>按评估值的</t>
    </r>
    <phoneticPr fontId="10" type="noConversion"/>
  </si>
  <si>
    <r>
      <rPr>
        <sz val="10"/>
        <color indexed="8"/>
        <rFont val="宋体"/>
        <family val="3"/>
        <charset val="134"/>
      </rPr>
      <t>计算</t>
    </r>
    <phoneticPr fontId="10" type="noConversion"/>
  </si>
  <si>
    <r>
      <rPr>
        <b/>
        <sz val="10"/>
        <color theme="1"/>
        <rFont val="宋体"/>
        <family val="3"/>
        <charset val="134"/>
      </rPr>
      <t>估价对象基本情况</t>
    </r>
  </si>
  <si>
    <r>
      <rPr>
        <b/>
        <sz val="10"/>
        <color indexed="8"/>
        <rFont val="宋体"/>
        <family val="3"/>
        <charset val="134"/>
      </rPr>
      <t>处置时需缴纳的相关税费</t>
    </r>
    <phoneticPr fontId="10" type="noConversion"/>
  </si>
  <si>
    <r>
      <rPr>
        <b/>
        <sz val="10"/>
        <color theme="1"/>
        <rFont val="宋体"/>
        <family val="3"/>
        <charset val="134"/>
      </rPr>
      <t>估价对象</t>
    </r>
  </si>
  <si>
    <r>
      <rPr>
        <b/>
        <sz val="10"/>
        <color indexed="8"/>
        <rFont val="宋体"/>
        <family val="3"/>
        <charset val="134"/>
      </rPr>
      <t>税（费）种</t>
    </r>
    <phoneticPr fontId="10" type="noConversion"/>
  </si>
  <si>
    <r>
      <rPr>
        <sz val="10"/>
        <color indexed="8"/>
        <rFont val="宋体"/>
        <family val="3"/>
        <charset val="134"/>
      </rPr>
      <t>金额</t>
    </r>
    <phoneticPr fontId="10" type="noConversion"/>
  </si>
  <si>
    <r>
      <rPr>
        <sz val="10"/>
        <color indexed="8"/>
        <rFont val="宋体"/>
        <family val="3"/>
        <charset val="134"/>
      </rPr>
      <t>计算方法</t>
    </r>
    <phoneticPr fontId="10" type="noConversion"/>
  </si>
  <si>
    <r>
      <rPr>
        <b/>
        <sz val="10"/>
        <color indexed="8"/>
        <rFont val="宋体"/>
        <family val="3"/>
        <charset val="134"/>
      </rPr>
      <t>税（费）率</t>
    </r>
    <phoneticPr fontId="10" type="noConversion"/>
  </si>
  <si>
    <r>
      <rPr>
        <sz val="10"/>
        <color indexed="8"/>
        <rFont val="宋体"/>
        <family val="3"/>
        <charset val="134"/>
      </rPr>
      <t>备注</t>
    </r>
    <phoneticPr fontId="10" type="noConversion"/>
  </si>
  <si>
    <r>
      <rPr>
        <b/>
        <sz val="10"/>
        <color theme="1"/>
        <rFont val="宋体"/>
        <family val="3"/>
        <charset val="134"/>
      </rPr>
      <t>价值时点</t>
    </r>
  </si>
  <si>
    <r>
      <t>1.</t>
    </r>
    <r>
      <rPr>
        <sz val="10"/>
        <color indexed="8"/>
        <rFont val="宋体"/>
        <family val="3"/>
        <charset val="134"/>
      </rPr>
      <t>增值税及附加</t>
    </r>
    <phoneticPr fontId="10" type="noConversion"/>
  </si>
  <si>
    <r>
      <rPr>
        <sz val="10"/>
        <color indexed="10"/>
        <rFont val="宋体"/>
        <family val="3"/>
        <charset val="134"/>
      </rPr>
      <t>属于免缴时请录入面缴类别</t>
    </r>
    <phoneticPr fontId="10"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</si>
  <si>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</si>
  <si>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10" type="noConversion"/>
  </si>
  <si>
    <r>
      <rPr>
        <sz val="10"/>
        <color indexed="8"/>
        <rFont val="宋体"/>
        <family val="3"/>
        <charset val="134"/>
      </rPr>
      <t>情况</t>
    </r>
    <r>
      <rPr>
        <sz val="10"/>
        <color indexed="8"/>
        <rFont val="Arial"/>
        <family val="2"/>
      </rPr>
      <t>1</t>
    </r>
    <r>
      <rPr>
        <sz val="10"/>
        <color indexed="8"/>
        <rFont val="宋体"/>
        <family val="3"/>
        <charset val="134"/>
      </rPr>
      <t>：</t>
    </r>
    <phoneticPr fontId="10"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</si>
  <si>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10" type="noConversion"/>
  </si>
  <si>
    <r>
      <rPr>
        <sz val="10"/>
        <color indexed="8"/>
        <rFont val="宋体"/>
        <family val="3"/>
        <charset val="134"/>
      </rPr>
      <t>免征</t>
    </r>
    <phoneticPr fontId="10"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</si>
  <si>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10" type="noConversion"/>
  </si>
  <si>
    <r>
      <rPr>
        <b/>
        <sz val="10"/>
        <color theme="1"/>
        <rFont val="宋体"/>
        <family val="3"/>
        <charset val="134"/>
      </rPr>
      <t>处置时需缴纳的相关税费</t>
    </r>
  </si>
  <si>
    <r>
      <rPr>
        <sz val="10"/>
        <color indexed="8"/>
        <rFont val="宋体"/>
        <family val="3"/>
        <charset val="134"/>
      </rPr>
      <t>个体工商户购买的住宅</t>
    </r>
    <phoneticPr fontId="10"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</si>
  <si>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</si>
  <si>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</si>
  <si>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10"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</si>
  <si>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</si>
  <si>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</si>
  <si>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10"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</si>
  <si>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10" type="noConversion"/>
  </si>
  <si>
    <r>
      <rPr>
        <sz val="10"/>
        <color indexed="8"/>
        <rFont val="宋体"/>
        <family val="3"/>
        <charset val="134"/>
      </rPr>
      <t>全额计税</t>
    </r>
    <phoneticPr fontId="10" type="noConversion"/>
  </si>
  <si>
    <r>
      <rPr>
        <sz val="10"/>
        <color theme="1"/>
        <rFont val="宋体"/>
        <family val="3"/>
        <charset val="134"/>
      </rPr>
      <t>增值税及附加</t>
    </r>
    <phoneticPr fontId="10" type="noConversion"/>
  </si>
  <si>
    <r>
      <rPr>
        <sz val="10"/>
        <color indexed="8"/>
        <rFont val="宋体"/>
        <family val="3"/>
        <charset val="134"/>
      </rPr>
      <t>情况</t>
    </r>
    <r>
      <rPr>
        <sz val="10"/>
        <color indexed="8"/>
        <rFont val="Arial"/>
        <family val="2"/>
      </rPr>
      <t>3</t>
    </r>
    <r>
      <rPr>
        <sz val="10"/>
        <color indexed="8"/>
        <rFont val="宋体"/>
        <family val="3"/>
        <charset val="134"/>
      </rPr>
      <t>：</t>
    </r>
    <phoneticPr fontId="10"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</si>
  <si>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10" type="noConversion"/>
  </si>
  <si>
    <r>
      <rPr>
        <sz val="10"/>
        <color theme="1"/>
        <rFont val="宋体"/>
        <family val="3"/>
        <charset val="134"/>
      </rPr>
      <t>印花税</t>
    </r>
    <phoneticPr fontId="10" type="noConversion"/>
  </si>
  <si>
    <r>
      <rPr>
        <sz val="10"/>
        <color indexed="8"/>
        <rFont val="宋体"/>
        <family val="3"/>
        <charset val="134"/>
      </rPr>
      <t>情况</t>
    </r>
    <r>
      <rPr>
        <sz val="10"/>
        <color indexed="8"/>
        <rFont val="Arial"/>
        <family val="2"/>
      </rPr>
      <t>4</t>
    </r>
    <r>
      <rPr>
        <sz val="10"/>
        <color indexed="8"/>
        <rFont val="宋体"/>
        <family val="3"/>
        <charset val="134"/>
      </rPr>
      <t>：</t>
    </r>
    <phoneticPr fontId="10"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</si>
  <si>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10" type="noConversion"/>
  </si>
  <si>
    <r>
      <rPr>
        <sz val="10"/>
        <color indexed="8"/>
        <rFont val="宋体"/>
        <family val="3"/>
        <charset val="134"/>
      </rPr>
      <t>差额计税</t>
    </r>
    <phoneticPr fontId="10" type="noConversion"/>
  </si>
  <si>
    <r>
      <rPr>
        <sz val="10"/>
        <color theme="1"/>
        <rFont val="宋体"/>
        <family val="3"/>
        <charset val="134"/>
      </rPr>
      <t>土地增值税</t>
    </r>
    <phoneticPr fontId="10" type="noConversion"/>
  </si>
  <si>
    <r>
      <t>2.</t>
    </r>
    <r>
      <rPr>
        <sz val="10"/>
        <color indexed="8"/>
        <rFont val="宋体"/>
        <family val="3"/>
        <charset val="134"/>
      </rPr>
      <t>印花税</t>
    </r>
    <phoneticPr fontId="10"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</si>
  <si>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10" type="noConversion"/>
  </si>
  <si>
    <r>
      <rPr>
        <sz val="10"/>
        <color indexed="8"/>
        <rFont val="宋体"/>
        <family val="3"/>
        <charset val="134"/>
      </rPr>
      <t>正常</t>
    </r>
  </si>
  <si>
    <r>
      <t>3.</t>
    </r>
    <r>
      <rPr>
        <sz val="10"/>
        <color indexed="8"/>
        <rFont val="宋体"/>
        <family val="3"/>
        <charset val="134"/>
      </rPr>
      <t>土地增值税</t>
    </r>
    <phoneticPr fontId="10"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</si>
  <si>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10" type="noConversion"/>
  </si>
  <si>
    <r>
      <rPr>
        <sz val="10"/>
        <color rgb="FFFF0000"/>
        <rFont val="宋体"/>
        <family val="3"/>
        <charset val="134"/>
      </rPr>
      <t>属于免缴时请录入面缴类别</t>
    </r>
    <phoneticPr fontId="10" type="noConversion"/>
  </si>
  <si>
    <r>
      <rPr>
        <sz val="10"/>
        <color indexed="8"/>
        <rFont val="宋体"/>
        <family val="3"/>
        <charset val="134"/>
      </rPr>
      <t>个人住宅</t>
    </r>
    <phoneticPr fontId="10" type="noConversion"/>
  </si>
  <si>
    <r>
      <rPr>
        <sz val="10"/>
        <color theme="1"/>
        <rFont val="宋体"/>
        <family val="3"/>
        <charset val="134"/>
      </rPr>
      <t>合计</t>
    </r>
    <phoneticPr fontId="10"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</si>
  <si>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</si>
  <si>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10"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</si>
  <si>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</si>
  <si>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</si>
  <si>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10" type="noConversion"/>
  </si>
  <si>
    <r>
      <rPr>
        <sz val="10"/>
        <color indexed="8"/>
        <rFont val="宋体"/>
        <family val="3"/>
        <charset val="134"/>
      </rPr>
      <t>非个人房产</t>
    </r>
  </si>
  <si>
    <r>
      <rPr>
        <sz val="10"/>
        <color theme="1"/>
        <rFont val="宋体"/>
        <family val="3"/>
        <charset val="134"/>
      </rPr>
      <t>抵押净值</t>
    </r>
    <phoneticPr fontId="10" type="noConversion"/>
  </si>
  <si>
    <r>
      <rPr>
        <b/>
        <sz val="10"/>
        <color indexed="8"/>
        <rFont val="宋体"/>
        <family val="3"/>
        <charset val="134"/>
      </rPr>
      <t>销售不动产增值税及附加计算</t>
    </r>
    <phoneticPr fontId="36" type="noConversion"/>
  </si>
  <si>
    <r>
      <rPr>
        <sz val="10"/>
        <color theme="1"/>
        <rFont val="宋体"/>
        <family val="3"/>
        <charset val="134"/>
      </rPr>
      <t>抵押净值单价</t>
    </r>
    <phoneticPr fontId="10" type="noConversion"/>
  </si>
  <si>
    <r>
      <rPr>
        <b/>
        <sz val="10"/>
        <rFont val="宋体"/>
        <family val="3"/>
        <charset val="134"/>
      </rPr>
      <t>项目</t>
    </r>
    <phoneticPr fontId="40" type="noConversion"/>
  </si>
  <si>
    <r>
      <rPr>
        <b/>
        <sz val="10"/>
        <rFont val="宋体"/>
        <family val="3"/>
        <charset val="134"/>
      </rPr>
      <t>系数</t>
    </r>
    <phoneticPr fontId="40" type="noConversion"/>
  </si>
  <si>
    <r>
      <rPr>
        <sz val="10"/>
        <color indexed="8"/>
        <rFont val="宋体"/>
        <family val="3"/>
        <charset val="134"/>
      </rPr>
      <t>备注</t>
    </r>
    <phoneticPr fontId="40" type="noConversion"/>
  </si>
  <si>
    <r>
      <rPr>
        <b/>
        <sz val="10"/>
        <rFont val="宋体"/>
        <family val="3"/>
        <charset val="134"/>
      </rPr>
      <t>销售额</t>
    </r>
    <phoneticPr fontId="36"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</si>
  <si>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</si>
  <si>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</si>
  <si>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40"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</si>
  <si>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</si>
  <si>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10" type="noConversion"/>
  </si>
  <si>
    <r>
      <rPr>
        <sz val="10"/>
        <rFont val="宋体"/>
        <family val="3"/>
        <charset val="134"/>
      </rPr>
      <t>价外费用</t>
    </r>
    <phoneticPr fontId="36"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</si>
  <si>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</si>
  <si>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40"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</si>
  <si>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</si>
  <si>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10" type="noConversion"/>
  </si>
  <si>
    <r>
      <rPr>
        <b/>
        <sz val="10"/>
        <rFont val="宋体"/>
        <family val="3"/>
        <charset val="134"/>
      </rPr>
      <t>纳税基数</t>
    </r>
    <phoneticPr fontId="40" type="noConversion"/>
  </si>
  <si>
    <r>
      <rPr>
        <sz val="10"/>
        <color rgb="FF000000"/>
        <rFont val="宋体"/>
        <family val="3"/>
        <charset val="134"/>
      </rPr>
      <t>评估费</t>
    </r>
  </si>
  <si>
    <r>
      <rPr>
        <b/>
        <sz val="10"/>
        <rFont val="宋体"/>
        <family val="3"/>
        <charset val="134"/>
      </rPr>
      <t>纳税额</t>
    </r>
    <phoneticPr fontId="36"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</si>
  <si>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</si>
  <si>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</si>
  <si>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40" type="noConversion"/>
  </si>
  <si>
    <r>
      <rPr>
        <b/>
        <sz val="10"/>
        <rFont val="宋体"/>
        <family val="3"/>
        <charset val="134"/>
      </rPr>
      <t>转让收入</t>
    </r>
    <phoneticPr fontId="40" type="noConversion"/>
  </si>
  <si>
    <r>
      <rPr>
        <b/>
        <sz val="10"/>
        <color indexed="8"/>
        <rFont val="宋体"/>
        <family val="3"/>
        <charset val="134"/>
      </rPr>
      <t>扣除项合计</t>
    </r>
    <phoneticPr fontId="40" type="noConversion"/>
  </si>
  <si>
    <r>
      <rPr>
        <sz val="10"/>
        <rFont val="宋体"/>
        <family val="3"/>
        <charset val="134"/>
      </rPr>
      <t>原购房价及相关税费</t>
    </r>
    <phoneticPr fontId="40" type="noConversion"/>
  </si>
  <si>
    <r>
      <rPr>
        <sz val="10"/>
        <rFont val="宋体"/>
        <family val="3"/>
        <charset val="134"/>
      </rPr>
      <t>原购房价</t>
    </r>
    <phoneticPr fontId="40" type="noConversion"/>
  </si>
  <si>
    <r>
      <rPr>
        <sz val="11"/>
        <color indexed="8"/>
        <rFont val="宋体"/>
        <family val="3"/>
        <charset val="134"/>
      </rPr>
      <t>原购房价依据</t>
    </r>
    <phoneticPr fontId="36" type="noConversion"/>
  </si>
  <si>
    <r>
      <rPr>
        <sz val="11"/>
        <color indexed="8"/>
        <rFont val="宋体"/>
        <family val="3"/>
        <charset val="134"/>
      </rPr>
      <t>买卖合同</t>
    </r>
  </si>
  <si>
    <r>
      <rPr>
        <sz val="11"/>
        <color indexed="8"/>
        <rFont val="宋体"/>
        <family val="3"/>
        <charset val="134"/>
      </rPr>
      <t>已购年限</t>
    </r>
    <phoneticPr fontId="36" type="noConversion"/>
  </si>
  <si>
    <r>
      <rPr>
        <sz val="10"/>
        <rFont val="宋体"/>
        <family val="3"/>
        <charset val="134"/>
      </rPr>
      <t>加计扣减项</t>
    </r>
    <phoneticPr fontId="36"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</si>
  <si>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40" type="noConversion"/>
  </si>
  <si>
    <r>
      <rPr>
        <sz val="10"/>
        <rFont val="宋体"/>
        <family val="3"/>
        <charset val="134"/>
      </rPr>
      <t>相关税费</t>
    </r>
    <phoneticPr fontId="40" type="noConversion"/>
  </si>
  <si>
    <r>
      <rPr>
        <sz val="10"/>
        <color indexed="8"/>
        <rFont val="宋体"/>
        <family val="3"/>
        <charset val="134"/>
      </rPr>
      <t>含契税及印花税</t>
    </r>
    <phoneticPr fontId="40"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</si>
  <si>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</si>
  <si>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40" type="noConversion"/>
  </si>
  <si>
    <r>
      <rPr>
        <sz val="10"/>
        <color indexed="8"/>
        <rFont val="宋体"/>
        <family val="3"/>
        <charset val="134"/>
      </rPr>
      <t>不含增值税，仅附加税</t>
    </r>
    <phoneticPr fontId="36" type="noConversion"/>
  </si>
  <si>
    <r>
      <rPr>
        <b/>
        <sz val="10"/>
        <rFont val="宋体"/>
        <family val="3"/>
        <charset val="134"/>
      </rPr>
      <t>增值额</t>
    </r>
    <phoneticPr fontId="40" type="noConversion"/>
  </si>
  <si>
    <r>
      <rPr>
        <b/>
        <sz val="10"/>
        <rFont val="宋体"/>
        <family val="3"/>
        <charset val="134"/>
      </rPr>
      <t>增值额与扣除项比率</t>
    </r>
    <phoneticPr fontId="40" type="noConversion"/>
  </si>
  <si>
    <r>
      <rPr>
        <b/>
        <sz val="10"/>
        <rFont val="宋体"/>
        <family val="3"/>
        <charset val="134"/>
      </rPr>
      <t>应纳增值税税额</t>
    </r>
    <phoneticPr fontId="40" type="noConversion"/>
  </si>
  <si>
    <r>
      <rPr>
        <b/>
        <sz val="10"/>
        <rFont val="宋体"/>
        <family val="3"/>
        <charset val="134"/>
      </rPr>
      <t>土地增值税（自行开发建设）</t>
    </r>
    <phoneticPr fontId="40" type="noConversion"/>
  </si>
  <si>
    <r>
      <rPr>
        <sz val="10"/>
        <rFont val="宋体"/>
        <family val="3"/>
        <charset val="134"/>
      </rPr>
      <t>土地取得成本</t>
    </r>
    <phoneticPr fontId="40" type="noConversion"/>
  </si>
  <si>
    <r>
      <rPr>
        <sz val="10"/>
        <rFont val="宋体"/>
        <family val="3"/>
        <charset val="134"/>
      </rPr>
      <t>土地取得费用</t>
    </r>
    <phoneticPr fontId="40" type="noConversion"/>
  </si>
  <si>
    <r>
      <rPr>
        <sz val="10"/>
        <color indexed="8"/>
        <rFont val="宋体"/>
        <family val="3"/>
        <charset val="134"/>
      </rPr>
      <t>依据出让合同</t>
    </r>
    <phoneticPr fontId="36" type="noConversion"/>
  </si>
  <si>
    <r>
      <rPr>
        <sz val="9"/>
        <color indexed="8"/>
        <rFont val="宋体"/>
        <family val="3"/>
        <charset val="134"/>
      </rPr>
      <t>出让价款内涵：</t>
    </r>
    <phoneticPr fontId="36" type="noConversion"/>
  </si>
  <si>
    <r>
      <rPr>
        <sz val="10"/>
        <color indexed="8"/>
        <rFont val="宋体"/>
        <family val="3"/>
        <charset val="134"/>
      </rPr>
      <t>契税及印花税</t>
    </r>
    <phoneticPr fontId="36" type="noConversion"/>
  </si>
  <si>
    <r>
      <rPr>
        <sz val="10"/>
        <rFont val="宋体"/>
        <family val="3"/>
        <charset val="134"/>
      </rPr>
      <t>土地开发费</t>
    </r>
    <phoneticPr fontId="40" type="noConversion"/>
  </si>
  <si>
    <r>
      <rPr>
        <sz val="10"/>
        <color indexed="8"/>
        <rFont val="宋体"/>
        <family val="3"/>
        <charset val="134"/>
      </rPr>
      <t>（</t>
    </r>
    <r>
      <rPr>
        <sz val="10"/>
        <color indexed="8"/>
        <rFont val="Arial"/>
        <family val="2"/>
      </rPr>
      <t>3</t>
    </r>
    <r>
      <rPr>
        <sz val="10"/>
        <color indexed="8"/>
        <rFont val="宋体"/>
        <family val="3"/>
        <charset val="134"/>
      </rPr>
      <t>）</t>
    </r>
    <phoneticPr fontId="40" type="noConversion"/>
  </si>
  <si>
    <r>
      <rPr>
        <sz val="10"/>
        <rFont val="宋体"/>
        <family val="3"/>
        <charset val="134"/>
      </rPr>
      <t>建造成本</t>
    </r>
    <phoneticPr fontId="40" type="noConversion"/>
  </si>
  <si>
    <r>
      <rPr>
        <sz val="10"/>
        <color indexed="8"/>
        <rFont val="宋体"/>
        <family val="3"/>
        <charset val="134"/>
      </rPr>
      <t>包括前期工程费、建筑安装工程费、基础设施费和公共配套费等</t>
    </r>
    <phoneticPr fontId="36"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</si>
  <si>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</si>
  <si>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40" type="noConversion"/>
  </si>
  <si>
    <r>
      <rPr>
        <sz val="10"/>
        <rFont val="宋体"/>
        <family val="3"/>
        <charset val="134"/>
      </rPr>
      <t>开发费用扣除</t>
    </r>
    <phoneticPr fontId="40"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</si>
  <si>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6" type="noConversion"/>
  </si>
  <si>
    <r>
      <rPr>
        <sz val="10"/>
        <color indexed="8"/>
        <rFont val="宋体"/>
        <family val="3"/>
        <charset val="134"/>
      </rPr>
      <t>（</t>
    </r>
    <r>
      <rPr>
        <sz val="10"/>
        <color indexed="8"/>
        <rFont val="Arial"/>
        <family val="2"/>
      </rPr>
      <t>5</t>
    </r>
    <r>
      <rPr>
        <sz val="10"/>
        <color indexed="8"/>
        <rFont val="宋体"/>
        <family val="3"/>
        <charset val="134"/>
      </rPr>
      <t>）</t>
    </r>
    <phoneticPr fontId="40" type="noConversion"/>
  </si>
  <si>
    <r>
      <rPr>
        <sz val="10"/>
        <color indexed="8"/>
        <rFont val="宋体"/>
        <family val="3"/>
        <charset val="134"/>
      </rPr>
      <t>（</t>
    </r>
    <r>
      <rPr>
        <sz val="10"/>
        <color indexed="8"/>
        <rFont val="Arial"/>
        <family val="2"/>
      </rPr>
      <t>6</t>
    </r>
    <r>
      <rPr>
        <sz val="10"/>
        <color indexed="8"/>
        <rFont val="宋体"/>
        <family val="3"/>
        <charset val="134"/>
      </rPr>
      <t>）</t>
    </r>
    <phoneticPr fontId="40" type="noConversion"/>
  </si>
  <si>
    <r>
      <rPr>
        <sz val="10"/>
        <rFont val="宋体"/>
        <family val="3"/>
        <charset val="134"/>
      </rPr>
      <t>加计扣除金额</t>
    </r>
    <phoneticPr fontId="40"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</si>
  <si>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6" type="noConversion"/>
  </si>
  <si>
    <r>
      <rPr>
        <b/>
        <sz val="14"/>
        <color rgb="FFFF0000"/>
        <rFont val="宋体"/>
        <family val="3"/>
        <charset val="134"/>
      </rPr>
      <t>估价结果</t>
    </r>
    <phoneticPr fontId="10" type="noConversion"/>
  </si>
  <si>
    <r>
      <rPr>
        <b/>
        <sz val="11"/>
        <color indexed="8"/>
        <rFont val="宋体"/>
        <family val="3"/>
        <charset val="134"/>
      </rPr>
      <t>结果表</t>
    </r>
    <r>
      <rPr>
        <b/>
        <sz val="11"/>
        <color indexed="8"/>
        <rFont val="Arial"/>
        <family val="2"/>
      </rPr>
      <t>-1</t>
    </r>
    <phoneticPr fontId="10"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</si>
  <si>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10"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</si>
  <si>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</si>
  <si>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10"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</si>
  <si>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</si>
  <si>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</si>
  <si>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</si>
  <si>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</si>
  <si>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</si>
  <si>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</si>
  <si>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10"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</si>
  <si>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10"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</si>
  <si>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10"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</si>
  <si>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10" type="noConversion"/>
  </si>
  <si>
    <r>
      <rPr>
        <b/>
        <sz val="11"/>
        <color indexed="8"/>
        <rFont val="宋体"/>
        <family val="3"/>
        <charset val="134"/>
      </rPr>
      <t>结果表</t>
    </r>
    <r>
      <rPr>
        <b/>
        <sz val="11"/>
        <color indexed="8"/>
        <rFont val="Arial"/>
        <family val="2"/>
      </rPr>
      <t>-3</t>
    </r>
    <phoneticPr fontId="5"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</si>
  <si>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</si>
  <si>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</si>
  <si>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</si>
  <si>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</si>
  <si>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10"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</si>
  <si>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</si>
  <si>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</si>
  <si>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6" type="noConversion"/>
  </si>
  <si>
    <r>
      <rPr>
        <b/>
        <sz val="12"/>
        <color rgb="FFFF0000"/>
        <rFont val="宋体"/>
        <family val="3"/>
        <charset val="134"/>
      </rPr>
      <t>测算中的特殊事项处理</t>
    </r>
    <phoneticPr fontId="10"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</si>
  <si>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</si>
  <si>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</si>
  <si>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10"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</si>
  <si>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</si>
  <si>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10" type="noConversion"/>
  </si>
  <si>
    <r>
      <rPr>
        <b/>
        <sz val="10"/>
        <color indexed="8"/>
        <rFont val="宋体"/>
        <family val="3"/>
        <charset val="134"/>
      </rPr>
      <t>终审意见：</t>
    </r>
    <r>
      <rPr>
        <b/>
        <sz val="10"/>
        <color indexed="8"/>
        <rFont val="Arial"/>
        <family val="2"/>
      </rPr>
      <t xml:space="preserve">      </t>
    </r>
    <phoneticPr fontId="5" type="noConversion"/>
  </si>
  <si>
    <r>
      <rPr>
        <b/>
        <sz val="16"/>
        <color indexed="10"/>
        <rFont val="宋体"/>
        <family val="3"/>
        <charset val="134"/>
      </rPr>
      <t>成本法</t>
    </r>
    <phoneticPr fontId="18" type="noConversion"/>
  </si>
  <si>
    <r>
      <rPr>
        <b/>
        <sz val="12"/>
        <rFont val="宋体"/>
        <family val="3"/>
        <charset val="134"/>
      </rPr>
      <t>总价</t>
    </r>
    <phoneticPr fontId="20" type="noConversion"/>
  </si>
  <si>
    <r>
      <rPr>
        <b/>
        <sz val="12"/>
        <rFont val="宋体"/>
        <family val="3"/>
        <charset val="134"/>
      </rPr>
      <t>万元</t>
    </r>
    <phoneticPr fontId="20" type="noConversion"/>
  </si>
  <si>
    <r>
      <rPr>
        <b/>
        <sz val="12"/>
        <rFont val="宋体"/>
        <family val="3"/>
        <charset val="134"/>
      </rPr>
      <t>楼面单价</t>
    </r>
    <phoneticPr fontId="20" type="noConversion"/>
  </si>
  <si>
    <r>
      <rPr>
        <b/>
        <sz val="12"/>
        <rFont val="宋体"/>
        <family val="3"/>
        <charset val="134"/>
      </rPr>
      <t>元</t>
    </r>
    <r>
      <rPr>
        <b/>
        <sz val="12"/>
        <rFont val="Arial"/>
        <family val="2"/>
      </rPr>
      <t>/</t>
    </r>
    <r>
      <rPr>
        <b/>
        <sz val="12"/>
        <rFont val="宋体"/>
        <family val="3"/>
        <charset val="134"/>
      </rPr>
      <t>平方米</t>
    </r>
    <phoneticPr fontId="20" type="noConversion"/>
  </si>
  <si>
    <r>
      <t>1.</t>
    </r>
    <r>
      <rPr>
        <b/>
        <sz val="12"/>
        <rFont val="宋体"/>
        <family val="3"/>
        <charset val="134"/>
      </rPr>
      <t>土地价值</t>
    </r>
    <phoneticPr fontId="18" type="noConversion"/>
  </si>
  <si>
    <r>
      <rPr>
        <b/>
        <sz val="10"/>
        <rFont val="宋体"/>
        <family val="3"/>
        <charset val="134"/>
      </rPr>
      <t>（</t>
    </r>
    <r>
      <rPr>
        <b/>
        <sz val="10"/>
        <rFont val="Arial"/>
        <family val="2"/>
      </rPr>
      <t>1</t>
    </r>
    <r>
      <rPr>
        <b/>
        <sz val="10"/>
        <rFont val="宋体"/>
        <family val="3"/>
        <charset val="134"/>
      </rPr>
      <t>）</t>
    </r>
    <phoneticPr fontId="20" type="noConversion"/>
  </si>
  <si>
    <r>
      <rPr>
        <b/>
        <sz val="10"/>
        <rFont val="宋体"/>
        <family val="3"/>
        <charset val="134"/>
      </rPr>
      <t>土地取得成本</t>
    </r>
    <phoneticPr fontId="18" type="noConversion"/>
  </si>
  <si>
    <r>
      <rPr>
        <b/>
        <sz val="10"/>
        <rFont val="宋体"/>
        <family val="3"/>
        <charset val="134"/>
      </rPr>
      <t>面积</t>
    </r>
    <phoneticPr fontId="18" type="noConversion"/>
  </si>
  <si>
    <r>
      <rPr>
        <b/>
        <sz val="10"/>
        <rFont val="宋体"/>
        <family val="3"/>
        <charset val="134"/>
      </rPr>
      <t>单价</t>
    </r>
    <phoneticPr fontId="18" type="noConversion"/>
  </si>
  <si>
    <r>
      <rPr>
        <b/>
        <sz val="10"/>
        <rFont val="宋体"/>
        <family val="3"/>
        <charset val="134"/>
      </rPr>
      <t>系数</t>
    </r>
    <phoneticPr fontId="18" type="noConversion"/>
  </si>
  <si>
    <r>
      <t>1</t>
    </r>
    <r>
      <rPr>
        <sz val="10"/>
        <rFont val="宋体"/>
        <family val="3"/>
        <charset val="134"/>
      </rPr>
      <t>）</t>
    </r>
    <phoneticPr fontId="18" type="noConversion"/>
  </si>
  <si>
    <r>
      <rPr>
        <sz val="10"/>
        <rFont val="宋体"/>
        <family val="3"/>
        <charset val="134"/>
      </rPr>
      <t>土地购买价格</t>
    </r>
    <phoneticPr fontId="20" type="noConversion"/>
  </si>
  <si>
    <r>
      <t>2</t>
    </r>
    <r>
      <rPr>
        <sz val="10"/>
        <rFont val="宋体"/>
        <family val="3"/>
        <charset val="134"/>
      </rPr>
      <t>）</t>
    </r>
    <phoneticPr fontId="18" type="noConversion"/>
  </si>
  <si>
    <r>
      <rPr>
        <sz val="10"/>
        <rFont val="宋体"/>
        <family val="3"/>
        <charset val="134"/>
      </rPr>
      <t>土地取得税费</t>
    </r>
  </si>
  <si>
    <r>
      <t>3</t>
    </r>
    <r>
      <rPr>
        <sz val="10"/>
        <rFont val="宋体"/>
        <family val="3"/>
        <charset val="134"/>
      </rPr>
      <t>）</t>
    </r>
    <phoneticPr fontId="18" type="noConversion"/>
  </si>
  <si>
    <r>
      <rPr>
        <sz val="10"/>
        <rFont val="宋体"/>
        <family val="3"/>
        <charset val="134"/>
      </rPr>
      <t>城市基础设施建设费（行政收费）</t>
    </r>
    <phoneticPr fontId="18" type="noConversion"/>
  </si>
  <si>
    <r>
      <rPr>
        <i/>
        <sz val="10"/>
        <rFont val="宋体"/>
        <family val="3"/>
        <charset val="134"/>
      </rPr>
      <t>住宅</t>
    </r>
    <phoneticPr fontId="18" type="noConversion"/>
  </si>
  <si>
    <r>
      <rPr>
        <b/>
        <sz val="10"/>
        <color rgb="FFFF0000"/>
        <rFont val="宋体"/>
        <family val="3"/>
        <charset val="134"/>
      </rPr>
      <t>万元</t>
    </r>
    <phoneticPr fontId="145" type="noConversion"/>
  </si>
  <si>
    <r>
      <rPr>
        <i/>
        <sz val="10"/>
        <rFont val="宋体"/>
        <family val="3"/>
        <charset val="134"/>
      </rPr>
      <t>非住宅</t>
    </r>
    <phoneticPr fontId="18" type="noConversion"/>
  </si>
  <si>
    <r>
      <rPr>
        <sz val="10"/>
        <rFont val="宋体"/>
        <family val="3"/>
        <charset val="134"/>
      </rPr>
      <t>土地使用权出让金</t>
    </r>
    <phoneticPr fontId="18" type="noConversion"/>
  </si>
  <si>
    <r>
      <rPr>
        <sz val="10"/>
        <rFont val="宋体"/>
        <family val="3"/>
        <charset val="134"/>
      </rPr>
      <t>相关税费</t>
    </r>
    <phoneticPr fontId="18" type="noConversion"/>
  </si>
  <si>
    <r>
      <rPr>
        <sz val="10"/>
        <rFont val="宋体"/>
        <family val="3"/>
        <charset val="134"/>
      </rPr>
      <t>征地补偿安置费及其相关税费</t>
    </r>
    <phoneticPr fontId="18" type="noConversion"/>
  </si>
  <si>
    <r>
      <rPr>
        <sz val="10"/>
        <rFont val="宋体"/>
        <family val="3"/>
        <charset val="134"/>
      </rPr>
      <t>城市基础设施建设费（行政收费）</t>
    </r>
    <phoneticPr fontId="18" type="noConversion"/>
  </si>
  <si>
    <r>
      <rPr>
        <sz val="10"/>
        <rFont val="宋体"/>
        <family val="3"/>
        <charset val="134"/>
      </rPr>
      <t>以建筑面积为计算基数，按各区发文标准</t>
    </r>
    <phoneticPr fontId="18" type="noConversion"/>
  </si>
  <si>
    <r>
      <rPr>
        <sz val="10"/>
        <rFont val="宋体"/>
        <family val="3"/>
        <charset val="134"/>
      </rPr>
      <t>出让金</t>
    </r>
    <phoneticPr fontId="18" type="noConversion"/>
  </si>
  <si>
    <r>
      <rPr>
        <sz val="10"/>
        <rFont val="宋体"/>
        <family val="3"/>
        <charset val="134"/>
      </rPr>
      <t>采用比较法求取</t>
    </r>
    <phoneticPr fontId="18" type="noConversion"/>
  </si>
  <si>
    <r>
      <rPr>
        <sz val="10"/>
        <rFont val="宋体"/>
        <family val="3"/>
        <charset val="134"/>
      </rPr>
      <t>开发补偿费用</t>
    </r>
    <phoneticPr fontId="18" type="noConversion"/>
  </si>
  <si>
    <r>
      <rPr>
        <sz val="10"/>
        <rFont val="宋体"/>
        <family val="3"/>
        <charset val="134"/>
      </rPr>
      <t>契税及印花税</t>
    </r>
    <phoneticPr fontId="18" type="noConversion"/>
  </si>
  <si>
    <r>
      <rPr>
        <sz val="10"/>
        <rFont val="宋体"/>
        <family val="3"/>
        <charset val="134"/>
      </rPr>
      <t>以上述三项为基数计算</t>
    </r>
    <phoneticPr fontId="18" type="noConversion"/>
  </si>
  <si>
    <r>
      <rPr>
        <b/>
        <sz val="10"/>
        <rFont val="宋体"/>
        <family val="3"/>
        <charset val="134"/>
      </rPr>
      <t>（</t>
    </r>
    <r>
      <rPr>
        <b/>
        <sz val="10"/>
        <rFont val="Arial"/>
        <family val="2"/>
      </rPr>
      <t>2</t>
    </r>
    <r>
      <rPr>
        <b/>
        <sz val="10"/>
        <rFont val="宋体"/>
        <family val="3"/>
        <charset val="134"/>
      </rPr>
      <t>）</t>
    </r>
    <phoneticPr fontId="20" type="noConversion"/>
  </si>
  <si>
    <r>
      <rPr>
        <b/>
        <sz val="10"/>
        <rFont val="宋体"/>
        <family val="3"/>
        <charset val="134"/>
      </rPr>
      <t>土地开发费用</t>
    </r>
    <r>
      <rPr>
        <b/>
        <sz val="10"/>
        <rFont val="Arial"/>
        <family val="2"/>
      </rPr>
      <t>-</t>
    </r>
    <r>
      <rPr>
        <b/>
        <sz val="10"/>
        <rFont val="宋体"/>
        <family val="3"/>
        <charset val="134"/>
      </rPr>
      <t>红线外（现状）</t>
    </r>
    <phoneticPr fontId="18" type="noConversion"/>
  </si>
  <si>
    <r>
      <rPr>
        <b/>
        <sz val="10"/>
        <rFont val="宋体"/>
        <family val="3"/>
        <charset val="134"/>
      </rPr>
      <t>（</t>
    </r>
    <r>
      <rPr>
        <b/>
        <sz val="10"/>
        <rFont val="Arial"/>
        <family val="2"/>
      </rPr>
      <t>3</t>
    </r>
    <r>
      <rPr>
        <b/>
        <sz val="10"/>
        <rFont val="宋体"/>
        <family val="3"/>
        <charset val="134"/>
      </rPr>
      <t>）</t>
    </r>
    <phoneticPr fontId="20" type="noConversion"/>
  </si>
  <si>
    <r>
      <rPr>
        <b/>
        <sz val="10"/>
        <rFont val="宋体"/>
        <family val="3"/>
        <charset val="134"/>
      </rPr>
      <t>管理费用</t>
    </r>
    <phoneticPr fontId="18" type="noConversion"/>
  </si>
  <si>
    <r>
      <rPr>
        <b/>
        <sz val="10"/>
        <rFont val="宋体"/>
        <family val="3"/>
        <charset val="134"/>
      </rPr>
      <t>以前述</t>
    </r>
    <r>
      <rPr>
        <b/>
        <sz val="10"/>
        <rFont val="Arial"/>
        <family val="2"/>
      </rPr>
      <t>2</t>
    </r>
    <r>
      <rPr>
        <b/>
        <sz val="10"/>
        <rFont val="宋体"/>
        <family val="3"/>
        <charset val="134"/>
      </rPr>
      <t>项为基数</t>
    </r>
    <phoneticPr fontId="18" type="noConversion"/>
  </si>
  <si>
    <r>
      <rPr>
        <b/>
        <sz val="10"/>
        <rFont val="宋体"/>
        <family val="3"/>
        <charset val="134"/>
      </rPr>
      <t>（</t>
    </r>
    <r>
      <rPr>
        <b/>
        <sz val="10"/>
        <rFont val="Arial"/>
        <family val="2"/>
      </rPr>
      <t>4</t>
    </r>
    <r>
      <rPr>
        <b/>
        <sz val="10"/>
        <rFont val="宋体"/>
        <family val="3"/>
        <charset val="134"/>
      </rPr>
      <t>）</t>
    </r>
    <phoneticPr fontId="20" type="noConversion"/>
  </si>
  <si>
    <r>
      <rPr>
        <b/>
        <sz val="10"/>
        <rFont val="宋体"/>
        <family val="3"/>
        <charset val="134"/>
      </rPr>
      <t>销售费用</t>
    </r>
    <phoneticPr fontId="18" type="noConversion"/>
  </si>
  <si>
    <r>
      <t>V</t>
    </r>
    <r>
      <rPr>
        <b/>
        <vertAlign val="subscript"/>
        <sz val="10"/>
        <rFont val="宋体"/>
        <family val="3"/>
        <charset val="134"/>
      </rPr>
      <t>土</t>
    </r>
    <phoneticPr fontId="18" type="noConversion"/>
  </si>
  <si>
    <r>
      <rPr>
        <b/>
        <sz val="10"/>
        <rFont val="宋体"/>
        <family val="3"/>
        <charset val="134"/>
      </rPr>
      <t>以土地价值为基数</t>
    </r>
    <phoneticPr fontId="18" type="noConversion"/>
  </si>
  <si>
    <r>
      <rPr>
        <b/>
        <sz val="10"/>
        <rFont val="宋体"/>
        <family val="3"/>
        <charset val="134"/>
      </rPr>
      <t>（</t>
    </r>
    <r>
      <rPr>
        <b/>
        <sz val="10"/>
        <rFont val="Arial"/>
        <family val="2"/>
      </rPr>
      <t>5</t>
    </r>
    <r>
      <rPr>
        <b/>
        <sz val="10"/>
        <rFont val="宋体"/>
        <family val="3"/>
        <charset val="134"/>
      </rPr>
      <t>）</t>
    </r>
    <phoneticPr fontId="20" type="noConversion"/>
  </si>
  <si>
    <r>
      <rPr>
        <b/>
        <sz val="10"/>
        <rFont val="宋体"/>
        <family val="3"/>
        <charset val="134"/>
      </rPr>
      <t>贷款利息</t>
    </r>
    <phoneticPr fontId="18" type="noConversion"/>
  </si>
  <si>
    <r>
      <t>1</t>
    </r>
    <r>
      <rPr>
        <sz val="10"/>
        <rFont val="宋体"/>
        <family val="3"/>
        <charset val="134"/>
      </rPr>
      <t>）</t>
    </r>
    <phoneticPr fontId="18" type="noConversion"/>
  </si>
  <si>
    <r>
      <rPr>
        <sz val="10"/>
        <rFont val="宋体"/>
        <family val="3"/>
        <charset val="134"/>
      </rPr>
      <t>（</t>
    </r>
    <r>
      <rPr>
        <sz val="10"/>
        <rFont val="Arial"/>
        <family val="2"/>
      </rPr>
      <t>1</t>
    </r>
    <r>
      <rPr>
        <sz val="10"/>
        <rFont val="宋体"/>
        <family val="3"/>
        <charset val="134"/>
      </rPr>
      <t>）项产生的利息</t>
    </r>
    <phoneticPr fontId="18" type="noConversion"/>
  </si>
  <si>
    <r>
      <rPr>
        <sz val="10"/>
        <rFont val="宋体"/>
        <family val="3"/>
        <charset val="134"/>
      </rPr>
      <t>计项目已运行全期</t>
    </r>
    <phoneticPr fontId="18" type="noConversion"/>
  </si>
  <si>
    <r>
      <t>2</t>
    </r>
    <r>
      <rPr>
        <sz val="10"/>
        <rFont val="宋体"/>
        <family val="3"/>
        <charset val="134"/>
      </rPr>
      <t>）</t>
    </r>
    <phoneticPr fontId="18" type="noConversion"/>
  </si>
  <si>
    <r>
      <rPr>
        <sz val="10"/>
        <rFont val="宋体"/>
        <family val="3"/>
        <charset val="134"/>
      </rPr>
      <t>（</t>
    </r>
    <r>
      <rPr>
        <sz val="10"/>
        <rFont val="Arial"/>
        <family val="2"/>
      </rPr>
      <t>2</t>
    </r>
    <r>
      <rPr>
        <sz val="10"/>
        <rFont val="宋体"/>
        <family val="3"/>
        <charset val="134"/>
      </rPr>
      <t>）项产生的利息</t>
    </r>
    <phoneticPr fontId="18" type="noConversion"/>
  </si>
  <si>
    <r>
      <rPr>
        <sz val="10"/>
        <rFont val="宋体"/>
        <family val="3"/>
        <charset val="134"/>
      </rPr>
      <t>土地开发期均匀投入、已建工期计全期</t>
    </r>
    <phoneticPr fontId="18" type="noConversion"/>
  </si>
  <si>
    <r>
      <t>3</t>
    </r>
    <r>
      <rPr>
        <sz val="10"/>
        <rFont val="宋体"/>
        <family val="3"/>
        <charset val="134"/>
      </rPr>
      <t>）</t>
    </r>
    <phoneticPr fontId="18" type="noConversion"/>
  </si>
  <si>
    <r>
      <rPr>
        <sz val="10"/>
        <rFont val="宋体"/>
        <family val="3"/>
        <charset val="134"/>
      </rPr>
      <t>（</t>
    </r>
    <r>
      <rPr>
        <sz val="10"/>
        <rFont val="Arial"/>
        <family val="2"/>
      </rPr>
      <t>3</t>
    </r>
    <r>
      <rPr>
        <sz val="10"/>
        <rFont val="宋体"/>
        <family val="3"/>
        <charset val="134"/>
      </rPr>
      <t>）项产生的利息</t>
    </r>
    <phoneticPr fontId="18" type="noConversion"/>
  </si>
  <si>
    <r>
      <rPr>
        <sz val="10"/>
        <rFont val="宋体"/>
        <family val="3"/>
        <charset val="134"/>
      </rPr>
      <t>管理费用及销售费用于项目已运行期内均匀投入</t>
    </r>
    <phoneticPr fontId="18" type="noConversion"/>
  </si>
  <si>
    <r>
      <rPr>
        <sz val="10"/>
        <rFont val="宋体"/>
        <family val="3"/>
        <charset val="134"/>
      </rPr>
      <t>（</t>
    </r>
    <r>
      <rPr>
        <sz val="10"/>
        <rFont val="Arial"/>
        <family val="2"/>
      </rPr>
      <t>4</t>
    </r>
    <r>
      <rPr>
        <sz val="10"/>
        <rFont val="宋体"/>
        <family val="3"/>
        <charset val="134"/>
      </rPr>
      <t>）项产生的利息</t>
    </r>
    <phoneticPr fontId="18" type="noConversion"/>
  </si>
  <si>
    <r>
      <rPr>
        <b/>
        <sz val="10"/>
        <rFont val="宋体"/>
        <family val="3"/>
        <charset val="134"/>
      </rPr>
      <t>（</t>
    </r>
    <r>
      <rPr>
        <b/>
        <sz val="10"/>
        <rFont val="Arial"/>
        <family val="2"/>
      </rPr>
      <t>6</t>
    </r>
    <r>
      <rPr>
        <b/>
        <sz val="10"/>
        <rFont val="宋体"/>
        <family val="3"/>
        <charset val="134"/>
      </rPr>
      <t>）</t>
    </r>
    <phoneticPr fontId="20" type="noConversion"/>
  </si>
  <si>
    <r>
      <rPr>
        <b/>
        <sz val="10"/>
        <rFont val="宋体"/>
        <family val="3"/>
        <charset val="134"/>
      </rPr>
      <t>利润</t>
    </r>
    <phoneticPr fontId="18" type="noConversion"/>
  </si>
  <si>
    <r>
      <t>V</t>
    </r>
    <r>
      <rPr>
        <b/>
        <vertAlign val="subscript"/>
        <sz val="10"/>
        <rFont val="宋体"/>
        <family val="3"/>
        <charset val="134"/>
      </rPr>
      <t>土</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</si>
  <si>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8"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</si>
  <si>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8" type="noConversion"/>
  </si>
  <si>
    <r>
      <rPr>
        <sz val="10"/>
        <rFont val="宋体"/>
        <family val="3"/>
        <charset val="134"/>
      </rPr>
      <t>（</t>
    </r>
    <r>
      <rPr>
        <sz val="10"/>
        <rFont val="Arial"/>
        <family val="2"/>
      </rPr>
      <t>4</t>
    </r>
    <r>
      <rPr>
        <sz val="10"/>
        <rFont val="宋体"/>
        <family val="3"/>
        <charset val="134"/>
      </rPr>
      <t>）项产生的利润</t>
    </r>
    <phoneticPr fontId="18" type="noConversion"/>
  </si>
  <si>
    <r>
      <rPr>
        <b/>
        <sz val="10"/>
        <rFont val="宋体"/>
        <family val="3"/>
        <charset val="134"/>
      </rPr>
      <t>（</t>
    </r>
    <r>
      <rPr>
        <b/>
        <sz val="10"/>
        <rFont val="Arial"/>
        <family val="2"/>
      </rPr>
      <t>7</t>
    </r>
    <r>
      <rPr>
        <b/>
        <sz val="10"/>
        <rFont val="宋体"/>
        <family val="3"/>
        <charset val="134"/>
      </rPr>
      <t>）</t>
    </r>
    <phoneticPr fontId="20"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</si>
  <si>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</si>
  <si>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8"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</si>
  <si>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8" type="noConversion"/>
  </si>
  <si>
    <r>
      <rPr>
        <b/>
        <sz val="10"/>
        <rFont val="宋体"/>
        <family val="3"/>
        <charset val="134"/>
      </rPr>
      <t>前述</t>
    </r>
    <r>
      <rPr>
        <b/>
        <sz val="10"/>
        <rFont val="Arial"/>
        <family val="2"/>
      </rPr>
      <t>7</t>
    </r>
    <r>
      <rPr>
        <b/>
        <sz val="10"/>
        <rFont val="宋体"/>
        <family val="3"/>
        <charset val="134"/>
      </rPr>
      <t>项相加</t>
    </r>
    <phoneticPr fontId="18" type="noConversion"/>
  </si>
  <si>
    <r>
      <t>2.</t>
    </r>
    <r>
      <rPr>
        <b/>
        <sz val="12"/>
        <rFont val="宋体"/>
        <family val="3"/>
        <charset val="134"/>
      </rPr>
      <t>建筑物</t>
    </r>
    <r>
      <rPr>
        <b/>
        <sz val="12"/>
        <rFont val="Arial"/>
        <family val="2"/>
      </rPr>
      <t>/</t>
    </r>
    <r>
      <rPr>
        <b/>
        <sz val="12"/>
        <rFont val="宋体"/>
        <family val="3"/>
        <charset val="134"/>
      </rPr>
      <t>在建工程价值</t>
    </r>
    <phoneticPr fontId="18" type="noConversion"/>
  </si>
  <si>
    <r>
      <rPr>
        <b/>
        <sz val="10"/>
        <rFont val="宋体"/>
        <family val="3"/>
        <charset val="134"/>
      </rPr>
      <t>建筑物建造</t>
    </r>
    <r>
      <rPr>
        <b/>
        <sz val="10"/>
        <rFont val="Arial"/>
        <family val="2"/>
      </rPr>
      <t>/</t>
    </r>
    <r>
      <rPr>
        <b/>
        <sz val="10"/>
        <rFont val="宋体"/>
        <family val="3"/>
        <charset val="134"/>
      </rPr>
      <t>已建成本</t>
    </r>
    <phoneticPr fontId="18"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</si>
  <si>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</si>
  <si>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8" type="noConversion"/>
  </si>
  <si>
    <r>
      <rPr>
        <sz val="10"/>
        <rFont val="宋体"/>
        <family val="3"/>
        <charset val="134"/>
      </rPr>
      <t>勘察设计和前期工程费</t>
    </r>
  </si>
  <si>
    <r>
      <rPr>
        <sz val="10"/>
        <rFont val="宋体"/>
        <family val="3"/>
        <charset val="134"/>
      </rPr>
      <t>以建安费用为基数计取</t>
    </r>
    <phoneticPr fontId="18"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</si>
  <si>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</si>
  <si>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</si>
  <si>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8" type="noConversion"/>
  </si>
  <si>
    <r>
      <rPr>
        <sz val="10"/>
        <rFont val="宋体"/>
        <family val="3"/>
        <charset val="134"/>
      </rPr>
      <t>按工程进度计取或按实际情况计取</t>
    </r>
    <phoneticPr fontId="18"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</si>
  <si>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</si>
  <si>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20" type="noConversion"/>
  </si>
  <si>
    <r>
      <rPr>
        <b/>
        <sz val="10"/>
        <rFont val="宋体"/>
        <family val="3"/>
        <charset val="134"/>
      </rPr>
      <t>管理费用</t>
    </r>
    <phoneticPr fontId="18" type="noConversion"/>
  </si>
  <si>
    <r>
      <rPr>
        <b/>
        <sz val="10"/>
        <rFont val="宋体"/>
        <family val="3"/>
        <charset val="134"/>
      </rPr>
      <t>以（</t>
    </r>
    <r>
      <rPr>
        <b/>
        <sz val="10"/>
        <rFont val="Arial"/>
        <family val="2"/>
      </rPr>
      <t>1</t>
    </r>
    <r>
      <rPr>
        <b/>
        <sz val="10"/>
        <rFont val="宋体"/>
        <family val="3"/>
        <charset val="134"/>
      </rPr>
      <t>）为基数</t>
    </r>
    <phoneticPr fontId="18" type="noConversion"/>
  </si>
  <si>
    <r>
      <rPr>
        <b/>
        <sz val="10"/>
        <rFont val="宋体"/>
        <family val="3"/>
        <charset val="134"/>
      </rPr>
      <t>（</t>
    </r>
    <r>
      <rPr>
        <b/>
        <sz val="10"/>
        <rFont val="Arial"/>
        <family val="2"/>
      </rPr>
      <t>3</t>
    </r>
    <r>
      <rPr>
        <b/>
        <sz val="10"/>
        <rFont val="宋体"/>
        <family val="3"/>
        <charset val="134"/>
      </rPr>
      <t>）</t>
    </r>
    <phoneticPr fontId="20" type="noConversion"/>
  </si>
  <si>
    <r>
      <rPr>
        <b/>
        <sz val="10"/>
        <rFont val="宋体"/>
        <family val="3"/>
        <charset val="134"/>
      </rPr>
      <t>销售费用</t>
    </r>
    <phoneticPr fontId="18" type="noConversion"/>
  </si>
  <si>
    <r>
      <t>V</t>
    </r>
    <r>
      <rPr>
        <b/>
        <vertAlign val="subscript"/>
        <sz val="10"/>
        <rFont val="宋体"/>
        <family val="3"/>
        <charset val="134"/>
      </rPr>
      <t>建</t>
    </r>
    <phoneticPr fontId="18" type="noConversion"/>
  </si>
  <si>
    <r>
      <rPr>
        <b/>
        <sz val="10"/>
        <rFont val="宋体"/>
        <family val="3"/>
        <charset val="134"/>
      </rPr>
      <t>以</t>
    </r>
    <r>
      <rPr>
        <b/>
        <sz val="10"/>
        <rFont val="Arial"/>
        <family val="2"/>
      </rPr>
      <t>V</t>
    </r>
    <r>
      <rPr>
        <b/>
        <sz val="10"/>
        <rFont val="宋体"/>
        <family val="3"/>
        <charset val="134"/>
      </rPr>
      <t>建为基数</t>
    </r>
    <phoneticPr fontId="18" type="noConversion"/>
  </si>
  <si>
    <r>
      <rPr>
        <b/>
        <sz val="10"/>
        <rFont val="宋体"/>
        <family val="3"/>
        <charset val="134"/>
      </rPr>
      <t>（</t>
    </r>
    <r>
      <rPr>
        <b/>
        <sz val="10"/>
        <rFont val="Arial"/>
        <family val="2"/>
      </rPr>
      <t>4</t>
    </r>
    <r>
      <rPr>
        <b/>
        <sz val="10"/>
        <rFont val="宋体"/>
        <family val="3"/>
        <charset val="134"/>
      </rPr>
      <t>）</t>
    </r>
    <phoneticPr fontId="20" type="noConversion"/>
  </si>
  <si>
    <r>
      <rPr>
        <b/>
        <sz val="10"/>
        <rFont val="宋体"/>
        <family val="3"/>
        <charset val="134"/>
      </rPr>
      <t>贷款利息</t>
    </r>
    <phoneticPr fontId="18" type="noConversion"/>
  </si>
  <si>
    <r>
      <rPr>
        <sz val="10"/>
        <rFont val="宋体"/>
        <family val="3"/>
        <charset val="134"/>
      </rPr>
      <t>（</t>
    </r>
    <r>
      <rPr>
        <sz val="10"/>
        <rFont val="Arial"/>
        <family val="2"/>
      </rPr>
      <t>1</t>
    </r>
    <r>
      <rPr>
        <sz val="10"/>
        <rFont val="宋体"/>
        <family val="3"/>
        <charset val="134"/>
      </rPr>
      <t>）项产生的利息</t>
    </r>
    <phoneticPr fontId="18" type="noConversion"/>
  </si>
  <si>
    <r>
      <rPr>
        <sz val="10"/>
        <rFont val="宋体"/>
        <family val="3"/>
        <charset val="134"/>
      </rPr>
      <t>已建工期均匀投入</t>
    </r>
    <phoneticPr fontId="18" type="noConversion"/>
  </si>
  <si>
    <r>
      <rPr>
        <sz val="10"/>
        <rFont val="宋体"/>
        <family val="3"/>
        <charset val="134"/>
      </rPr>
      <t>（</t>
    </r>
    <r>
      <rPr>
        <sz val="10"/>
        <rFont val="Arial"/>
        <family val="2"/>
      </rPr>
      <t>2</t>
    </r>
    <r>
      <rPr>
        <sz val="10"/>
        <rFont val="宋体"/>
        <family val="3"/>
        <charset val="134"/>
      </rPr>
      <t>）项产生的利息</t>
    </r>
    <phoneticPr fontId="18" type="noConversion"/>
  </si>
  <si>
    <r>
      <rPr>
        <sz val="10"/>
        <rFont val="宋体"/>
        <family val="3"/>
        <charset val="134"/>
      </rPr>
      <t>（</t>
    </r>
    <r>
      <rPr>
        <sz val="10"/>
        <rFont val="Arial"/>
        <family val="2"/>
      </rPr>
      <t>3</t>
    </r>
    <r>
      <rPr>
        <sz val="10"/>
        <rFont val="宋体"/>
        <family val="3"/>
        <charset val="134"/>
      </rPr>
      <t>）项产生的利息</t>
    </r>
    <phoneticPr fontId="18" type="noConversion"/>
  </si>
  <si>
    <r>
      <rPr>
        <b/>
        <sz val="10"/>
        <rFont val="宋体"/>
        <family val="3"/>
        <charset val="134"/>
      </rPr>
      <t>（</t>
    </r>
    <r>
      <rPr>
        <b/>
        <sz val="10"/>
        <rFont val="Arial"/>
        <family val="2"/>
      </rPr>
      <t>5</t>
    </r>
    <r>
      <rPr>
        <b/>
        <sz val="10"/>
        <rFont val="宋体"/>
        <family val="3"/>
        <charset val="134"/>
      </rPr>
      <t>）</t>
    </r>
    <phoneticPr fontId="20"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</si>
  <si>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8"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</si>
  <si>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8" type="noConversion"/>
  </si>
  <si>
    <r>
      <rPr>
        <sz val="10"/>
        <rFont val="宋体"/>
        <family val="3"/>
        <charset val="134"/>
      </rPr>
      <t>（</t>
    </r>
    <r>
      <rPr>
        <sz val="10"/>
        <rFont val="Arial"/>
        <family val="2"/>
      </rPr>
      <t>3</t>
    </r>
    <r>
      <rPr>
        <sz val="10"/>
        <rFont val="宋体"/>
        <family val="3"/>
        <charset val="134"/>
      </rPr>
      <t>）项产生的利润</t>
    </r>
    <phoneticPr fontId="18" type="noConversion"/>
  </si>
  <si>
    <r>
      <rPr>
        <b/>
        <sz val="10"/>
        <rFont val="宋体"/>
        <family val="3"/>
        <charset val="134"/>
      </rPr>
      <t>销售税费</t>
    </r>
    <phoneticPr fontId="18" type="noConversion"/>
  </si>
  <si>
    <r>
      <rPr>
        <b/>
        <sz val="10"/>
        <rFont val="宋体"/>
        <family val="3"/>
        <charset val="134"/>
      </rPr>
      <t>以成本价值</t>
    </r>
    <r>
      <rPr>
        <b/>
        <sz val="10"/>
        <rFont val="Arial"/>
        <family val="2"/>
      </rPr>
      <t>/(1+5%)</t>
    </r>
    <r>
      <rPr>
        <b/>
        <sz val="10"/>
        <rFont val="宋体"/>
        <family val="3"/>
        <charset val="134"/>
      </rPr>
      <t>为基数</t>
    </r>
    <phoneticPr fontId="18"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</si>
  <si>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8" type="noConversion"/>
  </si>
  <si>
    <r>
      <rPr>
        <b/>
        <sz val="10"/>
        <rFont val="宋体"/>
        <family val="3"/>
        <charset val="134"/>
      </rPr>
      <t>前述</t>
    </r>
    <r>
      <rPr>
        <b/>
        <sz val="10"/>
        <rFont val="Arial"/>
        <family val="2"/>
      </rPr>
      <t>6</t>
    </r>
    <r>
      <rPr>
        <b/>
        <sz val="10"/>
        <rFont val="宋体"/>
        <family val="3"/>
        <charset val="134"/>
      </rPr>
      <t>项相加</t>
    </r>
    <phoneticPr fontId="18" type="noConversion"/>
  </si>
  <si>
    <r>
      <rPr>
        <b/>
        <sz val="10"/>
        <rFont val="宋体"/>
        <family val="3"/>
        <charset val="134"/>
      </rPr>
      <t>（</t>
    </r>
    <r>
      <rPr>
        <b/>
        <sz val="10"/>
        <rFont val="Arial"/>
        <family val="2"/>
      </rPr>
      <t>8</t>
    </r>
    <r>
      <rPr>
        <b/>
        <sz val="10"/>
        <rFont val="宋体"/>
        <family val="3"/>
        <charset val="134"/>
      </rPr>
      <t>）</t>
    </r>
    <phoneticPr fontId="20" type="noConversion"/>
  </si>
  <si>
    <r>
      <rPr>
        <b/>
        <sz val="10"/>
        <rFont val="宋体"/>
        <family val="3"/>
        <charset val="134"/>
      </rPr>
      <t>成新率</t>
    </r>
    <phoneticPr fontId="18" type="noConversion"/>
  </si>
  <si>
    <r>
      <rPr>
        <b/>
        <sz val="10"/>
        <rFont val="宋体"/>
        <family val="3"/>
        <charset val="134"/>
      </rPr>
      <t>现房为成新率，在建依实际情况（停工）记取</t>
    </r>
    <phoneticPr fontId="20" type="noConversion"/>
  </si>
  <si>
    <r>
      <rPr>
        <b/>
        <sz val="10"/>
        <rFont val="宋体"/>
        <family val="3"/>
        <charset val="134"/>
      </rPr>
      <t>（</t>
    </r>
    <r>
      <rPr>
        <b/>
        <sz val="10"/>
        <rFont val="Arial"/>
        <family val="2"/>
      </rPr>
      <t>9</t>
    </r>
    <r>
      <rPr>
        <b/>
        <sz val="10"/>
        <rFont val="宋体"/>
        <family val="3"/>
        <charset val="134"/>
      </rPr>
      <t>）</t>
    </r>
    <phoneticPr fontId="20"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</si>
  <si>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8" type="noConversion"/>
  </si>
  <si>
    <r>
      <rPr>
        <b/>
        <sz val="10"/>
        <rFont val="宋体"/>
        <family val="3"/>
        <charset val="134"/>
      </rPr>
      <t>重置价值</t>
    </r>
    <r>
      <rPr>
        <b/>
        <sz val="10"/>
        <rFont val="Arial"/>
        <family val="2"/>
      </rPr>
      <t>×</t>
    </r>
    <r>
      <rPr>
        <b/>
        <sz val="10"/>
        <rFont val="宋体"/>
        <family val="3"/>
        <charset val="134"/>
      </rPr>
      <t>成新率</t>
    </r>
    <phoneticPr fontId="18" type="noConversion"/>
  </si>
  <si>
    <r>
      <t>3.</t>
    </r>
    <r>
      <rPr>
        <b/>
        <sz val="12"/>
        <rFont val="宋体"/>
        <family val="3"/>
        <charset val="134"/>
      </rPr>
      <t>成本价值</t>
    </r>
    <phoneticPr fontId="18" type="noConversion"/>
  </si>
  <si>
    <r>
      <rPr>
        <b/>
        <sz val="10"/>
        <color indexed="10"/>
        <rFont val="宋体"/>
        <family val="3"/>
        <charset val="134"/>
      </rPr>
      <t>成本比率</t>
    </r>
    <phoneticPr fontId="5" type="noConversion"/>
  </si>
  <si>
    <r>
      <rPr>
        <b/>
        <sz val="12"/>
        <color rgb="FFFF0000"/>
        <rFont val="宋体"/>
        <family val="3"/>
        <charset val="134"/>
      </rPr>
      <t>仅限现房使用</t>
    </r>
    <phoneticPr fontId="145" type="noConversion"/>
  </si>
  <si>
    <r>
      <rPr>
        <sz val="10"/>
        <rFont val="宋体"/>
        <family val="3"/>
        <charset val="134"/>
      </rPr>
      <t>相关税费</t>
    </r>
    <phoneticPr fontId="18" type="noConversion"/>
  </si>
  <si>
    <r>
      <rPr>
        <sz val="10"/>
        <rFont val="宋体"/>
        <family val="3"/>
        <charset val="134"/>
      </rPr>
      <t>征地补偿安置费及其相关税费</t>
    </r>
    <phoneticPr fontId="18" type="noConversion"/>
  </si>
  <si>
    <r>
      <rPr>
        <sz val="10"/>
        <rFont val="宋体"/>
        <family val="3"/>
        <charset val="134"/>
      </rPr>
      <t>以建筑面积为计算基数，按各区发文标准</t>
    </r>
    <phoneticPr fontId="18" type="noConversion"/>
  </si>
  <si>
    <r>
      <rPr>
        <sz val="10"/>
        <rFont val="宋体"/>
        <family val="3"/>
        <charset val="134"/>
      </rPr>
      <t>出让金</t>
    </r>
    <phoneticPr fontId="18" type="noConversion"/>
  </si>
  <si>
    <r>
      <rPr>
        <sz val="10"/>
        <rFont val="宋体"/>
        <family val="3"/>
        <charset val="134"/>
      </rPr>
      <t>采用比较法求取</t>
    </r>
    <phoneticPr fontId="18" type="noConversion"/>
  </si>
  <si>
    <r>
      <rPr>
        <sz val="10"/>
        <rFont val="宋体"/>
        <family val="3"/>
        <charset val="134"/>
      </rPr>
      <t>开发补偿费用</t>
    </r>
    <phoneticPr fontId="18" type="noConversion"/>
  </si>
  <si>
    <r>
      <rPr>
        <sz val="10"/>
        <rFont val="宋体"/>
        <family val="3"/>
        <charset val="134"/>
      </rPr>
      <t>契税及印花税</t>
    </r>
    <phoneticPr fontId="18" type="noConversion"/>
  </si>
  <si>
    <r>
      <rPr>
        <sz val="10"/>
        <rFont val="宋体"/>
        <family val="3"/>
        <charset val="134"/>
      </rPr>
      <t>以上述三项为基数计算</t>
    </r>
    <phoneticPr fontId="18" type="noConversion"/>
  </si>
  <si>
    <r>
      <rPr>
        <b/>
        <sz val="10"/>
        <rFont val="宋体"/>
        <family val="3"/>
        <charset val="134"/>
      </rPr>
      <t>（</t>
    </r>
    <r>
      <rPr>
        <b/>
        <sz val="10"/>
        <rFont val="Arial"/>
        <family val="2"/>
      </rPr>
      <t>2</t>
    </r>
    <r>
      <rPr>
        <b/>
        <sz val="10"/>
        <rFont val="宋体"/>
        <family val="3"/>
        <charset val="134"/>
      </rPr>
      <t>）</t>
    </r>
    <phoneticPr fontId="20" type="noConversion"/>
  </si>
  <si>
    <r>
      <rPr>
        <b/>
        <sz val="10"/>
        <rFont val="宋体"/>
        <family val="3"/>
        <charset val="134"/>
      </rPr>
      <t>土地开发费用</t>
    </r>
    <r>
      <rPr>
        <b/>
        <sz val="10"/>
        <rFont val="Arial"/>
        <family val="2"/>
      </rPr>
      <t>-</t>
    </r>
    <r>
      <rPr>
        <b/>
        <sz val="10"/>
        <rFont val="宋体"/>
        <family val="3"/>
        <charset val="134"/>
      </rPr>
      <t>红线外（现状）</t>
    </r>
    <phoneticPr fontId="18" type="noConversion"/>
  </si>
  <si>
    <r>
      <rPr>
        <b/>
        <sz val="10"/>
        <rFont val="宋体"/>
        <family val="3"/>
        <charset val="134"/>
      </rPr>
      <t>（</t>
    </r>
    <r>
      <rPr>
        <b/>
        <sz val="10"/>
        <rFont val="Arial"/>
        <family val="2"/>
      </rPr>
      <t>3</t>
    </r>
    <r>
      <rPr>
        <b/>
        <sz val="10"/>
        <rFont val="宋体"/>
        <family val="3"/>
        <charset val="134"/>
      </rPr>
      <t>）</t>
    </r>
    <phoneticPr fontId="20" type="noConversion"/>
  </si>
  <si>
    <r>
      <rPr>
        <b/>
        <sz val="10"/>
        <rFont val="宋体"/>
        <family val="3"/>
        <charset val="134"/>
      </rPr>
      <t>管理费用</t>
    </r>
    <phoneticPr fontId="18" type="noConversion"/>
  </si>
  <si>
    <r>
      <rPr>
        <b/>
        <sz val="10"/>
        <rFont val="宋体"/>
        <family val="3"/>
        <charset val="134"/>
      </rPr>
      <t>以前述</t>
    </r>
    <r>
      <rPr>
        <b/>
        <sz val="10"/>
        <rFont val="Arial"/>
        <family val="2"/>
      </rPr>
      <t>2</t>
    </r>
    <r>
      <rPr>
        <b/>
        <sz val="10"/>
        <rFont val="宋体"/>
        <family val="3"/>
        <charset val="134"/>
      </rPr>
      <t>项为基数</t>
    </r>
    <phoneticPr fontId="18" type="noConversion"/>
  </si>
  <si>
    <r>
      <rPr>
        <b/>
        <sz val="10"/>
        <rFont val="宋体"/>
        <family val="3"/>
        <charset val="134"/>
      </rPr>
      <t>（</t>
    </r>
    <r>
      <rPr>
        <b/>
        <sz val="10"/>
        <rFont val="Arial"/>
        <family val="2"/>
      </rPr>
      <t>4</t>
    </r>
    <r>
      <rPr>
        <b/>
        <sz val="10"/>
        <rFont val="宋体"/>
        <family val="3"/>
        <charset val="134"/>
      </rPr>
      <t>）</t>
    </r>
    <phoneticPr fontId="20" type="noConversion"/>
  </si>
  <si>
    <r>
      <rPr>
        <b/>
        <sz val="10"/>
        <rFont val="宋体"/>
        <family val="3"/>
        <charset val="134"/>
      </rPr>
      <t>销售费用</t>
    </r>
    <phoneticPr fontId="18" type="noConversion"/>
  </si>
  <si>
    <r>
      <t>V</t>
    </r>
    <r>
      <rPr>
        <b/>
        <vertAlign val="subscript"/>
        <sz val="10"/>
        <rFont val="宋体"/>
        <family val="3"/>
        <charset val="134"/>
      </rPr>
      <t>土</t>
    </r>
    <phoneticPr fontId="18" type="noConversion"/>
  </si>
  <si>
    <r>
      <rPr>
        <b/>
        <sz val="10"/>
        <rFont val="宋体"/>
        <family val="3"/>
        <charset val="134"/>
      </rPr>
      <t>以土地价值为基数</t>
    </r>
    <phoneticPr fontId="18" type="noConversion"/>
  </si>
  <si>
    <r>
      <rPr>
        <b/>
        <sz val="10"/>
        <rFont val="宋体"/>
        <family val="3"/>
        <charset val="134"/>
      </rPr>
      <t>（</t>
    </r>
    <r>
      <rPr>
        <b/>
        <sz val="10"/>
        <rFont val="Arial"/>
        <family val="2"/>
      </rPr>
      <t>5</t>
    </r>
    <r>
      <rPr>
        <b/>
        <sz val="10"/>
        <rFont val="宋体"/>
        <family val="3"/>
        <charset val="134"/>
      </rPr>
      <t>）</t>
    </r>
    <phoneticPr fontId="20" type="noConversion"/>
  </si>
  <si>
    <r>
      <rPr>
        <b/>
        <sz val="10"/>
        <rFont val="宋体"/>
        <family val="3"/>
        <charset val="134"/>
      </rPr>
      <t>贷款利息</t>
    </r>
    <phoneticPr fontId="18" type="noConversion"/>
  </si>
  <si>
    <r>
      <rPr>
        <sz val="10"/>
        <rFont val="宋体"/>
        <family val="3"/>
        <charset val="134"/>
      </rPr>
      <t>（</t>
    </r>
    <r>
      <rPr>
        <sz val="10"/>
        <rFont val="Arial"/>
        <family val="2"/>
      </rPr>
      <t>1</t>
    </r>
    <r>
      <rPr>
        <sz val="10"/>
        <rFont val="宋体"/>
        <family val="3"/>
        <charset val="134"/>
      </rPr>
      <t>）项产生的利息</t>
    </r>
    <phoneticPr fontId="18" type="noConversion"/>
  </si>
  <si>
    <r>
      <rPr>
        <sz val="10"/>
        <rFont val="宋体"/>
        <family val="3"/>
        <charset val="134"/>
      </rPr>
      <t>计项目已运行全期</t>
    </r>
    <phoneticPr fontId="18" type="noConversion"/>
  </si>
  <si>
    <r>
      <rPr>
        <sz val="10"/>
        <rFont val="宋体"/>
        <family val="3"/>
        <charset val="134"/>
      </rPr>
      <t>（</t>
    </r>
    <r>
      <rPr>
        <sz val="10"/>
        <rFont val="Arial"/>
        <family val="2"/>
      </rPr>
      <t>2</t>
    </r>
    <r>
      <rPr>
        <sz val="10"/>
        <rFont val="宋体"/>
        <family val="3"/>
        <charset val="134"/>
      </rPr>
      <t>）项产生的利息</t>
    </r>
    <phoneticPr fontId="18" type="noConversion"/>
  </si>
  <si>
    <r>
      <rPr>
        <sz val="10"/>
        <rFont val="宋体"/>
        <family val="3"/>
        <charset val="134"/>
      </rPr>
      <t>土地开发期均匀投入、已建工期计全期</t>
    </r>
    <phoneticPr fontId="18" type="noConversion"/>
  </si>
  <si>
    <r>
      <rPr>
        <sz val="10"/>
        <rFont val="宋体"/>
        <family val="3"/>
        <charset val="134"/>
      </rPr>
      <t>（</t>
    </r>
    <r>
      <rPr>
        <sz val="10"/>
        <rFont val="Arial"/>
        <family val="2"/>
      </rPr>
      <t>3</t>
    </r>
    <r>
      <rPr>
        <sz val="10"/>
        <rFont val="宋体"/>
        <family val="3"/>
        <charset val="134"/>
      </rPr>
      <t>）项产生的利息</t>
    </r>
    <phoneticPr fontId="18" type="noConversion"/>
  </si>
  <si>
    <r>
      <rPr>
        <sz val="10"/>
        <rFont val="宋体"/>
        <family val="3"/>
        <charset val="134"/>
      </rPr>
      <t>管理费用及销售费用于项目已运行期内均匀投入</t>
    </r>
    <phoneticPr fontId="18" type="noConversion"/>
  </si>
  <si>
    <r>
      <t>2.</t>
    </r>
    <r>
      <rPr>
        <b/>
        <sz val="12"/>
        <rFont val="宋体"/>
        <family val="3"/>
        <charset val="134"/>
      </rPr>
      <t>建筑物价值</t>
    </r>
    <phoneticPr fontId="18" type="noConversion"/>
  </si>
  <si>
    <r>
      <rPr>
        <b/>
        <sz val="10"/>
        <rFont val="宋体"/>
        <family val="3"/>
        <charset val="134"/>
      </rPr>
      <t>建筑物建造成本</t>
    </r>
    <phoneticPr fontId="18" type="noConversion"/>
  </si>
  <si>
    <r>
      <rPr>
        <sz val="10"/>
        <rFont val="宋体"/>
        <family val="3"/>
        <charset val="134"/>
      </rPr>
      <t>建设期期均匀投入</t>
    </r>
    <phoneticPr fontId="18"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</si>
  <si>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8"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</si>
  <si>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8" type="noConversion"/>
  </si>
  <si>
    <r>
      <rPr>
        <b/>
        <sz val="16"/>
        <color indexed="10"/>
        <rFont val="宋体"/>
        <family val="3"/>
        <charset val="134"/>
      </rPr>
      <t>假设开发法</t>
    </r>
    <phoneticPr fontId="18" type="noConversion"/>
  </si>
  <si>
    <r>
      <rPr>
        <b/>
        <sz val="12"/>
        <color indexed="8"/>
        <rFont val="宋体"/>
        <family val="3"/>
        <charset val="134"/>
      </rPr>
      <t>万元</t>
    </r>
    <phoneticPr fontId="20"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</si>
  <si>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20" type="noConversion"/>
  </si>
  <si>
    <r>
      <t>1.</t>
    </r>
    <r>
      <rPr>
        <b/>
        <sz val="12"/>
        <color indexed="8"/>
        <rFont val="宋体"/>
        <family val="3"/>
        <charset val="134"/>
      </rPr>
      <t>开发完成后房地产价值</t>
    </r>
    <phoneticPr fontId="18" type="noConversion"/>
  </si>
  <si>
    <r>
      <rPr>
        <b/>
        <sz val="11"/>
        <color indexed="8"/>
        <rFont val="宋体"/>
        <family val="3"/>
        <charset val="134"/>
      </rPr>
      <t>序号</t>
    </r>
    <phoneticPr fontId="18" type="noConversion"/>
  </si>
  <si>
    <r>
      <rPr>
        <b/>
        <sz val="11"/>
        <color indexed="8"/>
        <rFont val="宋体"/>
        <family val="3"/>
        <charset val="134"/>
      </rPr>
      <t>项目名称</t>
    </r>
    <phoneticPr fontId="18"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</si>
  <si>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</si>
  <si>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</si>
  <si>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</si>
  <si>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8" type="noConversion"/>
  </si>
  <si>
    <r>
      <rPr>
        <sz val="10"/>
        <color indexed="8"/>
        <rFont val="宋体"/>
        <family val="3"/>
        <charset val="134"/>
      </rPr>
      <t>（</t>
    </r>
    <r>
      <rPr>
        <sz val="10"/>
        <color indexed="8"/>
        <rFont val="Arial"/>
        <family val="2"/>
      </rPr>
      <t>2</t>
    </r>
    <r>
      <rPr>
        <sz val="10"/>
        <color indexed="8"/>
        <rFont val="宋体"/>
        <family val="3"/>
        <charset val="134"/>
      </rPr>
      <t>）</t>
    </r>
    <phoneticPr fontId="20" type="noConversion"/>
  </si>
  <si>
    <r>
      <rPr>
        <sz val="10"/>
        <color indexed="8"/>
        <rFont val="宋体"/>
        <family val="3"/>
        <charset val="134"/>
      </rPr>
      <t>建筑面积</t>
    </r>
    <phoneticPr fontId="18" type="noConversion"/>
  </si>
  <si>
    <r>
      <rPr>
        <sz val="10"/>
        <color indexed="8"/>
        <rFont val="宋体"/>
        <family val="3"/>
        <charset val="134"/>
      </rPr>
      <t>（</t>
    </r>
    <r>
      <rPr>
        <sz val="10"/>
        <color indexed="8"/>
        <rFont val="Arial"/>
        <family val="2"/>
      </rPr>
      <t>3</t>
    </r>
    <r>
      <rPr>
        <sz val="10"/>
        <color indexed="8"/>
        <rFont val="宋体"/>
        <family val="3"/>
        <charset val="134"/>
      </rPr>
      <t>）</t>
    </r>
    <phoneticPr fontId="20" type="noConversion"/>
  </si>
  <si>
    <r>
      <rPr>
        <sz val="10"/>
        <color indexed="8"/>
        <rFont val="宋体"/>
        <family val="3"/>
        <charset val="134"/>
      </rPr>
      <t>总额</t>
    </r>
    <phoneticPr fontId="18" type="noConversion"/>
  </si>
  <si>
    <r>
      <t>2.</t>
    </r>
    <r>
      <rPr>
        <b/>
        <sz val="12"/>
        <color indexed="8"/>
        <rFont val="宋体"/>
        <family val="3"/>
        <charset val="134"/>
      </rPr>
      <t>扣减项</t>
    </r>
    <phoneticPr fontId="18" type="noConversion"/>
  </si>
  <si>
    <r>
      <rPr>
        <b/>
        <sz val="11"/>
        <color indexed="8"/>
        <rFont val="宋体"/>
        <family val="3"/>
        <charset val="134"/>
      </rPr>
      <t>序号</t>
    </r>
    <phoneticPr fontId="18" type="noConversion"/>
  </si>
  <si>
    <r>
      <rPr>
        <b/>
        <sz val="11"/>
        <color indexed="8"/>
        <rFont val="宋体"/>
        <family val="3"/>
        <charset val="134"/>
      </rPr>
      <t>项目名称</t>
    </r>
    <phoneticPr fontId="18" type="noConversion"/>
  </si>
  <si>
    <r>
      <rPr>
        <b/>
        <sz val="11"/>
        <color indexed="8"/>
        <rFont val="宋体"/>
        <family val="3"/>
        <charset val="134"/>
      </rPr>
      <t>总额</t>
    </r>
    <phoneticPr fontId="18" type="noConversion"/>
  </si>
  <si>
    <r>
      <rPr>
        <b/>
        <sz val="11"/>
        <color indexed="8"/>
        <rFont val="宋体"/>
        <family val="3"/>
        <charset val="134"/>
      </rPr>
      <t>面积</t>
    </r>
    <phoneticPr fontId="18" type="noConversion"/>
  </si>
  <si>
    <r>
      <rPr>
        <b/>
        <sz val="11"/>
        <color indexed="8"/>
        <rFont val="宋体"/>
        <family val="3"/>
        <charset val="134"/>
      </rPr>
      <t>单价</t>
    </r>
    <phoneticPr fontId="18" type="noConversion"/>
  </si>
  <si>
    <r>
      <rPr>
        <b/>
        <sz val="11"/>
        <color indexed="8"/>
        <rFont val="宋体"/>
        <family val="3"/>
        <charset val="134"/>
      </rPr>
      <t>相关系数</t>
    </r>
    <phoneticPr fontId="18" type="noConversion"/>
  </si>
  <si>
    <r>
      <rPr>
        <sz val="10"/>
        <color indexed="8"/>
        <rFont val="宋体"/>
        <family val="3"/>
        <charset val="134"/>
      </rPr>
      <t>续建建安</t>
    </r>
    <phoneticPr fontId="18" type="noConversion"/>
  </si>
  <si>
    <r>
      <rPr>
        <sz val="10"/>
        <color indexed="8"/>
        <rFont val="宋体"/>
        <family val="3"/>
        <charset val="134"/>
      </rPr>
      <t>勘察设计和前期工程费</t>
    </r>
    <phoneticPr fontId="18" type="noConversion"/>
  </si>
  <si>
    <r>
      <rPr>
        <b/>
        <sz val="11"/>
        <color indexed="8"/>
        <rFont val="宋体"/>
        <family val="3"/>
        <charset val="134"/>
      </rPr>
      <t>以建安费用为基数计取</t>
    </r>
    <phoneticPr fontId="18" type="noConversion"/>
  </si>
  <si>
    <r>
      <rPr>
        <sz val="10"/>
        <color indexed="8"/>
        <rFont val="宋体"/>
        <family val="3"/>
        <charset val="134"/>
      </rPr>
      <t>公共配套设施费用</t>
    </r>
    <phoneticPr fontId="18" type="noConversion"/>
  </si>
  <si>
    <r>
      <rPr>
        <b/>
        <sz val="11"/>
        <color indexed="8"/>
        <rFont val="宋体"/>
        <family val="3"/>
        <charset val="134"/>
      </rPr>
      <t>以住宅用房建安费用为基数计取</t>
    </r>
    <phoneticPr fontId="18" type="noConversion"/>
  </si>
  <si>
    <r>
      <rPr>
        <sz val="10"/>
        <color indexed="8"/>
        <rFont val="宋体"/>
        <family val="3"/>
        <charset val="134"/>
      </rPr>
      <t>红线内市政费用</t>
    </r>
    <phoneticPr fontId="18" type="noConversion"/>
  </si>
  <si>
    <r>
      <rPr>
        <b/>
        <sz val="11"/>
        <color indexed="8"/>
        <rFont val="宋体"/>
        <family val="3"/>
        <charset val="134"/>
      </rPr>
      <t>按工程进度计取或按实际情况计取</t>
    </r>
    <phoneticPr fontId="18" type="noConversion"/>
  </si>
  <si>
    <r>
      <rPr>
        <sz val="10"/>
        <color indexed="8"/>
        <rFont val="宋体"/>
        <family val="3"/>
        <charset val="134"/>
      </rPr>
      <t>相关税费</t>
    </r>
    <phoneticPr fontId="18" type="noConversion"/>
  </si>
  <si>
    <r>
      <rPr>
        <sz val="10"/>
        <color indexed="8"/>
        <rFont val="宋体"/>
        <family val="3"/>
        <charset val="134"/>
      </rPr>
      <t>以建安费用为基数计取</t>
    </r>
    <phoneticPr fontId="18" type="noConversion"/>
  </si>
  <si>
    <r>
      <rPr>
        <sz val="10"/>
        <color indexed="8"/>
        <rFont val="宋体"/>
        <family val="3"/>
        <charset val="134"/>
      </rPr>
      <t>续建成本</t>
    </r>
    <phoneticPr fontId="20" type="noConversion"/>
  </si>
  <si>
    <r>
      <rPr>
        <sz val="10"/>
        <color indexed="8"/>
        <rFont val="宋体"/>
        <family val="3"/>
        <charset val="134"/>
      </rPr>
      <t>红线外市政费用（待完成）</t>
    </r>
    <phoneticPr fontId="18" type="noConversion"/>
  </si>
  <si>
    <r>
      <rPr>
        <sz val="10"/>
        <color indexed="8"/>
        <rFont val="宋体"/>
        <family val="3"/>
        <charset val="134"/>
      </rPr>
      <t>按实际情况计取</t>
    </r>
    <phoneticPr fontId="18" type="noConversion"/>
  </si>
  <si>
    <r>
      <rPr>
        <sz val="10"/>
        <color indexed="8"/>
        <rFont val="宋体"/>
        <family val="3"/>
        <charset val="134"/>
      </rPr>
      <t>城市基础设施建设费（行政收费）</t>
    </r>
    <phoneticPr fontId="18" type="noConversion"/>
  </si>
  <si>
    <r>
      <rPr>
        <b/>
        <sz val="10"/>
        <color indexed="8"/>
        <rFont val="宋体"/>
        <family val="3"/>
        <charset val="134"/>
      </rPr>
      <t>万元</t>
    </r>
    <phoneticPr fontId="20" type="noConversion"/>
  </si>
  <si>
    <r>
      <rPr>
        <sz val="10"/>
        <color indexed="8"/>
        <rFont val="宋体"/>
        <family val="3"/>
        <charset val="134"/>
      </rPr>
      <t>住宅</t>
    </r>
    <phoneticPr fontId="18" type="noConversion"/>
  </si>
  <si>
    <r>
      <rPr>
        <sz val="10"/>
        <color indexed="8"/>
        <rFont val="宋体"/>
        <family val="3"/>
        <charset val="134"/>
      </rPr>
      <t>非住宅</t>
    </r>
    <phoneticPr fontId="18" type="noConversion"/>
  </si>
  <si>
    <r>
      <rPr>
        <b/>
        <sz val="11"/>
        <color indexed="8"/>
        <rFont val="宋体"/>
        <family val="3"/>
        <charset val="134"/>
      </rPr>
      <t>后续开发成本</t>
    </r>
    <phoneticPr fontId="18"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</si>
  <si>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20" type="noConversion"/>
  </si>
  <si>
    <r>
      <rPr>
        <b/>
        <sz val="11"/>
        <color indexed="8"/>
        <rFont val="宋体"/>
        <family val="3"/>
        <charset val="134"/>
      </rPr>
      <t>管理费用</t>
    </r>
    <phoneticPr fontId="18" type="noConversion"/>
  </si>
  <si>
    <r>
      <rPr>
        <b/>
        <sz val="11"/>
        <color indexed="8"/>
        <rFont val="宋体"/>
        <family val="3"/>
        <charset val="134"/>
      </rPr>
      <t>以续建成本为基数计算</t>
    </r>
    <phoneticPr fontId="18" type="noConversion"/>
  </si>
  <si>
    <r>
      <rPr>
        <b/>
        <sz val="11"/>
        <color indexed="8"/>
        <rFont val="宋体"/>
        <family val="3"/>
        <charset val="134"/>
      </rPr>
      <t>销售费用</t>
    </r>
    <phoneticPr fontId="18"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</si>
  <si>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8" type="noConversion"/>
  </si>
  <si>
    <r>
      <rPr>
        <sz val="10"/>
        <color indexed="8"/>
        <rFont val="宋体"/>
        <family val="3"/>
        <charset val="134"/>
      </rPr>
      <t>（</t>
    </r>
    <r>
      <rPr>
        <sz val="10"/>
        <color indexed="8"/>
        <rFont val="Arial"/>
        <family val="2"/>
      </rPr>
      <t>4</t>
    </r>
    <r>
      <rPr>
        <sz val="10"/>
        <color indexed="8"/>
        <rFont val="宋体"/>
        <family val="3"/>
        <charset val="134"/>
      </rPr>
      <t>）</t>
    </r>
    <phoneticPr fontId="20" type="noConversion"/>
  </si>
  <si>
    <r>
      <rPr>
        <b/>
        <sz val="11"/>
        <color indexed="8"/>
        <rFont val="宋体"/>
        <family val="3"/>
        <charset val="134"/>
      </rPr>
      <t>取得税费</t>
    </r>
    <phoneticPr fontId="18"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</si>
  <si>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8" type="noConversion"/>
  </si>
  <si>
    <r>
      <rPr>
        <sz val="10"/>
        <color indexed="8"/>
        <rFont val="宋体"/>
        <family val="3"/>
        <charset val="134"/>
      </rPr>
      <t>（</t>
    </r>
    <r>
      <rPr>
        <sz val="10"/>
        <color indexed="8"/>
        <rFont val="Arial"/>
        <family val="2"/>
      </rPr>
      <t>5</t>
    </r>
    <r>
      <rPr>
        <sz val="10"/>
        <color indexed="8"/>
        <rFont val="宋体"/>
        <family val="3"/>
        <charset val="134"/>
      </rPr>
      <t>）</t>
    </r>
    <phoneticPr fontId="20" type="noConversion"/>
  </si>
  <si>
    <r>
      <rPr>
        <b/>
        <sz val="11"/>
        <color indexed="8"/>
        <rFont val="宋体"/>
        <family val="3"/>
        <charset val="134"/>
      </rPr>
      <t>利息</t>
    </r>
    <phoneticPr fontId="18" type="noConversion"/>
  </si>
  <si>
    <r>
      <rPr>
        <sz val="10"/>
        <color indexed="8"/>
        <rFont val="宋体"/>
        <family val="3"/>
        <charset val="134"/>
      </rPr>
      <t>估价对象及取得税费产生的利息</t>
    </r>
    <phoneticPr fontId="18"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</si>
  <si>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8" type="noConversion"/>
  </si>
  <si>
    <r>
      <rPr>
        <sz val="10"/>
        <color indexed="8"/>
        <rFont val="宋体"/>
        <family val="3"/>
        <charset val="134"/>
      </rPr>
      <t>（</t>
    </r>
    <r>
      <rPr>
        <sz val="10"/>
        <color indexed="8"/>
        <rFont val="Arial"/>
        <family val="2"/>
      </rPr>
      <t>6</t>
    </r>
    <r>
      <rPr>
        <sz val="10"/>
        <color indexed="8"/>
        <rFont val="宋体"/>
        <family val="3"/>
        <charset val="134"/>
      </rPr>
      <t>）</t>
    </r>
    <phoneticPr fontId="20" type="noConversion"/>
  </si>
  <si>
    <r>
      <rPr>
        <b/>
        <sz val="11"/>
        <color indexed="8"/>
        <rFont val="宋体"/>
        <family val="3"/>
        <charset val="134"/>
      </rPr>
      <t>投资利润</t>
    </r>
    <phoneticPr fontId="18" type="noConversion"/>
  </si>
  <si>
    <r>
      <rPr>
        <sz val="10"/>
        <color indexed="8"/>
        <rFont val="宋体"/>
        <family val="3"/>
        <charset val="134"/>
      </rPr>
      <t>估价对象及取得税费应计的利润</t>
    </r>
    <phoneticPr fontId="18"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</si>
  <si>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8"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</si>
  <si>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8" type="noConversion"/>
  </si>
  <si>
    <r>
      <rPr>
        <sz val="10"/>
        <color indexed="8"/>
        <rFont val="宋体"/>
        <family val="3"/>
        <charset val="134"/>
      </rPr>
      <t>（</t>
    </r>
    <r>
      <rPr>
        <sz val="10"/>
        <color indexed="8"/>
        <rFont val="Arial"/>
        <family val="2"/>
      </rPr>
      <t>7</t>
    </r>
    <r>
      <rPr>
        <sz val="10"/>
        <color indexed="8"/>
        <rFont val="宋体"/>
        <family val="3"/>
        <charset val="134"/>
      </rPr>
      <t>）</t>
    </r>
    <phoneticPr fontId="20" type="noConversion"/>
  </si>
  <si>
    <r>
      <rPr>
        <b/>
        <sz val="11"/>
        <color indexed="8"/>
        <rFont val="宋体"/>
        <family val="3"/>
        <charset val="134"/>
      </rPr>
      <t>销售税费</t>
    </r>
    <phoneticPr fontId="18"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</si>
  <si>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8"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</si>
  <si>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20" type="noConversion"/>
  </si>
  <si>
    <r>
      <rPr>
        <b/>
        <sz val="12"/>
        <color indexed="8"/>
        <rFont val="宋体"/>
        <family val="3"/>
        <charset val="134"/>
      </rPr>
      <t>估价对象价值</t>
    </r>
    <r>
      <rPr>
        <b/>
        <sz val="12"/>
        <color indexed="8"/>
        <rFont val="Arial"/>
        <family val="2"/>
      </rPr>
      <t>=1-2</t>
    </r>
    <phoneticPr fontId="18" type="noConversion"/>
  </si>
  <si>
    <r>
      <rPr>
        <sz val="11"/>
        <color theme="1"/>
        <rFont val="宋体"/>
        <family val="3"/>
        <charset val="134"/>
      </rPr>
      <t>万元</t>
    </r>
  </si>
  <si>
    <r>
      <rPr>
        <b/>
        <sz val="11"/>
        <color theme="1"/>
        <rFont val="宋体"/>
        <family val="3"/>
        <charset val="134"/>
      </rPr>
      <t>汇总建筑面积</t>
    </r>
    <phoneticPr fontId="145" type="noConversion"/>
  </si>
  <si>
    <r>
      <rPr>
        <b/>
        <sz val="11"/>
        <color theme="1"/>
        <rFont val="宋体"/>
        <family val="3"/>
        <charset val="134"/>
      </rPr>
      <t>本次评估所采用的收益法</t>
    </r>
    <phoneticPr fontId="145" type="noConversion"/>
  </si>
  <si>
    <r>
      <rPr>
        <b/>
        <sz val="11"/>
        <color theme="1"/>
        <rFont val="宋体"/>
        <family val="3"/>
        <charset val="134"/>
      </rPr>
      <t>估价结果</t>
    </r>
    <phoneticPr fontId="145" type="noConversion"/>
  </si>
  <si>
    <r>
      <rPr>
        <b/>
        <sz val="11"/>
        <color theme="1"/>
        <rFont val="宋体"/>
        <family val="3"/>
        <charset val="134"/>
      </rPr>
      <t>建筑面积</t>
    </r>
    <phoneticPr fontId="145" type="noConversion"/>
  </si>
  <si>
    <r>
      <rPr>
        <sz val="11"/>
        <color theme="1"/>
        <rFont val="宋体"/>
        <family val="3"/>
        <charset val="134"/>
      </rPr>
      <t>是否参与计算</t>
    </r>
    <phoneticPr fontId="145" type="noConversion"/>
  </si>
  <si>
    <r>
      <rPr>
        <sz val="11"/>
        <color theme="1"/>
        <rFont val="宋体"/>
        <family val="3"/>
        <charset val="134"/>
      </rPr>
      <t>是</t>
    </r>
  </si>
  <si>
    <r>
      <rPr>
        <b/>
        <sz val="16"/>
        <color rgb="FFFF0000"/>
        <rFont val="宋体"/>
        <family val="3"/>
        <charset val="134"/>
      </rPr>
      <t>收益法（汇总）</t>
    </r>
    <phoneticPr fontId="5"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</si>
  <si>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</si>
  <si>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5" type="noConversion"/>
  </si>
  <si>
    <r>
      <rPr>
        <b/>
        <sz val="16"/>
        <rFont val="宋体"/>
        <family val="3"/>
        <charset val="134"/>
      </rPr>
      <t>住宅</t>
    </r>
    <phoneticPr fontId="5" type="noConversion"/>
  </si>
  <si>
    <r>
      <rPr>
        <b/>
        <sz val="16"/>
        <rFont val="宋体"/>
        <family val="3"/>
        <charset val="134"/>
      </rPr>
      <t>─</t>
    </r>
    <phoneticPr fontId="27"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</si>
  <si>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</si>
  <si>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7" type="noConversion"/>
  </si>
  <si>
    <r>
      <rPr>
        <b/>
        <sz val="12"/>
        <rFont val="宋体"/>
        <family val="3"/>
        <charset val="134"/>
      </rPr>
      <t>万元</t>
    </r>
    <phoneticPr fontId="20" type="noConversion"/>
  </si>
  <si>
    <r>
      <rPr>
        <b/>
        <sz val="12"/>
        <rFont val="宋体"/>
        <family val="3"/>
        <charset val="134"/>
      </rPr>
      <t>建筑面积</t>
    </r>
    <phoneticPr fontId="27"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</si>
  <si>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</si>
  <si>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</si>
  <si>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</si>
  <si>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</si>
  <si>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</si>
  <si>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</si>
  <si>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</si>
  <si>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</si>
  <si>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</si>
  <si>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</si>
  <si>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</si>
  <si>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</si>
  <si>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</si>
  <si>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</si>
  <si>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</si>
  <si>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</si>
  <si>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</si>
  <si>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</si>
  <si>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</si>
  <si>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</si>
  <si>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</si>
  <si>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</si>
  <si>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</si>
  <si>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</si>
  <si>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</si>
  <si>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</si>
  <si>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7" type="noConversion"/>
  </si>
  <si>
    <r>
      <rPr>
        <sz val="11"/>
        <color indexed="8"/>
        <rFont val="宋体"/>
        <family val="3"/>
        <charset val="134"/>
      </rPr>
      <t>朝向</t>
    </r>
  </si>
  <si>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</si>
  <si>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</si>
  <si>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</si>
  <si>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</si>
  <si>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</si>
  <si>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</si>
  <si>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</si>
  <si>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</si>
  <si>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</si>
  <si>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7"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</si>
  <si>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</si>
  <si>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</si>
  <si>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</si>
  <si>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</si>
  <si>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</si>
  <si>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</si>
  <si>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</si>
  <si>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</si>
  <si>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</si>
  <si>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</si>
  <si>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</si>
  <si>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</si>
  <si>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7" type="noConversion"/>
  </si>
  <si>
    <r>
      <rPr>
        <b/>
        <sz val="11"/>
        <color indexed="8"/>
        <rFont val="宋体"/>
        <family val="3"/>
        <charset val="134"/>
      </rPr>
      <t>交易情况</t>
    </r>
    <phoneticPr fontId="5" type="noConversion"/>
  </si>
  <si>
    <r>
      <rPr>
        <sz val="11"/>
        <color indexed="8"/>
        <rFont val="宋体"/>
        <family val="3"/>
        <charset val="134"/>
      </rPr>
      <t>正常</t>
    </r>
    <phoneticPr fontId="27" type="noConversion"/>
  </si>
  <si>
    <r>
      <rPr>
        <b/>
        <sz val="11"/>
        <rFont val="宋体"/>
        <family val="3"/>
        <charset val="134"/>
      </rPr>
      <t>权益状况</t>
    </r>
    <phoneticPr fontId="5" type="noConversion"/>
  </si>
  <si>
    <r>
      <t>60-70</t>
    </r>
    <r>
      <rPr>
        <sz val="11"/>
        <rFont val="宋体"/>
        <family val="3"/>
        <charset val="134"/>
      </rPr>
      <t>（含）</t>
    </r>
    <phoneticPr fontId="27" type="noConversion"/>
  </si>
  <si>
    <r>
      <t>50-60</t>
    </r>
    <r>
      <rPr>
        <sz val="11"/>
        <rFont val="宋体"/>
        <family val="3"/>
        <charset val="134"/>
      </rPr>
      <t>（含）</t>
    </r>
    <phoneticPr fontId="27" type="noConversion"/>
  </si>
  <si>
    <r>
      <t>40-50</t>
    </r>
    <r>
      <rPr>
        <sz val="11"/>
        <rFont val="宋体"/>
        <family val="3"/>
        <charset val="134"/>
      </rPr>
      <t>（含）</t>
    </r>
    <phoneticPr fontId="27" type="noConversion"/>
  </si>
  <si>
    <r>
      <t>30-40</t>
    </r>
    <r>
      <rPr>
        <sz val="11"/>
        <rFont val="宋体"/>
        <family val="3"/>
        <charset val="134"/>
      </rPr>
      <t>（含）</t>
    </r>
    <phoneticPr fontId="27" type="noConversion"/>
  </si>
  <si>
    <r>
      <t>20-30</t>
    </r>
    <r>
      <rPr>
        <sz val="11"/>
        <rFont val="宋体"/>
        <family val="3"/>
        <charset val="134"/>
      </rPr>
      <t>（含）</t>
    </r>
    <phoneticPr fontId="27" type="noConversion"/>
  </si>
  <si>
    <r>
      <t>10-20</t>
    </r>
    <r>
      <rPr>
        <sz val="11"/>
        <rFont val="宋体"/>
        <family val="3"/>
        <charset val="134"/>
      </rPr>
      <t>（含）</t>
    </r>
    <phoneticPr fontId="27" type="noConversion"/>
  </si>
  <si>
    <r>
      <t>0-10</t>
    </r>
    <r>
      <rPr>
        <sz val="11"/>
        <rFont val="宋体"/>
        <family val="3"/>
        <charset val="134"/>
      </rPr>
      <t>（含）</t>
    </r>
    <phoneticPr fontId="27"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</si>
  <si>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</si>
  <si>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</si>
  <si>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</si>
  <si>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</si>
  <si>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</si>
  <si>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</si>
  <si>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</si>
  <si>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</si>
  <si>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27" type="noConversion"/>
  </si>
  <si>
    <r>
      <rPr>
        <sz val="11"/>
        <rFont val="宋体"/>
        <family val="3"/>
        <charset val="134"/>
      </rPr>
      <t>六通</t>
    </r>
    <phoneticPr fontId="27" type="noConversion"/>
  </si>
  <si>
    <r>
      <rPr>
        <sz val="11"/>
        <rFont val="宋体"/>
        <family val="3"/>
        <charset val="134"/>
      </rPr>
      <t>五通</t>
    </r>
    <phoneticPr fontId="27" type="noConversion"/>
  </si>
  <si>
    <r>
      <rPr>
        <sz val="11"/>
        <rFont val="宋体"/>
        <family val="3"/>
        <charset val="134"/>
      </rPr>
      <t>四通</t>
    </r>
    <phoneticPr fontId="27" type="noConversion"/>
  </si>
  <si>
    <r>
      <rPr>
        <sz val="11"/>
        <rFont val="宋体"/>
        <family val="3"/>
        <charset val="134"/>
      </rPr>
      <t>三通</t>
    </r>
    <phoneticPr fontId="27"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</si>
  <si>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</si>
  <si>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</si>
  <si>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</si>
  <si>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</si>
  <si>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</si>
  <si>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</si>
  <si>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</si>
  <si>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</si>
  <si>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</si>
  <si>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</si>
  <si>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</si>
  <si>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</si>
  <si>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</si>
  <si>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5" type="noConversion"/>
  </si>
  <si>
    <r>
      <rPr>
        <sz val="11"/>
        <color theme="1"/>
        <rFont val="宋体"/>
        <family val="3"/>
        <charset val="134"/>
      </rPr>
      <t>多层</t>
    </r>
    <phoneticPr fontId="5" type="noConversion"/>
  </si>
  <si>
    <r>
      <rPr>
        <sz val="11"/>
        <color theme="1"/>
        <rFont val="宋体"/>
        <family val="3"/>
        <charset val="134"/>
      </rPr>
      <t>高层</t>
    </r>
    <phoneticPr fontId="5" type="noConversion"/>
  </si>
  <si>
    <r>
      <rPr>
        <sz val="11"/>
        <color theme="1"/>
        <rFont val="宋体"/>
        <family val="3"/>
        <charset val="134"/>
      </rPr>
      <t>无电梯</t>
    </r>
    <phoneticPr fontId="5" type="noConversion"/>
  </si>
  <si>
    <r>
      <rPr>
        <sz val="11"/>
        <color theme="1"/>
        <rFont val="宋体"/>
        <family val="3"/>
        <charset val="134"/>
      </rPr>
      <t>增值项</t>
    </r>
    <phoneticPr fontId="5" type="noConversion"/>
  </si>
  <si>
    <r>
      <rPr>
        <sz val="11"/>
        <color theme="1"/>
        <rFont val="宋体"/>
        <family val="3"/>
        <charset val="134"/>
      </rPr>
      <t>系数</t>
    </r>
    <phoneticPr fontId="5" type="noConversion"/>
  </si>
  <si>
    <r>
      <rPr>
        <sz val="11"/>
        <color theme="1"/>
        <rFont val="宋体"/>
        <family val="3"/>
        <charset val="134"/>
      </rPr>
      <t>有电梯</t>
    </r>
    <phoneticPr fontId="5"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</si>
  <si>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5" type="noConversion"/>
  </si>
  <si>
    <r>
      <rPr>
        <sz val="11"/>
        <color theme="1"/>
        <rFont val="宋体"/>
        <family val="3"/>
        <charset val="134"/>
      </rPr>
      <t>层差</t>
    </r>
    <r>
      <rPr>
        <sz val="11"/>
        <color theme="1"/>
        <rFont val="Arial"/>
        <family val="2"/>
      </rPr>
      <t>/</t>
    </r>
    <r>
      <rPr>
        <sz val="11"/>
        <color theme="1"/>
        <rFont val="宋体"/>
        <family val="3"/>
        <charset val="134"/>
      </rPr>
      <t>系数</t>
    </r>
    <phoneticPr fontId="5" type="noConversion"/>
  </si>
  <si>
    <r>
      <rPr>
        <sz val="11"/>
        <color theme="1"/>
        <rFont val="宋体"/>
        <family val="3"/>
        <charset val="134"/>
      </rPr>
      <t>露台</t>
    </r>
    <phoneticPr fontId="5" type="noConversion"/>
  </si>
  <si>
    <r>
      <rPr>
        <sz val="11"/>
        <color theme="1"/>
        <rFont val="宋体"/>
        <family val="3"/>
        <charset val="134"/>
      </rPr>
      <t>总层数</t>
    </r>
    <phoneticPr fontId="5" type="noConversion"/>
  </si>
  <si>
    <r>
      <rPr>
        <sz val="11"/>
        <color theme="1"/>
        <rFont val="宋体"/>
        <family val="3"/>
        <charset val="134"/>
      </rPr>
      <t>中间层</t>
    </r>
    <phoneticPr fontId="5" type="noConversion"/>
  </si>
  <si>
    <r>
      <rPr>
        <sz val="11"/>
        <color theme="1"/>
        <rFont val="宋体"/>
        <family val="3"/>
        <charset val="134"/>
      </rPr>
      <t>首层</t>
    </r>
    <phoneticPr fontId="5" type="noConversion"/>
  </si>
  <si>
    <r>
      <rPr>
        <sz val="11"/>
        <color theme="1"/>
        <rFont val="宋体"/>
        <family val="3"/>
        <charset val="134"/>
      </rPr>
      <t>顶层</t>
    </r>
    <phoneticPr fontId="5" type="noConversion"/>
  </si>
  <si>
    <r>
      <rPr>
        <sz val="11"/>
        <color theme="1"/>
        <rFont val="宋体"/>
        <family val="3"/>
        <charset val="134"/>
      </rPr>
      <t>所在楼层</t>
    </r>
    <phoneticPr fontId="5" type="noConversion"/>
  </si>
  <si>
    <r>
      <rPr>
        <sz val="11"/>
        <color theme="1"/>
        <rFont val="宋体"/>
        <family val="3"/>
        <charset val="134"/>
      </rPr>
      <t>花园</t>
    </r>
    <phoneticPr fontId="5" type="noConversion"/>
  </si>
  <si>
    <r>
      <rPr>
        <sz val="11"/>
        <color theme="1"/>
        <rFont val="宋体"/>
        <family val="3"/>
        <charset val="134"/>
      </rPr>
      <t>最高最低差</t>
    </r>
    <phoneticPr fontId="5" type="noConversion"/>
  </si>
  <si>
    <r>
      <rPr>
        <sz val="12"/>
        <rFont val="宋体"/>
        <family val="3"/>
        <charset val="134"/>
      </rPr>
      <t>注意于无电梯多层的价值匹配</t>
    </r>
    <phoneticPr fontId="5" type="noConversion"/>
  </si>
  <si>
    <r>
      <rPr>
        <sz val="11"/>
        <color rgb="FFFF0000"/>
        <rFont val="宋体"/>
        <family val="3"/>
        <charset val="134"/>
      </rPr>
      <t>修正体系描述方式：</t>
    </r>
    <phoneticPr fontId="5"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</si>
  <si>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5" type="noConversion"/>
  </si>
  <si>
    <r>
      <rPr>
        <b/>
        <sz val="16"/>
        <rFont val="宋体"/>
        <family val="3"/>
        <charset val="134"/>
      </rPr>
      <t>商业</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</si>
  <si>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7" type="noConversion"/>
  </si>
  <si>
    <r>
      <rPr>
        <b/>
        <sz val="12"/>
        <rFont val="宋体"/>
        <family val="3"/>
        <charset val="134"/>
      </rPr>
      <t>建筑面积</t>
    </r>
    <phoneticPr fontId="27"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</si>
  <si>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</si>
  <si>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</si>
  <si>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</si>
  <si>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</si>
  <si>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</si>
  <si>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</si>
  <si>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</si>
  <si>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indexed="8"/>
        <rFont val="宋体"/>
        <family val="3"/>
        <charset val="134"/>
      </rPr>
      <t>正常</t>
    </r>
    <phoneticPr fontId="27" type="noConversion"/>
  </si>
  <si>
    <r>
      <rPr>
        <sz val="11"/>
        <color indexed="8"/>
        <rFont val="宋体"/>
        <family val="3"/>
        <charset val="134"/>
      </rPr>
      <t>商业繁华度</t>
    </r>
    <phoneticPr fontId="33" type="noConversion"/>
  </si>
  <si>
    <r>
      <rPr>
        <sz val="11"/>
        <color indexed="8"/>
        <rFont val="宋体"/>
        <family val="3"/>
        <charset val="134"/>
      </rPr>
      <t>公共配套设施</t>
    </r>
    <phoneticPr fontId="33" type="noConversion"/>
  </si>
  <si>
    <r>
      <rPr>
        <sz val="11"/>
        <color indexed="8"/>
        <rFont val="宋体"/>
        <family val="3"/>
        <charset val="134"/>
      </rPr>
      <t>基础设施水平</t>
    </r>
    <phoneticPr fontId="33" type="noConversion"/>
  </si>
  <si>
    <r>
      <rPr>
        <sz val="11"/>
        <color indexed="8"/>
        <rFont val="宋体"/>
        <family val="3"/>
        <charset val="134"/>
      </rPr>
      <t>临街状况</t>
    </r>
    <phoneticPr fontId="33"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</si>
  <si>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3" type="noConversion"/>
  </si>
  <si>
    <r>
      <rPr>
        <sz val="11"/>
        <color indexed="8"/>
        <rFont val="宋体"/>
        <family val="3"/>
        <charset val="134"/>
      </rPr>
      <t>人流量</t>
    </r>
    <phoneticPr fontId="33" type="noConversion"/>
  </si>
  <si>
    <r>
      <rPr>
        <sz val="11"/>
        <color indexed="8"/>
        <rFont val="宋体"/>
        <family val="3"/>
        <charset val="134"/>
      </rPr>
      <t>楼层</t>
    </r>
    <phoneticPr fontId="33" type="noConversion"/>
  </si>
  <si>
    <r>
      <rPr>
        <sz val="11"/>
        <color indexed="8"/>
        <rFont val="宋体"/>
        <family val="3"/>
        <charset val="134"/>
      </rPr>
      <t>商业类型</t>
    </r>
    <phoneticPr fontId="33" type="noConversion"/>
  </si>
  <si>
    <r>
      <rPr>
        <sz val="11"/>
        <color indexed="8"/>
        <rFont val="宋体"/>
        <family val="3"/>
        <charset val="134"/>
      </rPr>
      <t>公共部分装修</t>
    </r>
    <phoneticPr fontId="33" type="noConversion"/>
  </si>
  <si>
    <r>
      <rPr>
        <sz val="11"/>
        <color indexed="8"/>
        <rFont val="宋体"/>
        <family val="3"/>
        <charset val="134"/>
      </rPr>
      <t>成新度</t>
    </r>
    <phoneticPr fontId="33" type="noConversion"/>
  </si>
  <si>
    <r>
      <rPr>
        <sz val="11"/>
        <color indexed="8"/>
        <rFont val="宋体"/>
        <family val="3"/>
        <charset val="134"/>
      </rPr>
      <t>市政基础设施</t>
    </r>
    <phoneticPr fontId="33" type="noConversion"/>
  </si>
  <si>
    <r>
      <rPr>
        <sz val="11"/>
        <color indexed="8"/>
        <rFont val="宋体"/>
        <family val="3"/>
        <charset val="134"/>
      </rPr>
      <t>业态</t>
    </r>
    <phoneticPr fontId="33" type="noConversion"/>
  </si>
  <si>
    <r>
      <rPr>
        <sz val="11"/>
        <color indexed="8"/>
        <rFont val="宋体"/>
        <family val="3"/>
        <charset val="134"/>
      </rPr>
      <t>层高</t>
    </r>
    <phoneticPr fontId="33" type="noConversion"/>
  </si>
  <si>
    <r>
      <rPr>
        <sz val="11"/>
        <color indexed="8"/>
        <rFont val="宋体"/>
        <family val="3"/>
        <charset val="134"/>
      </rPr>
      <t>单套建筑面积</t>
    </r>
    <phoneticPr fontId="33" type="noConversion"/>
  </si>
  <si>
    <r>
      <rPr>
        <sz val="11"/>
        <rFont val="宋体"/>
        <family val="3"/>
        <charset val="134"/>
      </rPr>
      <t>进深比</t>
    </r>
    <phoneticPr fontId="5" type="noConversion"/>
  </si>
  <si>
    <r>
      <rPr>
        <sz val="11"/>
        <color indexed="8"/>
        <rFont val="宋体"/>
        <family val="3"/>
        <charset val="134"/>
      </rPr>
      <t>内部装修</t>
    </r>
    <phoneticPr fontId="33"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</si>
  <si>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</si>
  <si>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</si>
  <si>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</si>
  <si>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</si>
  <si>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</si>
  <si>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</si>
  <si>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rFont val="宋体"/>
        <family val="3"/>
        <charset val="134"/>
      </rPr>
      <t>七通</t>
    </r>
    <phoneticPr fontId="33" type="noConversion"/>
  </si>
  <si>
    <r>
      <rPr>
        <sz val="11"/>
        <rFont val="宋体"/>
        <family val="3"/>
        <charset val="134"/>
      </rPr>
      <t>六通</t>
    </r>
    <phoneticPr fontId="33" type="noConversion"/>
  </si>
  <si>
    <r>
      <rPr>
        <sz val="11"/>
        <rFont val="宋体"/>
        <family val="3"/>
        <charset val="134"/>
      </rPr>
      <t>五通</t>
    </r>
    <phoneticPr fontId="33" type="noConversion"/>
  </si>
  <si>
    <r>
      <rPr>
        <sz val="11"/>
        <rFont val="宋体"/>
        <family val="3"/>
        <charset val="134"/>
      </rPr>
      <t>四通</t>
    </r>
    <phoneticPr fontId="33" type="noConversion"/>
  </si>
  <si>
    <r>
      <rPr>
        <sz val="11"/>
        <rFont val="宋体"/>
        <family val="3"/>
        <charset val="134"/>
      </rPr>
      <t>三通</t>
    </r>
    <phoneticPr fontId="33"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</si>
  <si>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</si>
  <si>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</si>
  <si>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</si>
  <si>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</si>
  <si>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</si>
  <si>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</si>
  <si>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33" type="noConversion"/>
  </si>
  <si>
    <r>
      <rPr>
        <sz val="11"/>
        <color indexed="8"/>
        <rFont val="宋体"/>
        <family val="3"/>
        <charset val="134"/>
      </rPr>
      <t>办公集聚程度</t>
    </r>
    <phoneticPr fontId="33" type="noConversion"/>
  </si>
  <si>
    <r>
      <rPr>
        <sz val="11"/>
        <color indexed="8"/>
        <rFont val="宋体"/>
        <family val="3"/>
        <charset val="134"/>
      </rPr>
      <t>公共配套设施</t>
    </r>
    <phoneticPr fontId="34" type="noConversion"/>
  </si>
  <si>
    <r>
      <rPr>
        <sz val="11"/>
        <color indexed="8"/>
        <rFont val="宋体"/>
        <family val="3"/>
        <charset val="134"/>
      </rPr>
      <t>基础设施水平</t>
    </r>
    <phoneticPr fontId="34" type="noConversion"/>
  </si>
  <si>
    <r>
      <rPr>
        <sz val="11"/>
        <color indexed="8"/>
        <rFont val="宋体"/>
        <family val="3"/>
        <charset val="134"/>
      </rPr>
      <t>环境质量</t>
    </r>
    <phoneticPr fontId="34" type="noConversion"/>
  </si>
  <si>
    <r>
      <rPr>
        <sz val="11"/>
        <color indexed="8"/>
        <rFont val="宋体"/>
        <family val="3"/>
        <charset val="134"/>
      </rPr>
      <t>毗邻道路的类型与等级</t>
    </r>
    <phoneticPr fontId="33" type="noConversion"/>
  </si>
  <si>
    <r>
      <rPr>
        <sz val="11"/>
        <color indexed="8"/>
        <rFont val="宋体"/>
        <family val="3"/>
        <charset val="134"/>
      </rPr>
      <t>朝向</t>
    </r>
    <phoneticPr fontId="33" type="noConversion"/>
  </si>
  <si>
    <r>
      <rPr>
        <sz val="11"/>
        <color indexed="8"/>
        <rFont val="宋体"/>
        <family val="3"/>
        <charset val="134"/>
      </rPr>
      <t>建筑类型</t>
    </r>
    <phoneticPr fontId="33" type="noConversion"/>
  </si>
  <si>
    <r>
      <rPr>
        <sz val="11"/>
        <color indexed="8"/>
        <rFont val="宋体"/>
        <family val="3"/>
        <charset val="134"/>
      </rPr>
      <t>写字楼等级</t>
    </r>
    <phoneticPr fontId="33" type="noConversion"/>
  </si>
  <si>
    <r>
      <rPr>
        <sz val="11"/>
        <color indexed="8"/>
        <rFont val="宋体"/>
        <family val="3"/>
        <charset val="134"/>
      </rPr>
      <t>物业管理</t>
    </r>
    <phoneticPr fontId="33" type="noConversion"/>
  </si>
  <si>
    <r>
      <rPr>
        <sz val="11"/>
        <rFont val="宋体"/>
        <family val="3"/>
        <charset val="134"/>
      </rPr>
      <t>单套建筑面积</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</si>
  <si>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</si>
  <si>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</si>
  <si>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</si>
  <si>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</si>
  <si>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</si>
  <si>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</si>
  <si>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33" type="noConversion"/>
  </si>
  <si>
    <r>
      <rPr>
        <sz val="11"/>
        <color indexed="8"/>
        <rFont val="宋体"/>
        <family val="3"/>
        <charset val="134"/>
      </rPr>
      <t>内部装修状况</t>
    </r>
    <phoneticPr fontId="33" type="noConversion"/>
  </si>
  <si>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</si>
  <si>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</si>
  <si>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</si>
  <si>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27" type="noConversion"/>
  </si>
  <si>
    <r>
      <rPr>
        <sz val="11"/>
        <color indexed="8"/>
        <rFont val="宋体"/>
        <family val="3"/>
        <charset val="134"/>
      </rPr>
      <t>交通便捷度</t>
    </r>
    <phoneticPr fontId="33" type="noConversion"/>
  </si>
  <si>
    <r>
      <rPr>
        <sz val="11"/>
        <color indexed="8"/>
        <rFont val="宋体"/>
        <family val="3"/>
        <charset val="134"/>
      </rPr>
      <t>自然及人文环境</t>
    </r>
    <phoneticPr fontId="34" type="noConversion"/>
  </si>
  <si>
    <r>
      <rPr>
        <sz val="11"/>
        <color indexed="8"/>
        <rFont val="宋体"/>
        <family val="3"/>
        <charset val="134"/>
      </rPr>
      <t>楼层</t>
    </r>
    <phoneticPr fontId="34" type="noConversion"/>
  </si>
  <si>
    <r>
      <rPr>
        <sz val="11"/>
        <color indexed="8"/>
        <rFont val="宋体"/>
        <family val="3"/>
        <charset val="134"/>
      </rPr>
      <t>配套类型</t>
    </r>
    <phoneticPr fontId="33" type="noConversion"/>
  </si>
  <si>
    <r>
      <rPr>
        <sz val="11"/>
        <color indexed="8"/>
        <rFont val="宋体"/>
        <family val="3"/>
        <charset val="134"/>
      </rPr>
      <t>项目停车位配比</t>
    </r>
    <phoneticPr fontId="34" type="noConversion"/>
  </si>
  <si>
    <r>
      <rPr>
        <sz val="11"/>
        <color indexed="8"/>
        <rFont val="宋体"/>
        <family val="3"/>
        <charset val="134"/>
      </rPr>
      <t>公共部分装修</t>
    </r>
    <phoneticPr fontId="34" type="noConversion"/>
  </si>
  <si>
    <r>
      <rPr>
        <sz val="11"/>
        <color indexed="8"/>
        <rFont val="宋体"/>
        <family val="3"/>
        <charset val="134"/>
      </rPr>
      <t>成新率</t>
    </r>
    <phoneticPr fontId="33" type="noConversion"/>
  </si>
  <si>
    <r>
      <rPr>
        <sz val="11"/>
        <color indexed="8"/>
        <rFont val="宋体"/>
        <family val="3"/>
        <charset val="134"/>
      </rPr>
      <t>物业等级</t>
    </r>
    <phoneticPr fontId="33" type="noConversion"/>
  </si>
  <si>
    <r>
      <rPr>
        <sz val="11"/>
        <color indexed="8"/>
        <rFont val="宋体"/>
        <family val="3"/>
        <charset val="134"/>
      </rPr>
      <t>停车位面积</t>
    </r>
    <phoneticPr fontId="33" type="noConversion"/>
  </si>
  <si>
    <r>
      <rPr>
        <sz val="11"/>
        <color indexed="8"/>
        <rFont val="宋体"/>
        <family val="3"/>
        <charset val="134"/>
      </rPr>
      <t>车位类型</t>
    </r>
    <phoneticPr fontId="33" type="noConversion"/>
  </si>
  <si>
    <r>
      <rPr>
        <sz val="11"/>
        <color indexed="8"/>
        <rFont val="宋体"/>
        <family val="3"/>
        <charset val="134"/>
      </rPr>
      <t>是否直接入户</t>
    </r>
    <phoneticPr fontId="33"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</si>
  <si>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</si>
  <si>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</si>
  <si>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</si>
  <si>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</si>
  <si>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</si>
  <si>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</si>
  <si>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</si>
  <si>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</si>
  <si>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</si>
  <si>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</si>
  <si>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</si>
  <si>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</si>
  <si>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</si>
  <si>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34"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</si>
  <si>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</si>
  <si>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</si>
  <si>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</si>
  <si>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33" type="noConversion"/>
  </si>
  <si>
    <r>
      <rPr>
        <sz val="11"/>
        <color indexed="8"/>
        <rFont val="宋体"/>
        <family val="3"/>
        <charset val="134"/>
      </rPr>
      <t>建筑面积</t>
    </r>
    <phoneticPr fontId="33" type="noConversion"/>
  </si>
  <si>
    <r>
      <rPr>
        <sz val="11"/>
        <color indexed="8"/>
        <rFont val="宋体"/>
        <family val="3"/>
        <charset val="134"/>
      </rPr>
      <t>是否封闭</t>
    </r>
    <phoneticPr fontId="33" type="noConversion"/>
  </si>
  <si>
    <r>
      <rPr>
        <sz val="11"/>
        <color indexed="8"/>
        <rFont val="宋体"/>
        <family val="3"/>
        <charset val="134"/>
      </rPr>
      <t>公用设施及基础设施水平</t>
    </r>
    <phoneticPr fontId="5" type="noConversion"/>
  </si>
  <si>
    <r>
      <rPr>
        <sz val="11"/>
        <color indexed="8"/>
        <rFont val="宋体"/>
        <family val="3"/>
        <charset val="134"/>
      </rPr>
      <t>有无电梯</t>
    </r>
    <phoneticPr fontId="5" type="noConversion"/>
  </si>
  <si>
    <r>
      <rPr>
        <sz val="11"/>
        <color indexed="8"/>
        <rFont val="宋体"/>
        <family val="3"/>
        <charset val="134"/>
      </rPr>
      <t>建筑面积</t>
    </r>
    <phoneticPr fontId="34"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</si>
  <si>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</si>
  <si>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</si>
  <si>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33" type="noConversion"/>
  </si>
  <si>
    <r>
      <rPr>
        <b/>
        <sz val="12"/>
        <rFont val="宋体"/>
        <family val="3"/>
        <charset val="134"/>
      </rPr>
      <t>建筑面积</t>
    </r>
    <phoneticPr fontId="20" type="noConversion"/>
  </si>
  <si>
    <r>
      <rPr>
        <sz val="11"/>
        <color indexed="8"/>
        <rFont val="宋体"/>
        <family val="3"/>
        <charset val="134"/>
      </rPr>
      <t>配建</t>
    </r>
    <phoneticPr fontId="33" type="noConversion"/>
  </si>
  <si>
    <r>
      <rPr>
        <sz val="11"/>
        <color indexed="8"/>
        <rFont val="宋体"/>
        <family val="3"/>
        <charset val="134"/>
      </rPr>
      <t>区域土地利用方向</t>
    </r>
    <phoneticPr fontId="33" type="noConversion"/>
  </si>
  <si>
    <r>
      <rPr>
        <sz val="11"/>
        <color indexed="8"/>
        <rFont val="宋体"/>
        <family val="3"/>
        <charset val="134"/>
      </rPr>
      <t>自然及人文环境状况</t>
    </r>
    <phoneticPr fontId="33" type="noConversion"/>
  </si>
  <si>
    <r>
      <rPr>
        <sz val="11"/>
        <color indexed="8"/>
        <rFont val="宋体"/>
        <family val="3"/>
        <charset val="134"/>
      </rPr>
      <t>土地级别</t>
    </r>
    <phoneticPr fontId="33" type="noConversion"/>
  </si>
  <si>
    <r>
      <rPr>
        <sz val="11"/>
        <color indexed="8"/>
        <rFont val="宋体"/>
        <family val="3"/>
        <charset val="134"/>
      </rPr>
      <t>宗地面积</t>
    </r>
    <phoneticPr fontId="33" type="noConversion"/>
  </si>
  <si>
    <r>
      <rPr>
        <sz val="11"/>
        <color indexed="8"/>
        <rFont val="宋体"/>
        <family val="3"/>
        <charset val="134"/>
      </rPr>
      <t>宗地形状</t>
    </r>
    <phoneticPr fontId="33" type="noConversion"/>
  </si>
  <si>
    <r>
      <rPr>
        <sz val="11"/>
        <color indexed="8"/>
        <rFont val="宋体"/>
        <family val="3"/>
        <charset val="134"/>
      </rPr>
      <t>临街宽度及深度</t>
    </r>
    <phoneticPr fontId="33" type="noConversion"/>
  </si>
  <si>
    <r>
      <rPr>
        <sz val="11"/>
        <color indexed="8"/>
        <rFont val="宋体"/>
        <family val="3"/>
        <charset val="134"/>
      </rPr>
      <t>宗地开发程度</t>
    </r>
    <phoneticPr fontId="33" type="noConversion"/>
  </si>
  <si>
    <r>
      <rPr>
        <sz val="11"/>
        <color indexed="8"/>
        <rFont val="宋体"/>
        <family val="3"/>
        <charset val="134"/>
      </rPr>
      <t>工程地质条件</t>
    </r>
    <phoneticPr fontId="33"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</si>
  <si>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</si>
  <si>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</si>
  <si>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rFont val="宋体"/>
        <family val="3"/>
        <charset val="134"/>
      </rPr>
      <t>用途</t>
    </r>
    <r>
      <rPr>
        <sz val="11"/>
        <rFont val="Arial"/>
        <family val="2"/>
      </rPr>
      <t>/</t>
    </r>
    <r>
      <rPr>
        <sz val="11"/>
        <rFont val="宋体"/>
        <family val="3"/>
        <charset val="134"/>
      </rPr>
      <t>位置</t>
    </r>
    <phoneticPr fontId="33" type="noConversion"/>
  </si>
  <si>
    <r>
      <rPr>
        <sz val="11"/>
        <rFont val="宋体"/>
        <family val="3"/>
        <charset val="134"/>
      </rPr>
      <t>修正单价</t>
    </r>
    <phoneticPr fontId="33" type="noConversion"/>
  </si>
  <si>
    <r>
      <rPr>
        <sz val="11"/>
        <rFont val="宋体"/>
        <family val="3"/>
        <charset val="134"/>
      </rPr>
      <t>北京市系数</t>
    </r>
  </si>
  <si>
    <r>
      <rPr>
        <sz val="11"/>
        <rFont val="宋体"/>
        <family val="3"/>
        <charset val="134"/>
      </rPr>
      <t>政府土地出让收益比例</t>
    </r>
    <phoneticPr fontId="5" type="noConversion"/>
  </si>
  <si>
    <r>
      <rPr>
        <sz val="11"/>
        <rFont val="宋体"/>
        <family val="3"/>
        <charset val="134"/>
      </rPr>
      <t>建筑面积</t>
    </r>
    <phoneticPr fontId="33" type="noConversion"/>
  </si>
  <si>
    <r>
      <rPr>
        <sz val="11"/>
        <rFont val="宋体"/>
        <family val="3"/>
        <charset val="134"/>
      </rPr>
      <t>总价</t>
    </r>
    <phoneticPr fontId="33" type="noConversion"/>
  </si>
  <si>
    <r>
      <rPr>
        <sz val="11"/>
        <rFont val="宋体"/>
        <family val="3"/>
        <charset val="134"/>
      </rPr>
      <t>对应的地上用途及土地级别（北京市）</t>
    </r>
    <phoneticPr fontId="33" type="noConversion"/>
  </si>
  <si>
    <r>
      <rPr>
        <sz val="11"/>
        <color theme="1"/>
        <rFont val="宋体"/>
        <family val="3"/>
        <charset val="134"/>
      </rPr>
      <t>北京市</t>
    </r>
    <phoneticPr fontId="33" type="noConversion"/>
  </si>
  <si>
    <r>
      <rPr>
        <sz val="11"/>
        <color rgb="FFFF0000"/>
        <rFont val="宋体"/>
        <family val="3"/>
        <charset val="134"/>
      </rPr>
      <t>外省市地下修正系数请自行录入</t>
    </r>
    <phoneticPr fontId="33" type="noConversion"/>
  </si>
  <si>
    <r>
      <rPr>
        <sz val="10"/>
        <rFont val="宋体"/>
        <family val="3"/>
        <charset val="134"/>
      </rPr>
      <t>地上</t>
    </r>
    <phoneticPr fontId="20" type="noConversion"/>
  </si>
  <si>
    <r>
      <rPr>
        <sz val="10"/>
        <rFont val="宋体"/>
        <family val="3"/>
        <charset val="134"/>
      </rPr>
      <t>地下商业（</t>
    </r>
    <r>
      <rPr>
        <sz val="10"/>
        <rFont val="Arial"/>
        <family val="2"/>
      </rPr>
      <t>-1</t>
    </r>
    <r>
      <rPr>
        <sz val="10"/>
        <rFont val="宋体"/>
        <family val="3"/>
        <charset val="134"/>
      </rPr>
      <t>）</t>
    </r>
    <phoneticPr fontId="18" type="noConversion"/>
  </si>
  <si>
    <r>
      <rPr>
        <sz val="10"/>
        <color theme="1"/>
        <rFont val="宋体"/>
        <family val="3"/>
        <charset val="134"/>
      </rPr>
      <t>对应商业级别</t>
    </r>
    <phoneticPr fontId="33" type="noConversion"/>
  </si>
  <si>
    <r>
      <rPr>
        <sz val="10"/>
        <rFont val="宋体"/>
        <family val="3"/>
        <charset val="134"/>
      </rPr>
      <t>地下商业（</t>
    </r>
    <r>
      <rPr>
        <sz val="10"/>
        <rFont val="Arial"/>
        <family val="2"/>
      </rPr>
      <t>-2</t>
    </r>
    <r>
      <rPr>
        <sz val="10"/>
        <rFont val="宋体"/>
        <family val="3"/>
        <charset val="134"/>
      </rPr>
      <t>）</t>
    </r>
    <phoneticPr fontId="18" type="noConversion"/>
  </si>
  <si>
    <r>
      <rPr>
        <sz val="10"/>
        <rFont val="宋体"/>
        <family val="3"/>
        <charset val="134"/>
      </rPr>
      <t>地下商业（</t>
    </r>
    <r>
      <rPr>
        <sz val="10"/>
        <rFont val="Arial"/>
        <family val="2"/>
      </rPr>
      <t>-3</t>
    </r>
    <r>
      <rPr>
        <sz val="10"/>
        <rFont val="宋体"/>
        <family val="3"/>
        <charset val="134"/>
      </rPr>
      <t>）</t>
    </r>
    <phoneticPr fontId="18" type="noConversion"/>
  </si>
  <si>
    <r>
      <rPr>
        <sz val="10"/>
        <rFont val="宋体"/>
        <family val="3"/>
        <charset val="134"/>
      </rPr>
      <t>地下商业（</t>
    </r>
    <r>
      <rPr>
        <sz val="10"/>
        <rFont val="Arial"/>
        <family val="2"/>
      </rPr>
      <t>-4</t>
    </r>
    <r>
      <rPr>
        <sz val="10"/>
        <rFont val="宋体"/>
        <family val="3"/>
        <charset val="134"/>
      </rPr>
      <t>）</t>
    </r>
    <phoneticPr fontId="18" type="noConversion"/>
  </si>
  <si>
    <r>
      <rPr>
        <sz val="10"/>
        <rFont val="宋体"/>
        <family val="3"/>
        <charset val="134"/>
      </rPr>
      <t>地下办公（含物业）</t>
    </r>
    <phoneticPr fontId="18" type="noConversion"/>
  </si>
  <si>
    <r>
      <rPr>
        <sz val="10"/>
        <color theme="1"/>
        <rFont val="宋体"/>
        <family val="3"/>
        <charset val="134"/>
      </rPr>
      <t>对应办公级别</t>
    </r>
    <phoneticPr fontId="33" type="noConversion"/>
  </si>
  <si>
    <r>
      <rPr>
        <sz val="10"/>
        <rFont val="宋体"/>
        <family val="3"/>
        <charset val="134"/>
      </rPr>
      <t>地下仓储</t>
    </r>
    <phoneticPr fontId="18" type="noConversion"/>
  </si>
  <si>
    <r>
      <rPr>
        <sz val="10"/>
        <color indexed="53"/>
        <rFont val="宋体"/>
        <family val="3"/>
        <charset val="134"/>
      </rPr>
      <t>办公</t>
    </r>
  </si>
  <si>
    <r>
      <rPr>
        <sz val="10"/>
        <rFont val="宋体"/>
        <family val="3"/>
        <charset val="134"/>
      </rPr>
      <t>地下车库</t>
    </r>
    <phoneticPr fontId="18"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</si>
  <si>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</si>
  <si>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8" type="noConversion"/>
  </si>
  <si>
    <r>
      <rPr>
        <sz val="10"/>
        <rFont val="宋体"/>
        <family val="3"/>
        <charset val="134"/>
      </rPr>
      <t>地下车库</t>
    </r>
    <r>
      <rPr>
        <sz val="10"/>
        <rFont val="Arial"/>
        <family val="2"/>
      </rPr>
      <t>-</t>
    </r>
    <r>
      <rPr>
        <sz val="10"/>
        <rFont val="宋体"/>
        <family val="3"/>
        <charset val="134"/>
      </rPr>
      <t>办公</t>
    </r>
    <phoneticPr fontId="18" type="noConversion"/>
  </si>
  <si>
    <r>
      <rPr>
        <b/>
        <sz val="10"/>
        <rFont val="宋体"/>
        <family val="3"/>
        <charset val="134"/>
      </rPr>
      <t>土地购买价格</t>
    </r>
    <phoneticPr fontId="18" type="noConversion"/>
  </si>
  <si>
    <r>
      <rPr>
        <b/>
        <sz val="11"/>
        <color indexed="8"/>
        <rFont val="宋体"/>
        <family val="3"/>
        <charset val="134"/>
      </rPr>
      <t>交易时间（按季度调整）</t>
    </r>
    <phoneticPr fontId="5" type="noConversion"/>
  </si>
  <si>
    <r>
      <rPr>
        <b/>
        <sz val="11"/>
        <color indexed="8"/>
        <rFont val="宋体"/>
        <family val="3"/>
        <charset val="134"/>
      </rPr>
      <t>住宅</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</si>
  <si>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</si>
  <si>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</si>
  <si>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</si>
  <si>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33" type="noConversion"/>
  </si>
  <si>
    <r>
      <rPr>
        <sz val="11"/>
        <rFont val="宋体"/>
        <family val="3"/>
        <charset val="134"/>
      </rPr>
      <t>双面临街</t>
    </r>
    <phoneticPr fontId="33" type="noConversion"/>
  </si>
  <si>
    <r>
      <rPr>
        <sz val="11"/>
        <rFont val="宋体"/>
        <family val="3"/>
        <charset val="134"/>
      </rPr>
      <t>单面临街</t>
    </r>
    <phoneticPr fontId="33" type="noConversion"/>
  </si>
  <si>
    <r>
      <rPr>
        <sz val="11"/>
        <rFont val="宋体"/>
        <family val="3"/>
        <charset val="134"/>
      </rPr>
      <t>不临街</t>
    </r>
    <phoneticPr fontId="33"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</si>
  <si>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</si>
  <si>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</si>
  <si>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</si>
  <si>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</si>
  <si>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</si>
  <si>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33" type="noConversion"/>
  </si>
  <si>
    <r>
      <rPr>
        <sz val="11"/>
        <rFont val="宋体"/>
        <family val="3"/>
        <charset val="134"/>
      </rPr>
      <t>项目位置</t>
    </r>
    <phoneticPr fontId="5" type="noConversion"/>
  </si>
  <si>
    <r>
      <rPr>
        <sz val="11"/>
        <color indexed="8"/>
        <rFont val="宋体"/>
        <family val="3"/>
        <charset val="134"/>
      </rPr>
      <t>产业集聚程度</t>
    </r>
    <phoneticPr fontId="35" type="noConversion"/>
  </si>
  <si>
    <r>
      <rPr>
        <sz val="11"/>
        <color indexed="8"/>
        <rFont val="宋体"/>
        <family val="3"/>
        <charset val="134"/>
      </rPr>
      <t>环境状况</t>
    </r>
    <phoneticPr fontId="33" type="noConversion"/>
  </si>
  <si>
    <r>
      <rPr>
        <b/>
        <sz val="11"/>
        <rFont val="宋体"/>
        <family val="3"/>
        <charset val="134"/>
      </rPr>
      <t>单价内涵</t>
    </r>
  </si>
  <si>
    <r>
      <rPr>
        <sz val="11"/>
        <rFont val="宋体"/>
        <family val="3"/>
        <charset val="134"/>
      </rPr>
      <t>北京市</t>
    </r>
    <phoneticPr fontId="33" type="noConversion"/>
  </si>
  <si>
    <r>
      <rPr>
        <b/>
        <sz val="11"/>
        <color indexed="8"/>
        <rFont val="宋体"/>
        <family val="3"/>
        <charset val="134"/>
      </rPr>
      <t>工业</t>
    </r>
    <phoneticPr fontId="35" type="noConversion"/>
  </si>
  <si>
    <r>
      <rPr>
        <sz val="11"/>
        <color indexed="8"/>
        <rFont val="宋体"/>
        <family val="3"/>
        <charset val="134"/>
      </rPr>
      <t>基础设施水平</t>
    </r>
    <phoneticPr fontId="35" type="noConversion"/>
  </si>
  <si>
    <r>
      <rPr>
        <b/>
        <sz val="16"/>
        <color indexed="10"/>
        <rFont val="宋体"/>
        <family val="3"/>
        <charset val="134"/>
      </rPr>
      <t>基准地价系数修正法</t>
    </r>
    <phoneticPr fontId="5" type="noConversion"/>
  </si>
  <si>
    <r>
      <rPr>
        <b/>
        <sz val="12"/>
        <rFont val="宋体"/>
        <family val="3"/>
        <charset val="134"/>
      </rPr>
      <t>建筑面积</t>
    </r>
    <phoneticPr fontId="81"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</si>
  <si>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</si>
  <si>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</si>
  <si>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</si>
  <si>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</si>
  <si>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</si>
  <si>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</si>
  <si>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</si>
  <si>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万元</t>
    </r>
    <phoneticPr fontId="5" type="noConversion"/>
  </si>
  <si>
    <r>
      <rPr>
        <sz val="10"/>
        <rFont val="宋体"/>
        <family val="3"/>
        <charset val="134"/>
      </rPr>
      <t>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</si>
  <si>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</si>
  <si>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</si>
  <si>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</si>
  <si>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</si>
  <si>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</si>
  <si>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</si>
  <si>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宗地容积率</t>
    </r>
  </si>
  <si>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</si>
  <si>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</si>
  <si>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</si>
  <si>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</si>
  <si>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</si>
  <si>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</si>
  <si>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81" type="noConversion"/>
  </si>
  <si>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</si>
  <si>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</si>
  <si>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</si>
  <si>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</si>
  <si>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</si>
  <si>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</si>
  <si>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</si>
  <si>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</si>
  <si>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</si>
  <si>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</si>
  <si>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</si>
  <si>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</si>
  <si>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</si>
  <si>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</si>
  <si>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</si>
  <si>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</si>
  <si>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</si>
  <si>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</si>
  <si>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</si>
  <si>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</si>
  <si>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</si>
  <si>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</si>
  <si>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</si>
  <si>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</si>
  <si>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</si>
  <si>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</si>
  <si>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</si>
  <si>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</si>
  <si>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</si>
  <si>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</si>
  <si>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</si>
  <si>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</si>
  <si>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</si>
  <si>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</si>
  <si>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</si>
  <si>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</si>
  <si>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</si>
  <si>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sz val="10"/>
        <rFont val="宋体"/>
        <family val="3"/>
        <charset val="134"/>
      </rPr>
      <t>（</t>
    </r>
    <r>
      <rPr>
        <sz val="10"/>
        <rFont val="Arial"/>
        <family val="2"/>
      </rPr>
      <t>2</t>
    </r>
    <r>
      <rPr>
        <sz val="10"/>
        <rFont val="宋体"/>
        <family val="3"/>
        <charset val="134"/>
      </rPr>
      <t>）</t>
    </r>
    <phoneticPr fontId="81"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</si>
  <si>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</si>
  <si>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</si>
  <si>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</si>
  <si>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</si>
  <si>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</si>
  <si>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</si>
  <si>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</si>
  <si>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</si>
  <si>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</si>
  <si>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81"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</si>
  <si>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</si>
  <si>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</si>
  <si>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</si>
  <si>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</si>
  <si>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</si>
  <si>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</si>
  <si>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sz val="10"/>
        <rFont val="宋体"/>
        <family val="3"/>
        <charset val="134"/>
      </rPr>
      <t>（</t>
    </r>
    <r>
      <rPr>
        <sz val="10"/>
        <rFont val="Arial"/>
        <family val="2"/>
      </rPr>
      <t>3</t>
    </r>
    <r>
      <rPr>
        <sz val="10"/>
        <rFont val="宋体"/>
        <family val="3"/>
        <charset val="134"/>
      </rPr>
      <t>）</t>
    </r>
    <phoneticPr fontId="81"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</si>
  <si>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</si>
  <si>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</si>
  <si>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</si>
  <si>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</si>
  <si>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</si>
  <si>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</si>
  <si>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用途修正系数</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</si>
  <si>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</si>
  <si>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</si>
  <si>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</si>
  <si>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81" type="noConversion"/>
  </si>
  <si>
    <r>
      <rPr>
        <sz val="10"/>
        <rFont val="宋体"/>
        <family val="3"/>
        <charset val="134"/>
      </rPr>
      <t>相差季度数</t>
    </r>
    <phoneticPr fontId="81"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</si>
  <si>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</si>
  <si>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</si>
  <si>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</si>
  <si>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81"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</si>
  <si>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</si>
  <si>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</si>
  <si>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平均季度增幅（公示）</t>
    </r>
    <phoneticPr fontId="5" type="noConversion"/>
  </si>
  <si>
    <r>
      <rPr>
        <sz val="11"/>
        <rFont val="宋体"/>
        <family val="3"/>
        <charset val="134"/>
      </rPr>
      <t>商业</t>
    </r>
    <phoneticPr fontId="5" type="noConversion"/>
  </si>
  <si>
    <r>
      <rPr>
        <sz val="11"/>
        <rFont val="宋体"/>
        <family val="3"/>
        <charset val="134"/>
      </rPr>
      <t>（</t>
    </r>
    <r>
      <rPr>
        <sz val="11"/>
        <rFont val="Arial"/>
        <family val="2"/>
      </rPr>
      <t>1</t>
    </r>
    <r>
      <rPr>
        <sz val="11"/>
        <rFont val="宋体"/>
        <family val="3"/>
        <charset val="134"/>
      </rPr>
      <t>）</t>
    </r>
    <phoneticPr fontId="81"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</si>
  <si>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</si>
  <si>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</si>
  <si>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</si>
  <si>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t>
    </r>
    <r>
      <rPr>
        <sz val="11"/>
        <rFont val="Arial"/>
        <family val="2"/>
      </rPr>
      <t>2</t>
    </r>
    <r>
      <rPr>
        <sz val="11"/>
        <rFont val="宋体"/>
        <family val="3"/>
        <charset val="134"/>
      </rPr>
      <t>）</t>
    </r>
    <phoneticPr fontId="81"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</si>
  <si>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</si>
  <si>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</si>
  <si>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</si>
  <si>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</si>
  <si>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</si>
  <si>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</si>
  <si>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81" type="noConversion"/>
  </si>
  <si>
    <r>
      <rPr>
        <sz val="11"/>
        <rFont val="宋体"/>
        <family val="3"/>
        <charset val="134"/>
      </rPr>
      <t>政府土地出让收益</t>
    </r>
    <phoneticPr fontId="81"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</si>
  <si>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</si>
  <si>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</si>
  <si>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</si>
  <si>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</si>
  <si>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</si>
  <si>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</si>
  <si>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</si>
  <si>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</si>
  <si>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</si>
  <si>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81"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</si>
  <si>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81" type="noConversion"/>
  </si>
  <si>
    <r>
      <rPr>
        <sz val="10"/>
        <rFont val="宋体"/>
        <family val="3"/>
        <charset val="134"/>
      </rPr>
      <t>相应用途地下空间修正系数</t>
    </r>
  </si>
  <si>
    <r>
      <rPr>
        <b/>
        <sz val="10"/>
        <color rgb="FFFF0000"/>
        <rFont val="宋体"/>
        <family val="3"/>
        <charset val="134"/>
      </rPr>
      <t>地下商业不考虑路线价修正</t>
    </r>
    <phoneticPr fontId="81"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</si>
  <si>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</si>
  <si>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</si>
  <si>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</si>
  <si>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</si>
  <si>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</si>
  <si>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81"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</si>
  <si>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</si>
  <si>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</si>
  <si>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</si>
  <si>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</si>
  <si>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</si>
  <si>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</si>
  <si>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</si>
  <si>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</si>
  <si>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</si>
  <si>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</si>
  <si>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color rgb="FFFF0000"/>
        <rFont val="宋体"/>
        <family val="3"/>
        <charset val="134"/>
      </rPr>
      <t>总幅度控制</t>
    </r>
    <r>
      <rPr>
        <sz val="10"/>
        <color rgb="FFFF0000"/>
        <rFont val="Arial"/>
        <family val="2"/>
      </rPr>
      <t>(±)</t>
    </r>
    <phoneticPr fontId="81" type="noConversion"/>
  </si>
  <si>
    <r>
      <rPr>
        <sz val="10"/>
        <color rgb="FFFF0000"/>
        <rFont val="宋体"/>
        <family val="3"/>
        <charset val="134"/>
      </rPr>
      <t>各因素幅度控制</t>
    </r>
    <r>
      <rPr>
        <sz val="10"/>
        <color rgb="FFFF0000"/>
        <rFont val="Arial"/>
        <family val="2"/>
      </rPr>
      <t>(±)</t>
    </r>
    <phoneticPr fontId="81" type="noConversion"/>
  </si>
  <si>
    <r>
      <rPr>
        <sz val="10"/>
        <color indexed="8"/>
        <rFont val="宋体"/>
        <family val="3"/>
        <charset val="134"/>
      </rPr>
      <t>权重</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</si>
  <si>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</si>
  <si>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</si>
  <si>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</si>
  <si>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</si>
  <si>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81"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</si>
  <si>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</si>
  <si>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</si>
  <si>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81"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</si>
  <si>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</si>
  <si>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</si>
  <si>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</si>
  <si>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</si>
  <si>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rgb="FFFF0000"/>
        <rFont val="宋体"/>
        <family val="3"/>
        <charset val="134"/>
      </rPr>
      <t>幅度控制</t>
    </r>
    <r>
      <rPr>
        <sz val="10"/>
        <color rgb="FFFF0000"/>
        <rFont val="Arial"/>
        <family val="2"/>
      </rPr>
      <t>(±)</t>
    </r>
    <phoneticPr fontId="81"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</si>
  <si>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</si>
  <si>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</si>
  <si>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</si>
  <si>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</si>
  <si>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</si>
  <si>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</si>
  <si>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</si>
  <si>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</si>
  <si>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</si>
  <si>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</si>
  <si>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</si>
  <si>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</si>
  <si>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</si>
  <si>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</si>
  <si>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</si>
  <si>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</si>
  <si>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</si>
  <si>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</si>
  <si>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</si>
  <si>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</si>
  <si>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</si>
  <si>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</si>
  <si>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</si>
  <si>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</si>
  <si>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</si>
  <si>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</si>
  <si>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</si>
  <si>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</si>
  <si>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</si>
  <si>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</si>
  <si>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</si>
  <si>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</si>
  <si>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</si>
  <si>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</si>
  <si>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</si>
  <si>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</si>
  <si>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5"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</si>
  <si>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</si>
  <si>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</si>
  <si>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</si>
  <si>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5"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</si>
  <si>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</si>
  <si>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5" type="noConversion"/>
  </si>
  <si>
    <r>
      <rPr>
        <sz val="10"/>
        <color indexed="8"/>
        <rFont val="宋体"/>
        <family val="3"/>
        <charset val="134"/>
      </rPr>
      <t>说明</t>
    </r>
    <phoneticPr fontId="5" type="noConversion"/>
  </si>
  <si>
    <r>
      <rPr>
        <sz val="10"/>
        <color indexed="8"/>
        <rFont val="宋体"/>
        <family val="3"/>
        <charset val="134"/>
      </rPr>
      <t>修正系数</t>
    </r>
    <phoneticPr fontId="5" type="noConversion"/>
  </si>
  <si>
    <r>
      <rPr>
        <sz val="10"/>
        <color indexed="8"/>
        <rFont val="宋体"/>
        <family val="3"/>
        <charset val="134"/>
      </rPr>
      <t>建筑面积</t>
    </r>
    <phoneticPr fontId="5" type="noConversion"/>
  </si>
  <si>
    <r>
      <rPr>
        <sz val="10"/>
        <color theme="9" tint="-0.249977111117893"/>
        <rFont val="宋体"/>
        <family val="3"/>
        <charset val="134"/>
      </rPr>
      <t>修正项</t>
    </r>
    <r>
      <rPr>
        <sz val="10"/>
        <color theme="9" tint="-0.249977111117893"/>
        <rFont val="Arial"/>
        <family val="2"/>
      </rPr>
      <t>2</t>
    </r>
    <phoneticPr fontId="5" type="noConversion"/>
  </si>
  <si>
    <r>
      <rPr>
        <sz val="10"/>
        <color theme="9" tint="-0.249977111117893"/>
        <rFont val="宋体"/>
        <family val="3"/>
        <charset val="134"/>
      </rPr>
      <t>修正项</t>
    </r>
    <r>
      <rPr>
        <sz val="10"/>
        <color theme="9" tint="-0.249977111117893"/>
        <rFont val="Arial"/>
        <family val="2"/>
      </rPr>
      <t>3</t>
    </r>
    <phoneticPr fontId="5" type="noConversion"/>
  </si>
  <si>
    <r>
      <rPr>
        <sz val="10"/>
        <color theme="9" tint="-0.249977111117893"/>
        <rFont val="宋体"/>
        <family val="3"/>
        <charset val="134"/>
      </rPr>
      <t>修正项</t>
    </r>
    <r>
      <rPr>
        <sz val="10"/>
        <color theme="9" tint="-0.249977111117893"/>
        <rFont val="Arial"/>
        <family val="2"/>
      </rPr>
      <t>4</t>
    </r>
    <phoneticPr fontId="5" type="noConversion"/>
  </si>
  <si>
    <r>
      <rPr>
        <sz val="10"/>
        <color theme="9" tint="-0.249977111117893"/>
        <rFont val="宋体"/>
        <family val="3"/>
        <charset val="134"/>
      </rPr>
      <t>修正项</t>
    </r>
    <r>
      <rPr>
        <sz val="10"/>
        <color theme="9" tint="-0.249977111117893"/>
        <rFont val="Arial"/>
        <family val="2"/>
      </rPr>
      <t>5</t>
    </r>
    <phoneticPr fontId="5" type="noConversion"/>
  </si>
  <si>
    <r>
      <rPr>
        <sz val="10"/>
        <color theme="9" tint="-0.249977111117893"/>
        <rFont val="宋体"/>
        <family val="3"/>
        <charset val="134"/>
      </rPr>
      <t>修正项</t>
    </r>
    <r>
      <rPr>
        <sz val="10"/>
        <color theme="9" tint="-0.249977111117893"/>
        <rFont val="Arial"/>
        <family val="2"/>
      </rPr>
      <t>6</t>
    </r>
    <phoneticPr fontId="5" type="noConversion"/>
  </si>
  <si>
    <r>
      <rPr>
        <sz val="10"/>
        <color theme="9" tint="-0.249977111117893"/>
        <rFont val="宋体"/>
        <family val="3"/>
        <charset val="134"/>
      </rPr>
      <t>修正项</t>
    </r>
    <r>
      <rPr>
        <sz val="10"/>
        <color theme="9" tint="-0.249977111117893"/>
        <rFont val="Arial"/>
        <family val="2"/>
      </rPr>
      <t>7</t>
    </r>
    <phoneticPr fontId="5" type="noConversion"/>
  </si>
  <si>
    <r>
      <rPr>
        <b/>
        <sz val="10"/>
        <color indexed="8"/>
        <rFont val="宋体"/>
        <family val="3"/>
        <charset val="134"/>
      </rPr>
      <t>修正系数</t>
    </r>
    <phoneticPr fontId="5" type="noConversion"/>
  </si>
  <si>
    <r>
      <rPr>
        <sz val="10"/>
        <color indexed="8"/>
        <rFont val="宋体"/>
        <family val="3"/>
        <charset val="134"/>
      </rPr>
      <t>楼层</t>
    </r>
    <phoneticPr fontId="5" type="noConversion"/>
  </si>
  <si>
    <r>
      <rPr>
        <b/>
        <sz val="10"/>
        <color indexed="8"/>
        <rFont val="宋体"/>
        <family val="3"/>
        <charset val="134"/>
      </rPr>
      <t>承租人权益</t>
    </r>
    <phoneticPr fontId="27" type="noConversion"/>
  </si>
  <si>
    <r>
      <rPr>
        <b/>
        <sz val="12"/>
        <color indexed="8"/>
        <rFont val="宋体"/>
        <family val="3"/>
        <charset val="134"/>
      </rPr>
      <t>总价</t>
    </r>
    <phoneticPr fontId="27" type="noConversion"/>
  </si>
  <si>
    <r>
      <rPr>
        <b/>
        <sz val="10"/>
        <rFont val="宋体"/>
        <family val="3"/>
        <charset val="134"/>
      </rPr>
      <t>需扣减承租人权益</t>
    </r>
  </si>
  <si>
    <r>
      <rPr>
        <sz val="10"/>
        <color indexed="8"/>
        <rFont val="宋体"/>
        <family val="3"/>
        <charset val="134"/>
      </rPr>
      <t>万元</t>
    </r>
    <phoneticPr fontId="27" type="noConversion"/>
  </si>
  <si>
    <r>
      <rPr>
        <b/>
        <sz val="12"/>
        <color indexed="8"/>
        <rFont val="宋体"/>
        <family val="3"/>
        <charset val="134"/>
      </rPr>
      <t>楼面单价</t>
    </r>
    <phoneticPr fontId="27" type="noConversion"/>
  </si>
  <si>
    <r>
      <rPr>
        <b/>
        <sz val="10"/>
        <color indexed="8"/>
        <rFont val="宋体"/>
        <family val="3"/>
        <charset val="134"/>
      </rPr>
      <t>合计</t>
    </r>
    <phoneticPr fontId="27"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</si>
  <si>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7" type="noConversion"/>
  </si>
  <si>
    <r>
      <rPr>
        <sz val="10"/>
        <color indexed="8"/>
        <rFont val="宋体"/>
        <family val="3"/>
        <charset val="134"/>
      </rPr>
      <t>建筑面积</t>
    </r>
    <phoneticPr fontId="27" type="noConversion"/>
  </si>
  <si>
    <r>
      <rPr>
        <sz val="10"/>
        <color indexed="8"/>
        <rFont val="宋体"/>
        <family val="3"/>
        <charset val="134"/>
      </rPr>
      <t>修正系数</t>
    </r>
    <phoneticPr fontId="27" type="noConversion"/>
  </si>
  <si>
    <r>
      <rPr>
        <sz val="10"/>
        <color indexed="8"/>
        <rFont val="宋体"/>
        <family val="3"/>
        <charset val="134"/>
      </rPr>
      <t>修正单价</t>
    </r>
    <phoneticPr fontId="27" type="noConversion"/>
  </si>
  <si>
    <r>
      <rPr>
        <sz val="10"/>
        <color indexed="8"/>
        <rFont val="宋体"/>
        <family val="3"/>
        <charset val="134"/>
      </rPr>
      <t>总价</t>
    </r>
    <phoneticPr fontId="27" type="noConversion"/>
  </si>
  <si>
    <r>
      <rPr>
        <b/>
        <sz val="10"/>
        <color indexed="10"/>
        <rFont val="宋体"/>
        <family val="3"/>
        <charset val="134"/>
      </rPr>
      <t>基准户型</t>
    </r>
    <phoneticPr fontId="27"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</si>
  <si>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</si>
  <si>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租金×天数×建筑面积×（1-空置率）</t>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</si>
  <si>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</si>
  <si>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</si>
  <si>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</si>
  <si>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2017-4</t>
    <phoneticPr fontId="5" type="noConversion"/>
  </si>
  <si>
    <t>2017-3</t>
    <phoneticPr fontId="5"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</si>
  <si>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10" type="noConversion"/>
  </si>
  <si>
    <t>2018-1</t>
    <phoneticPr fontId="5" type="noConversion"/>
  </si>
  <si>
    <t>本行不参与计算</t>
    <phoneticPr fontId="145"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</si>
  <si>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</si>
  <si>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</si>
  <si>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</si>
  <si>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押金×一年期存款利率</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</si>
  <si>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</si>
  <si>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2018-2</t>
    <phoneticPr fontId="5" type="noConversion"/>
  </si>
  <si>
    <t>2018-3</t>
    <phoneticPr fontId="5" type="noConversion"/>
  </si>
  <si>
    <t>苏海</t>
    <phoneticPr fontId="5" type="noConversion"/>
  </si>
  <si>
    <t>杨红英</t>
    <phoneticPr fontId="5" type="noConversion"/>
  </si>
  <si>
    <t>刘梅</t>
    <phoneticPr fontId="5" type="noConversion"/>
  </si>
  <si>
    <t>张津夷</t>
    <phoneticPr fontId="5" type="noConversion"/>
  </si>
  <si>
    <t>地下车库及仓储年期修正</t>
    <phoneticPr fontId="5" type="noConversion"/>
  </si>
  <si>
    <t>2018-4</t>
    <phoneticPr fontId="5" type="noConversion"/>
  </si>
  <si>
    <t>2019-2</t>
    <phoneticPr fontId="145" type="noConversion"/>
  </si>
  <si>
    <t>2019-1</t>
    <phoneticPr fontId="5" type="noConversion"/>
  </si>
  <si>
    <t>级别开发程度</t>
    <phoneticPr fontId="5" type="noConversion"/>
  </si>
  <si>
    <t>是</t>
  </si>
  <si>
    <t>按租金收入计税</t>
  </si>
  <si>
    <t>自定义</t>
  </si>
  <si>
    <t>郑燚</t>
  </si>
  <si>
    <t>王鹏</t>
  </si>
  <si>
    <t>通路</t>
  </si>
  <si>
    <t>通电</t>
  </si>
  <si>
    <t>通讯</t>
  </si>
  <si>
    <t>通上水</t>
  </si>
  <si>
    <t>通下水</t>
  </si>
  <si>
    <t>燃气</t>
  </si>
  <si>
    <t>通热</t>
  </si>
  <si>
    <t>现房</t>
  </si>
  <si>
    <t>综合项目（商业、办公）</t>
  </si>
  <si>
    <t>土地证</t>
    <phoneticPr fontId="145" type="noConversion"/>
  </si>
  <si>
    <t>土地使用权人</t>
    <phoneticPr fontId="145" type="noConversion"/>
  </si>
  <si>
    <t>坐落</t>
    <phoneticPr fontId="145" type="noConversion"/>
  </si>
  <si>
    <t>土地面积</t>
    <phoneticPr fontId="145" type="noConversion"/>
  </si>
  <si>
    <t>地号</t>
    <phoneticPr fontId="145" type="noConversion"/>
  </si>
  <si>
    <t>图号</t>
    <phoneticPr fontId="145" type="noConversion"/>
  </si>
  <si>
    <t>地类（用途）</t>
    <phoneticPr fontId="145" type="noConversion"/>
  </si>
  <si>
    <t>终止日期</t>
    <phoneticPr fontId="145" type="noConversion"/>
  </si>
  <si>
    <t>京朝国用（2011出）第00052号</t>
    <phoneticPr fontId="145" type="noConversion"/>
  </si>
  <si>
    <t>北京尚博地投资顾问有限公司</t>
    <phoneticPr fontId="145" type="noConversion"/>
  </si>
  <si>
    <t>朝阳区建国门外郎家园6号</t>
    <phoneticPr fontId="145" type="noConversion"/>
  </si>
  <si>
    <t>50102100013000000</t>
    <phoneticPr fontId="145" type="noConversion"/>
  </si>
  <si>
    <t>I-2-2-100（4）</t>
    <phoneticPr fontId="145" type="noConversion"/>
  </si>
  <si>
    <t>工业</t>
    <phoneticPr fontId="145" type="noConversion"/>
  </si>
  <si>
    <t>房产证</t>
    <phoneticPr fontId="145" type="noConversion"/>
  </si>
  <si>
    <t>房屋所有权人</t>
    <phoneticPr fontId="145" type="noConversion"/>
  </si>
  <si>
    <t>房屋坐落</t>
    <phoneticPr fontId="145" type="noConversion"/>
  </si>
  <si>
    <t>房屋登记表</t>
    <phoneticPr fontId="145" type="noConversion"/>
  </si>
  <si>
    <t>现状</t>
    <phoneticPr fontId="145" type="noConversion"/>
  </si>
  <si>
    <t>楼号或幢号</t>
    <phoneticPr fontId="145" type="noConversion"/>
  </si>
  <si>
    <t>房屋总层数</t>
    <phoneticPr fontId="145" type="noConversion"/>
  </si>
  <si>
    <t>所在层数</t>
    <phoneticPr fontId="145" type="noConversion"/>
  </si>
  <si>
    <t>结构</t>
    <phoneticPr fontId="145" type="noConversion"/>
  </si>
  <si>
    <t>建筑面积</t>
    <phoneticPr fontId="145" type="noConversion"/>
  </si>
  <si>
    <t>规划用途</t>
    <phoneticPr fontId="145" type="noConversion"/>
  </si>
  <si>
    <t>房号</t>
    <phoneticPr fontId="145" type="noConversion"/>
  </si>
  <si>
    <t>X京房权证朝字第956028号</t>
    <phoneticPr fontId="145" type="noConversion"/>
  </si>
  <si>
    <t>北京尚博地投资顾问有限公司</t>
    <phoneticPr fontId="145" type="noConversion"/>
  </si>
  <si>
    <t>朝阳区郎家园6号[3-3]10幢等17幢</t>
    <phoneticPr fontId="145" type="noConversion"/>
  </si>
  <si>
    <t>1幢</t>
    <phoneticPr fontId="145" type="noConversion"/>
  </si>
  <si>
    <t>01</t>
    <phoneticPr fontId="145" type="noConversion"/>
  </si>
  <si>
    <t>1</t>
    <phoneticPr fontId="145" type="noConversion"/>
  </si>
  <si>
    <t>砖木</t>
    <phoneticPr fontId="145" type="noConversion"/>
  </si>
  <si>
    <t>16#</t>
    <phoneticPr fontId="145" type="noConversion"/>
  </si>
  <si>
    <t>50年代</t>
    <phoneticPr fontId="145" type="noConversion"/>
  </si>
  <si>
    <t>2幢</t>
  </si>
  <si>
    <t>01</t>
    <phoneticPr fontId="145" type="noConversion"/>
  </si>
  <si>
    <t>1</t>
    <phoneticPr fontId="145" type="noConversion"/>
  </si>
  <si>
    <t>砖木</t>
    <phoneticPr fontId="145" type="noConversion"/>
  </si>
  <si>
    <t>厕所</t>
    <phoneticPr fontId="145" type="noConversion"/>
  </si>
  <si>
    <t>50年代</t>
    <phoneticPr fontId="145" type="noConversion"/>
  </si>
  <si>
    <t>3幢</t>
  </si>
  <si>
    <t>04</t>
    <phoneticPr fontId="145" type="noConversion"/>
  </si>
  <si>
    <t>1-4</t>
    <phoneticPr fontId="145" type="noConversion"/>
  </si>
  <si>
    <t>混合</t>
    <phoneticPr fontId="145" type="noConversion"/>
  </si>
  <si>
    <t>车间</t>
    <phoneticPr fontId="145" type="noConversion"/>
  </si>
  <si>
    <t>11#</t>
    <phoneticPr fontId="145" type="noConversion"/>
  </si>
  <si>
    <t>90年代</t>
    <phoneticPr fontId="145" type="noConversion"/>
  </si>
  <si>
    <t>4幢</t>
  </si>
  <si>
    <t>03</t>
    <phoneticPr fontId="145" type="noConversion"/>
  </si>
  <si>
    <t>1-3</t>
    <phoneticPr fontId="145" type="noConversion"/>
  </si>
  <si>
    <t>10#</t>
    <phoneticPr fontId="145" type="noConversion"/>
  </si>
  <si>
    <t>60年代</t>
    <phoneticPr fontId="145" type="noConversion"/>
  </si>
  <si>
    <t>5幢</t>
  </si>
  <si>
    <t>02</t>
    <phoneticPr fontId="145" type="noConversion"/>
  </si>
  <si>
    <t>1-2</t>
    <phoneticPr fontId="145" type="noConversion"/>
  </si>
  <si>
    <t>钢混</t>
    <phoneticPr fontId="145" type="noConversion"/>
  </si>
  <si>
    <t>8#</t>
    <phoneticPr fontId="145" type="noConversion"/>
  </si>
  <si>
    <t>6幢</t>
  </si>
  <si>
    <t>6#、7#</t>
    <phoneticPr fontId="145" type="noConversion"/>
  </si>
  <si>
    <t>70年代</t>
    <phoneticPr fontId="145" type="noConversion"/>
  </si>
  <si>
    <t>7幢</t>
  </si>
  <si>
    <t>05（-01）</t>
    <phoneticPr fontId="145" type="noConversion"/>
  </si>
  <si>
    <t>-1-5</t>
    <phoneticPr fontId="145" type="noConversion"/>
  </si>
  <si>
    <t>3#</t>
    <phoneticPr fontId="145" type="noConversion"/>
  </si>
  <si>
    <t>80年代</t>
    <phoneticPr fontId="145" type="noConversion"/>
  </si>
  <si>
    <t>没变</t>
    <phoneticPr fontId="145" type="noConversion"/>
  </si>
  <si>
    <t>8幢</t>
  </si>
  <si>
    <t>08</t>
    <phoneticPr fontId="145" type="noConversion"/>
  </si>
  <si>
    <t>1-8</t>
    <phoneticPr fontId="145" type="noConversion"/>
  </si>
  <si>
    <t>2#</t>
    <phoneticPr fontId="145" type="noConversion"/>
  </si>
  <si>
    <t>9幢</t>
  </si>
  <si>
    <t>——</t>
    <phoneticPr fontId="145" type="noConversion"/>
  </si>
  <si>
    <t>10幢</t>
  </si>
  <si>
    <t>11幢</t>
  </si>
  <si>
    <t>02</t>
    <phoneticPr fontId="145" type="noConversion"/>
  </si>
  <si>
    <t>1-2</t>
    <phoneticPr fontId="145" type="noConversion"/>
  </si>
  <si>
    <t>混合</t>
    <phoneticPr fontId="145" type="noConversion"/>
  </si>
  <si>
    <t>——</t>
    <phoneticPr fontId="145" type="noConversion"/>
  </si>
  <si>
    <t>12幢</t>
  </si>
  <si>
    <t>1#</t>
    <phoneticPr fontId="145" type="noConversion"/>
  </si>
  <si>
    <t>70年代</t>
    <phoneticPr fontId="145" type="noConversion"/>
  </si>
  <si>
    <t>13幢</t>
  </si>
  <si>
    <t>储藏</t>
    <phoneticPr fontId="145" type="noConversion"/>
  </si>
  <si>
    <t>14幢</t>
  </si>
  <si>
    <t>5#</t>
    <phoneticPr fontId="145" type="noConversion"/>
  </si>
  <si>
    <t>15幢</t>
  </si>
  <si>
    <t>03</t>
    <phoneticPr fontId="145" type="noConversion"/>
  </si>
  <si>
    <t>1-3</t>
    <phoneticPr fontId="145" type="noConversion"/>
  </si>
  <si>
    <t>9#</t>
    <phoneticPr fontId="145" type="noConversion"/>
  </si>
  <si>
    <t>没变</t>
    <phoneticPr fontId="145" type="noConversion"/>
  </si>
  <si>
    <t>16幢</t>
  </si>
  <si>
    <t>03（-01）</t>
    <phoneticPr fontId="145" type="noConversion"/>
  </si>
  <si>
    <t>-1-3</t>
    <phoneticPr fontId="145" type="noConversion"/>
  </si>
  <si>
    <t>12#</t>
    <phoneticPr fontId="145" type="noConversion"/>
  </si>
  <si>
    <t>17幢</t>
  </si>
  <si>
    <t>15#</t>
    <phoneticPr fontId="145" type="noConversion"/>
  </si>
  <si>
    <t>60年代</t>
    <phoneticPr fontId="145" type="noConversion"/>
  </si>
  <si>
    <t>合计</t>
    <phoneticPr fontId="145" type="noConversion"/>
  </si>
  <si>
    <t>地上</t>
  </si>
  <si>
    <t>出让</t>
  </si>
  <si>
    <t>企业</t>
  </si>
  <si>
    <t>北京市</t>
  </si>
  <si>
    <t>北京农商银行股份有限公司东城支行</t>
    <phoneticPr fontId="8" type="noConversion"/>
  </si>
  <si>
    <t>抵押</t>
  </si>
  <si>
    <t>房地产抵押价值</t>
  </si>
  <si>
    <t>工业</t>
    <phoneticPr fontId="9" type="noConversion"/>
  </si>
  <si>
    <t>成新度</t>
  </si>
  <si>
    <t>收益法</t>
  </si>
  <si>
    <t>工业用地</t>
  </si>
  <si>
    <t>平整</t>
  </si>
  <si>
    <t>与级别开发程度一致</t>
  </si>
  <si>
    <t>容积率修正</t>
  </si>
  <si>
    <t>较差</t>
  </si>
  <si>
    <t>较好</t>
  </si>
  <si>
    <t>一般</t>
  </si>
  <si>
    <t>按公示增长率计算</t>
  </si>
  <si>
    <t>未包含在土地购买价格中</t>
  </si>
  <si>
    <t>已包含在土地取得成本中</t>
  </si>
  <si>
    <t>砖混</t>
  </si>
  <si>
    <t>生产用房</t>
  </si>
  <si>
    <t>直线</t>
    <phoneticPr fontId="5" type="noConversion"/>
  </si>
  <si>
    <t>成本法</t>
  </si>
  <si>
    <t>项目全部</t>
  </si>
  <si>
    <t>成本比率</t>
  </si>
  <si>
    <t>正常操作</t>
  </si>
  <si>
    <t>建筑面积</t>
  </si>
  <si>
    <t>土地面积</t>
  </si>
  <si>
    <t>建筑物价值</t>
  </si>
  <si>
    <r>
      <rPr>
        <sz val="12"/>
        <color theme="9" tint="-0.249977111117893"/>
        <rFont val="宋体"/>
        <family val="3"/>
        <charset val="134"/>
      </rPr>
      <t>朝阳区建国门外郎家园</t>
    </r>
    <r>
      <rPr>
        <sz val="12"/>
        <color theme="9" tint="-0.249977111117893"/>
        <rFont val="Arial"/>
        <family val="2"/>
      </rPr>
      <t>6</t>
    </r>
    <r>
      <rPr>
        <sz val="12"/>
        <color theme="9" tint="-0.249977111117893"/>
        <rFont val="宋体"/>
        <family val="3"/>
        <charset val="134"/>
      </rPr>
      <t>号“郎园</t>
    </r>
    <r>
      <rPr>
        <sz val="12"/>
        <color theme="9" tint="-0.249977111117893"/>
        <rFont val="Arial"/>
        <family val="2"/>
      </rPr>
      <t>Vintage</t>
    </r>
    <r>
      <rPr>
        <sz val="12"/>
        <color theme="9" tint="-0.249977111117893"/>
        <rFont val="宋体"/>
        <family val="3"/>
        <charset val="134"/>
      </rPr>
      <t>”项目</t>
    </r>
    <phoneticPr fontId="8" type="noConversion"/>
  </si>
  <si>
    <r>
      <t>京朝国用（2011出）第00053号</t>
    </r>
    <r>
      <rPr>
        <sz val="11"/>
        <color theme="1"/>
        <rFont val="宋体"/>
        <family val="2"/>
        <charset val="134"/>
        <scheme val="minor"/>
      </rPr>
      <t/>
    </r>
    <phoneticPr fontId="145" type="noConversion"/>
  </si>
  <si>
    <t>北京尚博地投资顾问有限公司</t>
    <phoneticPr fontId="145" type="noConversion"/>
  </si>
  <si>
    <t>朝阳区郎家园6号[3-2]</t>
    <phoneticPr fontId="145" type="noConversion"/>
  </si>
  <si>
    <t>50102100012000000</t>
    <phoneticPr fontId="145" type="noConversion"/>
  </si>
  <si>
    <t>I-2-2-100（4）</t>
    <phoneticPr fontId="145" type="noConversion"/>
  </si>
  <si>
    <t>工业</t>
    <phoneticPr fontId="145" type="noConversion"/>
  </si>
  <si>
    <t>房产证</t>
    <phoneticPr fontId="145" type="noConversion"/>
  </si>
  <si>
    <t>房屋所有权人</t>
    <phoneticPr fontId="145" type="noConversion"/>
  </si>
  <si>
    <t>房屋坐落</t>
    <phoneticPr fontId="145" type="noConversion"/>
  </si>
  <si>
    <t>房屋登记表</t>
    <phoneticPr fontId="145" type="noConversion"/>
  </si>
  <si>
    <t>现状</t>
    <phoneticPr fontId="145" type="noConversion"/>
  </si>
  <si>
    <t>楼号或幢号</t>
    <phoneticPr fontId="145" type="noConversion"/>
  </si>
  <si>
    <t>房屋总层数</t>
    <phoneticPr fontId="145" type="noConversion"/>
  </si>
  <si>
    <t>所在层数</t>
    <phoneticPr fontId="145" type="noConversion"/>
  </si>
  <si>
    <t>结构</t>
    <phoneticPr fontId="145" type="noConversion"/>
  </si>
  <si>
    <t>建筑面积</t>
    <phoneticPr fontId="145" type="noConversion"/>
  </si>
  <si>
    <t>规划用途</t>
    <phoneticPr fontId="145" type="noConversion"/>
  </si>
  <si>
    <t>房号</t>
    <phoneticPr fontId="145" type="noConversion"/>
  </si>
  <si>
    <t>建成年代</t>
    <phoneticPr fontId="145" type="noConversion"/>
  </si>
  <si>
    <r>
      <t>X京房权证朝字第956029号</t>
    </r>
    <r>
      <rPr>
        <sz val="11"/>
        <color theme="1"/>
        <rFont val="宋体"/>
        <family val="2"/>
        <charset val="134"/>
        <scheme val="minor"/>
      </rPr>
      <t/>
    </r>
  </si>
  <si>
    <t>朝阳区郎家园6号[3-2]1幢等7幢</t>
    <phoneticPr fontId="145" type="noConversion"/>
  </si>
  <si>
    <t>1幢</t>
    <phoneticPr fontId="145" type="noConversion"/>
  </si>
  <si>
    <t>01</t>
    <phoneticPr fontId="145" type="noConversion"/>
  </si>
  <si>
    <t>1</t>
    <phoneticPr fontId="145" type="noConversion"/>
  </si>
  <si>
    <t>砖木</t>
    <phoneticPr fontId="145" type="noConversion"/>
  </si>
  <si>
    <t>17#</t>
    <phoneticPr fontId="145" type="noConversion"/>
  </si>
  <si>
    <t>加固翻新</t>
    <phoneticPr fontId="145" type="noConversion"/>
  </si>
  <si>
    <t>2幢</t>
    <phoneticPr fontId="145" type="noConversion"/>
  </si>
  <si>
    <t>混合</t>
    <phoneticPr fontId="145" type="noConversion"/>
  </si>
  <si>
    <t>——</t>
    <phoneticPr fontId="145" type="noConversion"/>
  </si>
  <si>
    <t>拆除</t>
    <phoneticPr fontId="145" type="noConversion"/>
  </si>
  <si>
    <t>3幢</t>
    <phoneticPr fontId="145" type="noConversion"/>
  </si>
  <si>
    <t>18#</t>
    <phoneticPr fontId="145" type="noConversion"/>
  </si>
  <si>
    <t>加固翻新</t>
    <phoneticPr fontId="145" type="noConversion"/>
  </si>
  <si>
    <t>80年代</t>
    <phoneticPr fontId="145" type="noConversion"/>
  </si>
  <si>
    <t>4幢</t>
    <phoneticPr fontId="145" type="noConversion"/>
  </si>
  <si>
    <t>01</t>
    <phoneticPr fontId="145" type="noConversion"/>
  </si>
  <si>
    <t>1</t>
    <phoneticPr fontId="145" type="noConversion"/>
  </si>
  <si>
    <t>砖木</t>
    <phoneticPr fontId="145" type="noConversion"/>
  </si>
  <si>
    <t>18C#</t>
    <phoneticPr fontId="145" type="noConversion"/>
  </si>
  <si>
    <t>2010年拆除改建</t>
    <phoneticPr fontId="145" type="noConversion"/>
  </si>
  <si>
    <t>5幢</t>
    <phoneticPr fontId="145" type="noConversion"/>
  </si>
  <si>
    <t>19#</t>
    <phoneticPr fontId="145" type="noConversion"/>
  </si>
  <si>
    <t>6幢</t>
    <phoneticPr fontId="145" type="noConversion"/>
  </si>
  <si>
    <t>2012年拆除改建</t>
    <phoneticPr fontId="145" type="noConversion"/>
  </si>
  <si>
    <t>7幢</t>
    <phoneticPr fontId="145" type="noConversion"/>
  </si>
  <si>
    <t>20#</t>
    <phoneticPr fontId="145" type="noConversion"/>
  </si>
  <si>
    <t>合计</t>
    <phoneticPr fontId="145" type="noConversion"/>
  </si>
  <si>
    <t>序号</t>
    <phoneticPr fontId="5" type="noConversion"/>
  </si>
  <si>
    <t>租户</t>
    <phoneticPr fontId="260" type="noConversion"/>
  </si>
  <si>
    <t>部位/层数</t>
    <phoneticPr fontId="5" type="noConversion"/>
  </si>
  <si>
    <t>建筑面积（平方米）</t>
    <phoneticPr fontId="5" type="noConversion"/>
  </si>
  <si>
    <t>起租日期（年/月/日）</t>
    <phoneticPr fontId="5" type="noConversion"/>
  </si>
  <si>
    <t>到期日期（年/月/日）</t>
    <phoneticPr fontId="5" type="noConversion"/>
  </si>
  <si>
    <t>起始租金(元/天.平方米)</t>
    <phoneticPr fontId="5" type="noConversion"/>
  </si>
  <si>
    <t>租金涨幅情况</t>
    <phoneticPr fontId="5" type="noConversion"/>
  </si>
  <si>
    <t>备注（是否含物业费，物业费水平）</t>
    <phoneticPr fontId="5" type="noConversion"/>
  </si>
  <si>
    <t xml:space="preserve">华胜资产管理有限公司 </t>
    <phoneticPr fontId="5" type="noConversion"/>
  </si>
  <si>
    <t>12幢</t>
    <phoneticPr fontId="5" type="noConversion"/>
  </si>
  <si>
    <t>2018.10.08</t>
    <phoneticPr fontId="5" type="noConversion"/>
  </si>
  <si>
    <t>2021.10.07</t>
    <phoneticPr fontId="5" type="noConversion"/>
  </si>
  <si>
    <t>无</t>
    <phoneticPr fontId="260" type="noConversion"/>
  </si>
  <si>
    <t>不含物业费，物业费1元/天.平方米</t>
    <phoneticPr fontId="260" type="noConversion"/>
  </si>
  <si>
    <t>北京子悦日和餐饮管理有限公司</t>
    <phoneticPr fontId="5" type="noConversion"/>
  </si>
  <si>
    <t>8幢-1F-W1</t>
    <phoneticPr fontId="5" type="noConversion"/>
  </si>
  <si>
    <t>2017.9.15</t>
    <phoneticPr fontId="5" type="noConversion"/>
  </si>
  <si>
    <t>2019.9.14</t>
    <phoneticPr fontId="5" type="noConversion"/>
  </si>
  <si>
    <t>不含物业费，物业费1.5元/天.平方米</t>
    <phoneticPr fontId="260" type="noConversion"/>
  </si>
  <si>
    <t>北京私家味道餐饮有限责任公司</t>
    <phoneticPr fontId="5" type="noConversion"/>
  </si>
  <si>
    <t>8幢-1F-E+E1</t>
    <phoneticPr fontId="5" type="noConversion"/>
  </si>
  <si>
    <t>2018.1.1</t>
    <phoneticPr fontId="5" type="noConversion"/>
  </si>
  <si>
    <t>2020.12.31</t>
    <phoneticPr fontId="5" type="noConversion"/>
  </si>
  <si>
    <t>北京一然天保餐饮管理有限公司</t>
    <phoneticPr fontId="5" type="noConversion"/>
  </si>
  <si>
    <t>8幢-1F-W2</t>
    <phoneticPr fontId="5" type="noConversion"/>
  </si>
  <si>
    <t>2018.3.15</t>
    <phoneticPr fontId="5" type="noConversion"/>
  </si>
  <si>
    <t>2020.3.14</t>
    <phoneticPr fontId="5" type="noConversion"/>
  </si>
  <si>
    <t>北京鹊缘叁两餐饮服务有限公司</t>
    <phoneticPr fontId="5" type="noConversion"/>
  </si>
  <si>
    <t>8幢-1F-W3</t>
    <phoneticPr fontId="5" type="noConversion"/>
  </si>
  <si>
    <t>2016.12.15</t>
    <phoneticPr fontId="5" type="noConversion"/>
  </si>
  <si>
    <t>2020.12.14</t>
    <phoneticPr fontId="5" type="noConversion"/>
  </si>
  <si>
    <t>牧融财富网络科技(北京)有限公司</t>
    <phoneticPr fontId="5" type="noConversion"/>
  </si>
  <si>
    <t>8幢-A-2F</t>
    <phoneticPr fontId="5" type="noConversion"/>
  </si>
  <si>
    <t>2019.4.1</t>
    <phoneticPr fontId="5" type="noConversion"/>
  </si>
  <si>
    <t>2021.3.31</t>
    <phoneticPr fontId="5" type="noConversion"/>
  </si>
  <si>
    <t>不含物业费，物业费0.7元/天.平方米</t>
    <phoneticPr fontId="260" type="noConversion"/>
  </si>
  <si>
    <t>耀盛影业有限公司</t>
    <phoneticPr fontId="5" type="noConversion"/>
  </si>
  <si>
    <t>8幢-B-2F</t>
    <phoneticPr fontId="5" type="noConversion"/>
  </si>
  <si>
    <t>2016.7.1</t>
    <phoneticPr fontId="5" type="noConversion"/>
  </si>
  <si>
    <t>2020.2.28</t>
    <phoneticPr fontId="5" type="noConversion"/>
  </si>
  <si>
    <t>霍尔果斯万达影院技术服务有限公司北京分公司</t>
    <phoneticPr fontId="5" type="noConversion"/>
  </si>
  <si>
    <t>8幢-3F</t>
    <phoneticPr fontId="5" type="noConversion"/>
  </si>
  <si>
    <t>2018.7.1</t>
    <phoneticPr fontId="5" type="noConversion"/>
  </si>
  <si>
    <t>2020.6.30</t>
    <phoneticPr fontId="5" type="noConversion"/>
  </si>
  <si>
    <t>北京意景技术有限责任公司</t>
    <phoneticPr fontId="5" type="noConversion"/>
  </si>
  <si>
    <t>8幢A-5F</t>
    <phoneticPr fontId="5" type="noConversion"/>
  </si>
  <si>
    <t>2019.4.20</t>
    <phoneticPr fontId="5" type="noConversion"/>
  </si>
  <si>
    <t>2023.3.19</t>
    <phoneticPr fontId="5" type="noConversion"/>
  </si>
  <si>
    <t>北京毕括信息咨询有限公司</t>
    <phoneticPr fontId="5" type="noConversion"/>
  </si>
  <si>
    <t>8幢B-5F</t>
    <phoneticPr fontId="5" type="noConversion"/>
  </si>
  <si>
    <t>2018.11.15</t>
    <phoneticPr fontId="5" type="noConversion"/>
  </si>
  <si>
    <t>2020.11.14</t>
    <phoneticPr fontId="5" type="noConversion"/>
  </si>
  <si>
    <t>北京亲邻众联科技有限公司</t>
    <phoneticPr fontId="5" type="noConversion"/>
  </si>
  <si>
    <t>8幢B-6F</t>
    <phoneticPr fontId="5" type="noConversion"/>
  </si>
  <si>
    <t>2019.3.15</t>
    <phoneticPr fontId="5" type="noConversion"/>
  </si>
  <si>
    <t>2022.3.14</t>
    <phoneticPr fontId="5" type="noConversion"/>
  </si>
  <si>
    <t>双得力（北京）科技发展有限公司</t>
    <phoneticPr fontId="5" type="noConversion"/>
  </si>
  <si>
    <t>8幢A-7F</t>
    <phoneticPr fontId="5" type="noConversion"/>
  </si>
  <si>
    <t>北京元道同和建筑设计咨询有限公司</t>
    <phoneticPr fontId="5" type="noConversion"/>
  </si>
  <si>
    <t>8幢-B-7F</t>
    <phoneticPr fontId="5" type="noConversion"/>
  </si>
  <si>
    <t>2014.5.15</t>
  </si>
  <si>
    <t>2022.5.14</t>
    <phoneticPr fontId="5" type="noConversion"/>
  </si>
  <si>
    <t xml:space="preserve">星矿科技（北京）有限公司 </t>
    <phoneticPr fontId="5" type="noConversion"/>
  </si>
  <si>
    <t>8幢-A-8F</t>
    <phoneticPr fontId="5" type="noConversion"/>
  </si>
  <si>
    <t>2018.9.1</t>
    <phoneticPr fontId="5" type="noConversion"/>
  </si>
  <si>
    <t>2020.8.31</t>
    <phoneticPr fontId="5" type="noConversion"/>
  </si>
  <si>
    <t>深圳琮碧秋实投资管理有限公司</t>
    <phoneticPr fontId="5" type="noConversion"/>
  </si>
  <si>
    <t>8幢-B-8F</t>
    <phoneticPr fontId="5" type="noConversion"/>
  </si>
  <si>
    <t>2017.5.12</t>
    <phoneticPr fontId="5" type="noConversion"/>
  </si>
  <si>
    <t>2020.5.11</t>
    <phoneticPr fontId="5" type="noConversion"/>
  </si>
  <si>
    <t>高线科技（北京）有限责任公司</t>
    <phoneticPr fontId="5" type="noConversion"/>
  </si>
  <si>
    <t>7幢-1F</t>
    <phoneticPr fontId="5" type="noConversion"/>
  </si>
  <si>
    <t>2019.5.25</t>
    <phoneticPr fontId="5" type="noConversion"/>
  </si>
  <si>
    <t>2022.5.24</t>
    <phoneticPr fontId="5" type="noConversion"/>
  </si>
  <si>
    <t>7幢-1.2夹层</t>
    <phoneticPr fontId="5" type="noConversion"/>
  </si>
  <si>
    <t>2018.11.1</t>
    <phoneticPr fontId="5" type="noConversion"/>
  </si>
  <si>
    <t>2021.4.30</t>
    <phoneticPr fontId="5" type="noConversion"/>
  </si>
  <si>
    <t>北京景美广告有限公司</t>
    <phoneticPr fontId="5" type="noConversion"/>
  </si>
  <si>
    <t>7幢-2F -N1</t>
    <phoneticPr fontId="5" type="noConversion"/>
  </si>
  <si>
    <t>2017.3.7</t>
    <phoneticPr fontId="5" type="noConversion"/>
  </si>
  <si>
    <t>2020.3.6</t>
    <phoneticPr fontId="5" type="noConversion"/>
  </si>
  <si>
    <t>浙江荔只文化传媒有限公司</t>
    <phoneticPr fontId="5" type="noConversion"/>
  </si>
  <si>
    <t>7幢-2F -N2</t>
  </si>
  <si>
    <t>2018.11.26</t>
    <phoneticPr fontId="5" type="noConversion"/>
  </si>
  <si>
    <t>2020.11.25</t>
    <phoneticPr fontId="5" type="noConversion"/>
  </si>
  <si>
    <t>荔只文化传媒（北京）有限公司</t>
    <phoneticPr fontId="5" type="noConversion"/>
  </si>
  <si>
    <t>7幢</t>
    <phoneticPr fontId="5" type="noConversion"/>
  </si>
  <si>
    <t>北京京视传媒有限责任公司</t>
    <phoneticPr fontId="5" type="noConversion"/>
  </si>
  <si>
    <t>7幢-3F-南侧</t>
    <phoneticPr fontId="5" type="noConversion"/>
  </si>
  <si>
    <t>2017.3.15</t>
    <phoneticPr fontId="5" type="noConversion"/>
  </si>
  <si>
    <t>2021.3.14</t>
    <phoneticPr fontId="5" type="noConversion"/>
  </si>
  <si>
    <t>不含物业费，物业费0.8元/天.平方米（含水费）</t>
    <phoneticPr fontId="260" type="noConversion"/>
  </si>
  <si>
    <t>北京紫禁城影业有限责任公司</t>
    <phoneticPr fontId="5" type="noConversion"/>
  </si>
  <si>
    <t>7幢-3F-N1</t>
    <phoneticPr fontId="5" type="noConversion"/>
  </si>
  <si>
    <t>广州市原象信息科技有限公司北京分公司</t>
    <phoneticPr fontId="5" type="noConversion"/>
  </si>
  <si>
    <t>7幢-4F</t>
    <phoneticPr fontId="5" type="noConversion"/>
  </si>
  <si>
    <t>2018.12.20</t>
    <phoneticPr fontId="5" type="noConversion"/>
  </si>
  <si>
    <t>2021.12.19</t>
    <phoneticPr fontId="5" type="noConversion"/>
  </si>
  <si>
    <t>北京十月初五影视传媒有限公司</t>
    <phoneticPr fontId="5" type="noConversion"/>
  </si>
  <si>
    <t>7幢-5F</t>
    <phoneticPr fontId="5" type="noConversion"/>
  </si>
  <si>
    <t>2017.6.15</t>
    <phoneticPr fontId="5" type="noConversion"/>
  </si>
  <si>
    <t>2020.6.14</t>
    <phoneticPr fontId="5" type="noConversion"/>
  </si>
  <si>
    <t>北京荟读文化传播有限公司</t>
    <phoneticPr fontId="5" type="noConversion"/>
  </si>
  <si>
    <t>14幢-1F</t>
    <phoneticPr fontId="5" type="noConversion"/>
  </si>
  <si>
    <t>不含物业费，物业费0.79元/天.平方米</t>
    <phoneticPr fontId="260" type="noConversion"/>
  </si>
  <si>
    <t>北京盛世龙庭物业管理有限公司</t>
  </si>
  <si>
    <t>6幢南侧</t>
    <phoneticPr fontId="5" type="noConversion"/>
  </si>
  <si>
    <t>2011.9.1</t>
  </si>
  <si>
    <t>2019.8.31</t>
    <phoneticPr fontId="5" type="noConversion"/>
  </si>
  <si>
    <t>不含物业费，物业费0.5元/天.平方米</t>
    <phoneticPr fontId="260" type="noConversion"/>
  </si>
  <si>
    <t>北京兰境文化发展有限公司</t>
    <phoneticPr fontId="5" type="noConversion"/>
  </si>
  <si>
    <t>6幢北侧</t>
    <phoneticPr fontId="5" type="noConversion"/>
  </si>
  <si>
    <t>2014.8.1</t>
  </si>
  <si>
    <t>2019.7.31</t>
  </si>
  <si>
    <t>宁波正觉文化传媒有限公司</t>
    <phoneticPr fontId="5" type="noConversion"/>
  </si>
  <si>
    <t>5幢东侧</t>
    <phoneticPr fontId="5" type="noConversion"/>
  </si>
  <si>
    <t>2020.8.14</t>
    <phoneticPr fontId="5" type="noConversion"/>
  </si>
  <si>
    <t xml:space="preserve">北京星光灿烂科技服务有限公司 </t>
    <phoneticPr fontId="5" type="noConversion"/>
  </si>
  <si>
    <t>5幢西侧</t>
    <phoneticPr fontId="5" type="noConversion"/>
  </si>
  <si>
    <t>2019.3.1</t>
    <phoneticPr fontId="5" type="noConversion"/>
  </si>
  <si>
    <t>2025.2.28</t>
    <phoneticPr fontId="5" type="noConversion"/>
  </si>
  <si>
    <t>不含物业费，物业费0.85元/天.平方米</t>
    <phoneticPr fontId="260" type="noConversion"/>
  </si>
  <si>
    <t>沐迪（北京）珠宝有限公司</t>
    <phoneticPr fontId="5" type="noConversion"/>
  </si>
  <si>
    <t>15幢-101</t>
    <phoneticPr fontId="5" type="noConversion"/>
  </si>
  <si>
    <t>2016.10.8</t>
  </si>
  <si>
    <t>2019.10.7</t>
    <phoneticPr fontId="5" type="noConversion"/>
  </si>
  <si>
    <t>15幢-102.205/207</t>
    <phoneticPr fontId="5" type="noConversion"/>
  </si>
  <si>
    <t>2021.2.28</t>
    <phoneticPr fontId="5" type="noConversion"/>
  </si>
  <si>
    <t>北京翰香凝服饰有限公司</t>
    <phoneticPr fontId="5" type="noConversion"/>
  </si>
  <si>
    <t>15幢-103</t>
    <phoneticPr fontId="5" type="noConversion"/>
  </si>
  <si>
    <t>2017.2.3</t>
    <phoneticPr fontId="5" type="noConversion"/>
  </si>
  <si>
    <t>2020.2.2</t>
    <phoneticPr fontId="5" type="noConversion"/>
  </si>
  <si>
    <t>天津阳春白雪商贸有限公司</t>
    <phoneticPr fontId="5" type="noConversion"/>
  </si>
  <si>
    <t>15幢-104</t>
  </si>
  <si>
    <t>2019.12.31</t>
    <phoneticPr fontId="5" type="noConversion"/>
  </si>
  <si>
    <t>北京禧珠文化发展有限公司</t>
    <phoneticPr fontId="5" type="noConversion"/>
  </si>
  <si>
    <t>15幢-105/308</t>
    <phoneticPr fontId="260" type="noConversion"/>
  </si>
  <si>
    <t>2016.8.1</t>
  </si>
  <si>
    <t>北京步麓建筑设计有限公司</t>
    <phoneticPr fontId="5" type="noConversion"/>
  </si>
  <si>
    <t>15幢-201</t>
    <phoneticPr fontId="5" type="noConversion"/>
  </si>
  <si>
    <t>2018.5.1</t>
    <phoneticPr fontId="5" type="noConversion"/>
  </si>
  <si>
    <t>北京步麓建筑设计咨询有限公司</t>
    <phoneticPr fontId="5" type="noConversion"/>
  </si>
  <si>
    <t>15幢-202/204</t>
    <phoneticPr fontId="5" type="noConversion"/>
  </si>
  <si>
    <t>2017.12.18</t>
    <phoneticPr fontId="5" type="noConversion"/>
  </si>
  <si>
    <t>2020.12.17</t>
    <phoneticPr fontId="5" type="noConversion"/>
  </si>
  <si>
    <t>15幢-208/209</t>
    <phoneticPr fontId="5" type="noConversion"/>
  </si>
  <si>
    <t xml:space="preserve">北京璞木工坊商贸有限公司 </t>
    <phoneticPr fontId="5" type="noConversion"/>
  </si>
  <si>
    <t>15幢-210</t>
    <phoneticPr fontId="5" type="noConversion"/>
  </si>
  <si>
    <t>2017.4.20</t>
    <phoneticPr fontId="5" type="noConversion"/>
  </si>
  <si>
    <t>2021.4.19</t>
    <phoneticPr fontId="5" type="noConversion"/>
  </si>
  <si>
    <t>北京当代艺术基金会</t>
    <phoneticPr fontId="5" type="noConversion"/>
  </si>
  <si>
    <t>15幢-211</t>
  </si>
  <si>
    <t>2018.6.12</t>
    <phoneticPr fontId="5" type="noConversion"/>
  </si>
  <si>
    <t>2019.9.30</t>
    <phoneticPr fontId="5" type="noConversion"/>
  </si>
  <si>
    <t>北京言川建筑设计咨询有限公司</t>
    <phoneticPr fontId="5" type="noConversion"/>
  </si>
  <si>
    <t>15幢-302</t>
    <phoneticPr fontId="5" type="noConversion"/>
  </si>
  <si>
    <t>2018.12.21</t>
    <phoneticPr fontId="5" type="noConversion"/>
  </si>
  <si>
    <t>2020.12.20</t>
    <phoneticPr fontId="5" type="noConversion"/>
  </si>
  <si>
    <t>渐境（北京）建筑设计咨询有限公司</t>
    <phoneticPr fontId="5" type="noConversion"/>
  </si>
  <si>
    <t>15幢-303</t>
  </si>
  <si>
    <t>2019.1.1</t>
    <phoneticPr fontId="5" type="noConversion"/>
  </si>
  <si>
    <t>北京埃姆创意文化有限公司</t>
    <phoneticPr fontId="5" type="noConversion"/>
  </si>
  <si>
    <t>15幢-304</t>
  </si>
  <si>
    <t>2019.6.14</t>
    <phoneticPr fontId="5" type="noConversion"/>
  </si>
  <si>
    <t>北京拉格纳罗斯信息科技有限公司</t>
    <phoneticPr fontId="5" type="noConversion"/>
  </si>
  <si>
    <t>15幢-305/306</t>
    <phoneticPr fontId="260" type="noConversion"/>
  </si>
  <si>
    <t>2017.1.1</t>
    <phoneticPr fontId="5" type="noConversion"/>
  </si>
  <si>
    <t>北京绿樱网络科技有限公司</t>
    <phoneticPr fontId="5" type="noConversion"/>
  </si>
  <si>
    <t>15幢-307</t>
    <phoneticPr fontId="5" type="noConversion"/>
  </si>
  <si>
    <t>2018.1.22</t>
    <phoneticPr fontId="5" type="noConversion"/>
  </si>
  <si>
    <t>2020.1.21</t>
    <phoneticPr fontId="5" type="noConversion"/>
  </si>
  <si>
    <t>晖农集团有限公司</t>
    <phoneticPr fontId="5" type="noConversion"/>
  </si>
  <si>
    <t>4幢-1F</t>
    <phoneticPr fontId="5" type="noConversion"/>
  </si>
  <si>
    <t>2023.11.14</t>
    <phoneticPr fontId="5" type="noConversion"/>
  </si>
  <si>
    <t>上海龙韵广告传播股份有限公司</t>
    <phoneticPr fontId="5" type="noConversion"/>
  </si>
  <si>
    <t>4幢-2F</t>
    <phoneticPr fontId="5" type="noConversion"/>
  </si>
  <si>
    <t>2016.11.15</t>
    <phoneticPr fontId="5" type="noConversion"/>
  </si>
  <si>
    <t>2019.11.14</t>
    <phoneticPr fontId="5" type="noConversion"/>
  </si>
  <si>
    <t xml:space="preserve"> 北京新鼎明文化传媒有限公司</t>
    <phoneticPr fontId="5" type="noConversion"/>
  </si>
  <si>
    <t>3幢-东1、2层</t>
    <phoneticPr fontId="5" type="noConversion"/>
  </si>
  <si>
    <t>2018.3.1</t>
    <phoneticPr fontId="5" type="noConversion"/>
  </si>
  <si>
    <t>北京时悦形象设计中心（有限合伙）</t>
    <phoneticPr fontId="5" type="noConversion"/>
  </si>
  <si>
    <t>3幢-1层西侧</t>
    <phoneticPr fontId="5" type="noConversion"/>
  </si>
  <si>
    <t>2018.12.1</t>
    <phoneticPr fontId="5" type="noConversion"/>
  </si>
  <si>
    <t>2024.11.30</t>
    <phoneticPr fontId="5" type="noConversion"/>
  </si>
  <si>
    <t>北京志家科技有限公司</t>
    <phoneticPr fontId="5" type="noConversion"/>
  </si>
  <si>
    <t>3幢-A座</t>
    <phoneticPr fontId="5" type="noConversion"/>
  </si>
  <si>
    <t>2023.3.31</t>
    <phoneticPr fontId="5" type="noConversion"/>
  </si>
  <si>
    <t>北京千和资本投资管理有限公司</t>
    <phoneticPr fontId="5" type="noConversion"/>
  </si>
  <si>
    <t>16幢</t>
    <phoneticPr fontId="5" type="noConversion"/>
  </si>
  <si>
    <t>2017.2.21</t>
    <phoneticPr fontId="5" type="noConversion"/>
  </si>
  <si>
    <t>2021.11.20</t>
    <phoneticPr fontId="5" type="noConversion"/>
  </si>
  <si>
    <t>北京百味纯麦餐饮有限责任公司</t>
    <phoneticPr fontId="5" type="noConversion"/>
  </si>
  <si>
    <t>17幢</t>
    <phoneticPr fontId="5" type="noConversion"/>
  </si>
  <si>
    <t>2017.4.1</t>
    <phoneticPr fontId="5" type="noConversion"/>
  </si>
  <si>
    <t>2022.3.31</t>
    <phoneticPr fontId="5" type="noConversion"/>
  </si>
  <si>
    <t>1幢</t>
    <phoneticPr fontId="5" type="noConversion"/>
  </si>
  <si>
    <t>2019.1.1</t>
    <phoneticPr fontId="260" type="noConversion"/>
  </si>
  <si>
    <t>2019.12.31</t>
    <phoneticPr fontId="260" type="noConversion"/>
  </si>
  <si>
    <t>[3-2]1幢</t>
    <phoneticPr fontId="260" type="noConversion"/>
  </si>
  <si>
    <t>2018.10.15</t>
    <phoneticPr fontId="5" type="noConversion"/>
  </si>
  <si>
    <t>2023.10.14</t>
    <phoneticPr fontId="5" type="noConversion"/>
  </si>
  <si>
    <t>北京奇异夸克科技发展有限公司</t>
  </si>
  <si>
    <t>[3-2]3幢-C座</t>
    <phoneticPr fontId="260" type="noConversion"/>
  </si>
  <si>
    <t>2019.7.31</t>
    <phoneticPr fontId="5" type="noConversion"/>
  </si>
  <si>
    <t>宁波梅山保税港区真成致诺投资管理有限公司</t>
    <phoneticPr fontId="5" type="noConversion"/>
  </si>
  <si>
    <t>[3-2]3幢-1F东</t>
    <phoneticPr fontId="260" type="noConversion"/>
  </si>
  <si>
    <t>2018.4.1</t>
    <phoneticPr fontId="5" type="noConversion"/>
  </si>
  <si>
    <t>北京恒盛华星投资管理有限公司</t>
    <phoneticPr fontId="5" type="noConversion"/>
  </si>
  <si>
    <t>[3-2]3幢-B座</t>
    <phoneticPr fontId="260" type="noConversion"/>
  </si>
  <si>
    <t>2016.12.14</t>
    <phoneticPr fontId="5" type="noConversion"/>
  </si>
  <si>
    <t>2020.12.13</t>
    <phoneticPr fontId="5" type="noConversion"/>
  </si>
  <si>
    <t>中视科华有限公司</t>
    <phoneticPr fontId="5" type="noConversion"/>
  </si>
  <si>
    <t>[3-2]5幢</t>
  </si>
  <si>
    <t>2020.3.31</t>
    <phoneticPr fontId="5" type="noConversion"/>
  </si>
  <si>
    <t>腾讯影业文化传播有限公司</t>
    <phoneticPr fontId="5" type="noConversion"/>
  </si>
  <si>
    <t>[3-2]7幢</t>
    <phoneticPr fontId="260" type="noConversion"/>
  </si>
  <si>
    <t>2016.4.1</t>
  </si>
  <si>
    <t>2019.5.31</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</si>
</sst>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_ * #,##0.00_ ;_ * \-#,##0.00_ ;_ * &quot;-&quot;??_ ;_ @_ "/>
    <numFmt numFmtId="208" formatCode="0.0"/>
  </numFmts>
  <fonts count="264">
    <font>
      <sz val="11"/>
      <color theme="1"/>
      <name val="宋体"/>
      <charset val="134"/>
      <scheme val="minor"/>
    </font>
    <font>
      <sz val="11"/>
      <color theme="1"/>
      <name val="宋体"/>
      <family val="2"/>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2"/>
      <color theme="1"/>
      <name val="微软雅黑"/>
      <family val="2"/>
      <charset val="134"/>
    </font>
    <font>
      <b/>
      <sz val="12"/>
      <color theme="1"/>
      <name val="微软雅黑"/>
      <family val="2"/>
      <charset val="134"/>
    </font>
    <font>
      <sz val="12"/>
      <color rgb="FFFF0000"/>
      <name val="微软雅黑"/>
      <family val="2"/>
      <charset val="134"/>
    </font>
    <font>
      <sz val="10"/>
      <color theme="1"/>
      <name val="微软雅黑"/>
      <family val="2"/>
      <charset val="134"/>
    </font>
    <font>
      <sz val="9"/>
      <name val="宋体"/>
      <family val="2"/>
      <charset val="134"/>
      <scheme val="minor"/>
    </font>
    <font>
      <sz val="10"/>
      <color indexed="8"/>
      <name val="微软雅黑"/>
      <family val="2"/>
      <charset val="134"/>
    </font>
    <font>
      <sz val="10"/>
      <name val="微软雅黑"/>
      <family val="2"/>
      <charset val="134"/>
    </font>
    <font>
      <sz val="10"/>
      <color rgb="FFFF0000"/>
      <name val="微软雅黑"/>
      <family val="2"/>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20">
    <xf numFmtId="0" fontId="0" fillId="0" borderId="0">
      <alignment vertical="center"/>
    </xf>
    <xf numFmtId="0" fontId="101" fillId="0" borderId="0">
      <alignment vertical="center"/>
    </xf>
    <xf numFmtId="0" fontId="101" fillId="0" borderId="0"/>
    <xf numFmtId="0" fontId="101" fillId="0" borderId="0">
      <alignment vertical="center"/>
    </xf>
    <xf numFmtId="0" fontId="39" fillId="0" borderId="0"/>
    <xf numFmtId="0" fontId="101" fillId="0" borderId="0">
      <alignment vertical="center"/>
    </xf>
    <xf numFmtId="0" fontId="101" fillId="0" borderId="0"/>
    <xf numFmtId="0" fontId="101" fillId="0" borderId="0">
      <alignment vertical="center"/>
    </xf>
    <xf numFmtId="0" fontId="101" fillId="0" borderId="0">
      <alignment vertical="center"/>
    </xf>
    <xf numFmtId="0" fontId="4" fillId="0" borderId="0">
      <alignment vertical="center"/>
    </xf>
    <xf numFmtId="0" fontId="101" fillId="0" borderId="0">
      <alignment vertical="center"/>
    </xf>
    <xf numFmtId="0" fontId="3" fillId="0" borderId="0">
      <alignment vertical="center"/>
    </xf>
    <xf numFmtId="0" fontId="172" fillId="0" borderId="0"/>
    <xf numFmtId="0" fontId="3" fillId="0" borderId="0">
      <alignment vertical="center"/>
    </xf>
    <xf numFmtId="9" fontId="39" fillId="0" borderId="0" applyFont="0" applyFill="0" applyBorder="0" applyAlignment="0" applyProtection="0">
      <alignment vertical="center"/>
    </xf>
    <xf numFmtId="0" fontId="101" fillId="0" borderId="0">
      <alignment vertical="center"/>
    </xf>
    <xf numFmtId="0" fontId="3" fillId="0" borderId="0">
      <alignment vertical="center"/>
    </xf>
    <xf numFmtId="0" fontId="139" fillId="0" borderId="0">
      <alignment vertical="center"/>
    </xf>
    <xf numFmtId="197" fontId="101" fillId="0" borderId="0" applyFont="0" applyFill="0" applyBorder="0" applyAlignment="0" applyProtection="0">
      <alignment vertical="center"/>
    </xf>
    <xf numFmtId="0" fontId="2" fillId="0" borderId="0">
      <alignment vertical="center"/>
    </xf>
  </cellStyleXfs>
  <cellXfs count="3387">
    <xf numFmtId="0" fontId="0" fillId="0" borderId="0" xfId="0">
      <alignment vertical="center"/>
    </xf>
    <xf numFmtId="0" fontId="14" fillId="5" borderId="24" xfId="1" applyFont="1" applyFill="1" applyBorder="1" applyAlignment="1" applyProtection="1">
      <alignment horizontal="left" vertical="center"/>
      <protection locked="0"/>
    </xf>
    <xf numFmtId="0" fontId="23" fillId="6" borderId="0" xfId="1" applyFont="1" applyFill="1" applyBorder="1" applyAlignment="1" applyProtection="1">
      <alignment vertical="center"/>
    </xf>
    <xf numFmtId="0" fontId="0" fillId="0" borderId="0" xfId="0" applyAlignment="1">
      <alignment vertical="center" wrapText="1"/>
    </xf>
    <xf numFmtId="0" fontId="105" fillId="0" borderId="1" xfId="0" applyFont="1" applyBorder="1" applyAlignment="1">
      <alignment vertical="center" wrapText="1"/>
    </xf>
    <xf numFmtId="0" fontId="105" fillId="0" borderId="1" xfId="0" applyFont="1" applyBorder="1" applyAlignment="1">
      <alignment horizontal="center" vertical="center" wrapText="1"/>
    </xf>
    <xf numFmtId="0" fontId="106" fillId="6" borderId="0" xfId="0" applyFont="1" applyFill="1" applyAlignment="1" applyProtection="1">
      <alignment horizontal="center" vertical="center"/>
    </xf>
    <xf numFmtId="0" fontId="106" fillId="6" borderId="0" xfId="0" applyFont="1" applyFill="1" applyProtection="1">
      <alignment vertical="center"/>
    </xf>
    <xf numFmtId="0" fontId="51" fillId="6" borderId="5" xfId="0" applyFont="1" applyFill="1" applyBorder="1" applyAlignment="1" applyProtection="1">
      <alignment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vertical="center" wrapText="1"/>
      <protection locked="0"/>
    </xf>
    <xf numFmtId="0" fontId="52" fillId="6" borderId="1" xfId="0" applyFont="1" applyFill="1" applyBorder="1" applyAlignment="1" applyProtection="1">
      <alignment horizontal="center" vertical="center" wrapText="1"/>
    </xf>
    <xf numFmtId="0" fontId="52" fillId="0" borderId="0" xfId="0" applyFont="1" applyAlignment="1" applyProtection="1">
      <alignment horizontal="center" vertical="center" wrapText="1"/>
      <protection locked="0"/>
    </xf>
    <xf numFmtId="179" fontId="52" fillId="0" borderId="1" xfId="0" applyNumberFormat="1" applyFont="1" applyBorder="1" applyAlignment="1" applyProtection="1">
      <alignment horizontal="center" vertical="center" wrapText="1"/>
      <protection locked="0"/>
    </xf>
    <xf numFmtId="179" fontId="107" fillId="6" borderId="1" xfId="0" applyNumberFormat="1" applyFont="1" applyFill="1" applyBorder="1" applyAlignment="1" applyProtection="1">
      <alignment horizontal="center" vertical="center" wrapText="1"/>
    </xf>
    <xf numFmtId="0" fontId="52" fillId="6" borderId="5" xfId="0" applyFont="1" applyFill="1" applyBorder="1" applyAlignment="1" applyProtection="1">
      <alignment horizontal="left" vertical="center"/>
    </xf>
    <xf numFmtId="176" fontId="52" fillId="6" borderId="1" xfId="0" applyNumberFormat="1" applyFont="1" applyFill="1" applyBorder="1" applyAlignment="1" applyProtection="1">
      <alignment horizontal="center" vertical="center" wrapText="1"/>
    </xf>
    <xf numFmtId="0" fontId="52" fillId="6" borderId="6" xfId="0" applyFont="1" applyFill="1" applyBorder="1" applyAlignment="1" applyProtection="1">
      <alignment horizontal="center" vertical="center" wrapText="1"/>
    </xf>
    <xf numFmtId="176" fontId="52" fillId="6" borderId="9" xfId="0" applyNumberFormat="1" applyFont="1" applyFill="1" applyBorder="1" applyAlignment="1" applyProtection="1">
      <alignment horizontal="center" vertical="center" wrapText="1"/>
    </xf>
    <xf numFmtId="176" fontId="52" fillId="6" borderId="10" xfId="0" applyNumberFormat="1" applyFont="1" applyFill="1" applyBorder="1" applyAlignment="1" applyProtection="1">
      <alignment horizontal="center" vertical="center" wrapText="1"/>
    </xf>
    <xf numFmtId="176" fontId="52" fillId="6" borderId="13" xfId="0" applyNumberFormat="1" applyFont="1" applyFill="1" applyBorder="1" applyAlignment="1" applyProtection="1">
      <alignment horizontal="center" vertical="center" wrapText="1"/>
    </xf>
    <xf numFmtId="176" fontId="52" fillId="6" borderId="23" xfId="0" applyNumberFormat="1" applyFont="1" applyFill="1" applyBorder="1" applyAlignment="1" applyProtection="1">
      <alignment horizontal="center" vertical="center" wrapText="1"/>
    </xf>
    <xf numFmtId="176" fontId="52" fillId="6" borderId="24" xfId="0" applyNumberFormat="1" applyFont="1" applyFill="1" applyBorder="1" applyAlignment="1" applyProtection="1">
      <alignment horizontal="center" vertical="center" wrapText="1"/>
    </xf>
    <xf numFmtId="0" fontId="52" fillId="6" borderId="13" xfId="0" applyFont="1" applyFill="1" applyBorder="1" applyAlignment="1" applyProtection="1">
      <alignment horizontal="center" vertical="center" wrapText="1"/>
    </xf>
    <xf numFmtId="0" fontId="52" fillId="6" borderId="1" xfId="0" applyFont="1" applyFill="1" applyBorder="1" applyAlignment="1" applyProtection="1">
      <alignment horizontal="center" vertical="center"/>
    </xf>
    <xf numFmtId="0" fontId="52" fillId="6" borderId="13" xfId="0" applyFont="1" applyFill="1" applyBorder="1" applyAlignment="1" applyProtection="1">
      <alignment horizontal="center" vertical="center"/>
    </xf>
    <xf numFmtId="0" fontId="52" fillId="6" borderId="48" xfId="0" applyFont="1" applyFill="1" applyBorder="1" applyAlignment="1" applyProtection="1">
      <alignment horizontal="center" vertical="center"/>
    </xf>
    <xf numFmtId="0" fontId="52" fillId="0" borderId="0" xfId="0" applyFont="1" applyAlignment="1" applyProtection="1">
      <alignment horizontal="center" vertical="center"/>
      <protection locked="0"/>
    </xf>
    <xf numFmtId="0" fontId="52" fillId="6" borderId="35" xfId="0" applyFont="1" applyFill="1" applyBorder="1" applyAlignment="1" applyProtection="1">
      <alignment horizontal="center" vertical="center"/>
    </xf>
    <xf numFmtId="0" fontId="52" fillId="6" borderId="2" xfId="0" applyFont="1" applyFill="1" applyBorder="1" applyAlignment="1" applyProtection="1">
      <alignment horizontal="center" vertical="center"/>
    </xf>
    <xf numFmtId="0" fontId="52" fillId="6" borderId="2" xfId="0" applyFont="1" applyFill="1" applyBorder="1" applyAlignment="1" applyProtection="1">
      <alignment horizontal="center" vertical="center" wrapText="1"/>
    </xf>
    <xf numFmtId="0" fontId="52" fillId="6" borderId="15" xfId="0" applyFont="1" applyFill="1" applyBorder="1" applyAlignment="1" applyProtection="1">
      <alignment horizontal="center" vertical="center" wrapText="1"/>
    </xf>
    <xf numFmtId="176" fontId="52" fillId="0" borderId="2" xfId="0" applyNumberFormat="1" applyFont="1" applyFill="1" applyBorder="1" applyAlignment="1" applyProtection="1">
      <alignment horizontal="center" vertical="center" wrapText="1"/>
      <protection locked="0"/>
    </xf>
    <xf numFmtId="176" fontId="52" fillId="6" borderId="2" xfId="0" applyNumberFormat="1" applyFont="1" applyFill="1" applyBorder="1" applyAlignment="1" applyProtection="1">
      <alignment horizontal="center" vertical="center" wrapText="1"/>
    </xf>
    <xf numFmtId="0" fontId="49" fillId="0" borderId="2" xfId="0" applyFont="1" applyBorder="1" applyAlignment="1" applyProtection="1">
      <alignment horizontal="center" vertical="center" wrapText="1"/>
      <protection locked="0"/>
    </xf>
    <xf numFmtId="176" fontId="49" fillId="6" borderId="1" xfId="0" applyNumberFormat="1"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6" borderId="3" xfId="0"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176" fontId="49" fillId="0" borderId="1"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0" fontId="51" fillId="6" borderId="13" xfId="0" applyFont="1" applyFill="1" applyBorder="1" applyAlignment="1" applyProtection="1">
      <alignment vertical="center"/>
    </xf>
    <xf numFmtId="0" fontId="49" fillId="6" borderId="11" xfId="0" applyFont="1" applyFill="1" applyBorder="1" applyAlignment="1" applyProtection="1">
      <alignment vertical="center"/>
    </xf>
    <xf numFmtId="0" fontId="49" fillId="6" borderId="1" xfId="0" applyFont="1" applyFill="1" applyBorder="1" applyAlignment="1" applyProtection="1">
      <alignment vertical="center"/>
    </xf>
    <xf numFmtId="176" fontId="49" fillId="6" borderId="24" xfId="0" applyNumberFormat="1" applyFont="1" applyFill="1" applyBorder="1" applyAlignment="1" applyProtection="1">
      <alignment vertical="center"/>
    </xf>
    <xf numFmtId="0" fontId="49" fillId="6" borderId="13" xfId="0" applyFont="1" applyFill="1" applyBorder="1" applyAlignment="1" applyProtection="1">
      <alignment vertical="center"/>
    </xf>
    <xf numFmtId="0" fontId="49" fillId="6" borderId="24" xfId="0" applyFont="1" applyFill="1" applyBorder="1" applyAlignment="1" applyProtection="1">
      <alignment vertical="center"/>
    </xf>
    <xf numFmtId="0" fontId="49" fillId="0" borderId="24" xfId="0" applyFont="1" applyFill="1" applyBorder="1" applyAlignment="1" applyProtection="1">
      <alignment vertical="center"/>
      <protection locked="0"/>
    </xf>
    <xf numFmtId="0" fontId="49" fillId="6" borderId="61" xfId="0" applyFont="1" applyFill="1" applyBorder="1" applyAlignment="1" applyProtection="1">
      <alignment vertical="center"/>
    </xf>
    <xf numFmtId="179"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176" fontId="49" fillId="6" borderId="1" xfId="0" applyNumberFormat="1" applyFont="1" applyFill="1" applyBorder="1" applyAlignment="1" applyProtection="1">
      <alignment vertical="center"/>
    </xf>
    <xf numFmtId="0" fontId="52" fillId="3" borderId="3" xfId="0" applyFont="1" applyFill="1" applyBorder="1" applyProtection="1">
      <alignment vertical="center"/>
      <protection locked="0"/>
    </xf>
    <xf numFmtId="0" fontId="52" fillId="3" borderId="24" xfId="0" applyFont="1" applyFill="1" applyBorder="1" applyProtection="1">
      <alignment vertical="center"/>
      <protection locked="0"/>
    </xf>
    <xf numFmtId="0" fontId="52" fillId="0" borderId="1" xfId="0" applyFont="1" applyBorder="1" applyAlignment="1" applyProtection="1">
      <alignment horizontal="center" vertical="center"/>
      <protection locked="0"/>
    </xf>
    <xf numFmtId="177" fontId="49" fillId="0" borderId="1" xfId="1" applyNumberFormat="1" applyFont="1" applyFill="1" applyBorder="1" applyAlignment="1" applyProtection="1">
      <alignment vertical="center"/>
      <protection locked="0"/>
    </xf>
    <xf numFmtId="0" fontId="49" fillId="3" borderId="22" xfId="0" applyFont="1" applyFill="1" applyBorder="1" applyProtection="1">
      <alignment vertical="center"/>
      <protection locked="0"/>
    </xf>
    <xf numFmtId="0" fontId="49" fillId="3" borderId="61" xfId="0" applyFont="1" applyFill="1" applyBorder="1" applyProtection="1">
      <alignment vertical="center"/>
      <protection locked="0"/>
    </xf>
    <xf numFmtId="177" fontId="49" fillId="0" borderId="3" xfId="1" applyNumberFormat="1" applyFont="1" applyFill="1" applyBorder="1" applyAlignment="1" applyProtection="1">
      <alignment vertical="center"/>
      <protection locked="0"/>
    </xf>
    <xf numFmtId="0" fontId="49" fillId="6" borderId="3" xfId="0" applyFont="1" applyFill="1" applyBorder="1" applyProtection="1">
      <alignment vertical="center"/>
    </xf>
    <xf numFmtId="0" fontId="49" fillId="6" borderId="48" xfId="0" applyFont="1" applyFill="1" applyBorder="1" applyProtection="1">
      <alignment vertical="center"/>
    </xf>
    <xf numFmtId="0" fontId="49" fillId="6" borderId="22" xfId="0" applyFont="1" applyFill="1" applyBorder="1" applyProtection="1">
      <alignment vertical="center"/>
    </xf>
    <xf numFmtId="0" fontId="49" fillId="6" borderId="61" xfId="0" applyFont="1" applyFill="1" applyBorder="1" applyProtection="1">
      <alignment vertical="center"/>
    </xf>
    <xf numFmtId="0" fontId="51" fillId="6" borderId="27" xfId="0" applyFont="1" applyFill="1" applyBorder="1" applyAlignment="1" applyProtection="1">
      <alignment vertical="center" wrapText="1"/>
    </xf>
    <xf numFmtId="0" fontId="49" fillId="6" borderId="29" xfId="0" applyFont="1" applyFill="1" applyBorder="1" applyAlignment="1" applyProtection="1">
      <alignment horizontal="center" vertical="center" wrapText="1"/>
    </xf>
    <xf numFmtId="0" fontId="49" fillId="6" borderId="10" xfId="0" applyFont="1" applyFill="1" applyBorder="1" applyAlignment="1" applyProtection="1">
      <alignment horizontal="center" vertical="center" wrapText="1"/>
    </xf>
    <xf numFmtId="0" fontId="49" fillId="6" borderId="28" xfId="0" applyFont="1" applyFill="1" applyBorder="1" applyAlignment="1" applyProtection="1">
      <alignment horizontal="center" vertical="center" wrapText="1"/>
    </xf>
    <xf numFmtId="179" fontId="56" fillId="6" borderId="1" xfId="1" applyNumberFormat="1" applyFont="1" applyFill="1" applyBorder="1" applyAlignment="1" applyProtection="1">
      <alignment horizontal="center" vertical="center"/>
    </xf>
    <xf numFmtId="180" fontId="56" fillId="6" borderId="1" xfId="1" applyNumberFormat="1" applyFont="1" applyFill="1" applyBorder="1" applyAlignment="1" applyProtection="1">
      <alignment horizontal="center" vertical="center"/>
    </xf>
    <xf numFmtId="181" fontId="49" fillId="0" borderId="1" xfId="0" applyNumberFormat="1" applyFont="1" applyFill="1" applyBorder="1" applyAlignment="1" applyProtection="1">
      <alignment horizontal="center" vertical="center"/>
      <protection locked="0"/>
    </xf>
    <xf numFmtId="0" fontId="49" fillId="6" borderId="1" xfId="1" applyNumberFormat="1" applyFont="1" applyFill="1" applyBorder="1" applyAlignment="1" applyProtection="1">
      <alignment horizontal="center" vertical="center"/>
    </xf>
    <xf numFmtId="0" fontId="49" fillId="6" borderId="5" xfId="0" applyNumberFormat="1" applyFont="1" applyFill="1" applyBorder="1" applyAlignment="1" applyProtection="1">
      <alignment horizontal="center" vertical="center"/>
    </xf>
    <xf numFmtId="179" fontId="49" fillId="6" borderId="23" xfId="1" applyNumberFormat="1" applyFont="1" applyFill="1" applyBorder="1" applyAlignment="1" applyProtection="1">
      <alignment horizontal="center" vertical="center"/>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3" xfId="0" applyFont="1" applyBorder="1" applyAlignment="1" applyProtection="1">
      <alignment vertical="center"/>
      <protection locked="0"/>
    </xf>
    <xf numFmtId="181" fontId="49" fillId="0" borderId="5"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0" fontId="49" fillId="0" borderId="24" xfId="0" applyFont="1" applyBorder="1" applyAlignment="1" applyProtection="1">
      <alignment horizontal="center" vertical="center"/>
      <protection locked="0"/>
    </xf>
    <xf numFmtId="0" fontId="49" fillId="5" borderId="3" xfId="0" applyFont="1" applyFill="1" applyBorder="1" applyAlignment="1" applyProtection="1">
      <alignment horizontal="center" vertical="center"/>
      <protection locked="0"/>
    </xf>
    <xf numFmtId="0" fontId="49" fillId="0" borderId="1" xfId="0" applyNumberFormat="1"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10" fontId="49" fillId="0" borderId="1" xfId="1" applyNumberFormat="1" applyFont="1" applyFill="1" applyBorder="1" applyAlignment="1" applyProtection="1">
      <alignment horizontal="center" vertical="center"/>
      <protection locked="0"/>
    </xf>
    <xf numFmtId="0" fontId="49" fillId="0" borderId="3" xfId="0" applyFont="1" applyBorder="1" applyAlignment="1" applyProtection="1">
      <alignment horizontal="center" vertical="center"/>
      <protection locked="0"/>
    </xf>
    <xf numFmtId="10" fontId="49" fillId="0" borderId="1" xfId="0" applyNumberFormat="1" applyFont="1" applyFill="1" applyBorder="1" applyAlignment="1" applyProtection="1">
      <alignment horizontal="center" vertical="center"/>
      <protection locked="0"/>
    </xf>
    <xf numFmtId="183" fontId="49" fillId="0" borderId="1" xfId="0"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0" fontId="51" fillId="6" borderId="32" xfId="1" applyFont="1" applyFill="1" applyBorder="1" applyAlignment="1" applyProtection="1">
      <alignment vertical="center"/>
    </xf>
    <xf numFmtId="0" fontId="51" fillId="6" borderId="32" xfId="1" applyFont="1" applyFill="1" applyBorder="1" applyAlignment="1" applyProtection="1">
      <alignment horizontal="center" vertical="center"/>
    </xf>
    <xf numFmtId="181" fontId="51" fillId="6" borderId="32" xfId="1" applyNumberFormat="1" applyFont="1" applyFill="1" applyBorder="1" applyAlignment="1" applyProtection="1">
      <alignment vertical="center"/>
    </xf>
    <xf numFmtId="0" fontId="51" fillId="6" borderId="49" xfId="1" applyFont="1" applyFill="1" applyBorder="1" applyAlignment="1" applyProtection="1">
      <alignment vertical="center"/>
    </xf>
    <xf numFmtId="176" fontId="49" fillId="6" borderId="25" xfId="0" applyNumberFormat="1" applyFont="1" applyFill="1" applyBorder="1" applyAlignment="1" applyProtection="1">
      <alignment horizontal="center" vertical="center"/>
    </xf>
    <xf numFmtId="0" fontId="49" fillId="6" borderId="32" xfId="1" applyNumberFormat="1" applyFont="1" applyFill="1" applyBorder="1" applyAlignment="1" applyProtection="1">
      <alignment horizontal="center" vertical="center"/>
    </xf>
    <xf numFmtId="10" fontId="49" fillId="6" borderId="32" xfId="1" applyNumberFormat="1" applyFont="1" applyFill="1" applyBorder="1" applyAlignment="1" applyProtection="1">
      <alignment horizontal="center" vertical="center"/>
    </xf>
    <xf numFmtId="9" fontId="49" fillId="6" borderId="33" xfId="0" applyNumberFormat="1" applyFont="1" applyFill="1" applyBorder="1" applyAlignment="1" applyProtection="1">
      <alignment horizontal="center" vertical="center"/>
    </xf>
    <xf numFmtId="179" fontId="49" fillId="6" borderId="66" xfId="1" applyNumberFormat="1" applyFont="1" applyFill="1" applyBorder="1" applyAlignment="1" applyProtection="1">
      <alignment horizontal="center" vertical="center"/>
    </xf>
    <xf numFmtId="0" fontId="49" fillId="6" borderId="68" xfId="1" applyNumberFormat="1" applyFont="1" applyFill="1" applyBorder="1" applyAlignment="1" applyProtection="1">
      <alignment horizontal="center" vertical="center"/>
    </xf>
    <xf numFmtId="0" fontId="49" fillId="6" borderId="25" xfId="0" applyFont="1" applyFill="1" applyBorder="1" applyAlignment="1" applyProtection="1">
      <alignment vertical="center"/>
    </xf>
    <xf numFmtId="0" fontId="49" fillId="6" borderId="32" xfId="0" applyFont="1" applyFill="1" applyBorder="1" applyAlignment="1" applyProtection="1">
      <alignment vertical="center"/>
    </xf>
    <xf numFmtId="0" fontId="49" fillId="6" borderId="49" xfId="0" applyFont="1" applyFill="1" applyBorder="1" applyAlignment="1" applyProtection="1">
      <alignment vertical="center"/>
    </xf>
    <xf numFmtId="0" fontId="49" fillId="6" borderId="66" xfId="0" applyFont="1" applyFill="1" applyBorder="1" applyAlignment="1" applyProtection="1">
      <alignment vertical="center"/>
    </xf>
    <xf numFmtId="0" fontId="49" fillId="6" borderId="33" xfId="0" applyFont="1" applyFill="1" applyBorder="1" applyAlignment="1" applyProtection="1">
      <alignment vertical="center"/>
    </xf>
    <xf numFmtId="176" fontId="56" fillId="0" borderId="10" xfId="1" applyNumberFormat="1" applyFont="1" applyFill="1" applyBorder="1" applyAlignment="1" applyProtection="1">
      <alignment horizontal="center" vertical="center"/>
      <protection locked="0"/>
    </xf>
    <xf numFmtId="176" fontId="49" fillId="0" borderId="24" xfId="1" applyNumberFormat="1" applyFont="1" applyFill="1" applyBorder="1" applyAlignment="1" applyProtection="1">
      <alignment horizontal="center" vertical="center"/>
      <protection locked="0"/>
    </xf>
    <xf numFmtId="176" fontId="56" fillId="6" borderId="24" xfId="1" applyNumberFormat="1" applyFont="1" applyFill="1" applyBorder="1" applyAlignment="1" applyProtection="1">
      <alignment horizontal="center" vertical="center"/>
    </xf>
    <xf numFmtId="176" fontId="56" fillId="6" borderId="49" xfId="1" applyNumberFormat="1" applyFont="1" applyFill="1" applyBorder="1" applyAlignment="1" applyProtection="1">
      <alignment horizontal="center" vertical="center"/>
    </xf>
    <xf numFmtId="0" fontId="58" fillId="0" borderId="10" xfId="1" applyNumberFormat="1"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8" fillId="0" borderId="24" xfId="1" applyNumberFormat="1" applyFont="1" applyFill="1" applyBorder="1" applyAlignment="1" applyProtection="1">
      <alignment horizontal="center" vertical="center"/>
      <protection locked="0"/>
    </xf>
    <xf numFmtId="0" fontId="56" fillId="6" borderId="24" xfId="1" applyNumberFormat="1" applyFont="1" applyFill="1" applyBorder="1" applyAlignment="1" applyProtection="1">
      <alignment horizontal="center" vertical="center"/>
    </xf>
    <xf numFmtId="0" fontId="58" fillId="0" borderId="49" xfId="1" applyNumberFormat="1" applyFont="1" applyFill="1" applyBorder="1" applyAlignment="1" applyProtection="1">
      <alignment horizontal="center" vertical="center"/>
      <protection locked="0"/>
    </xf>
    <xf numFmtId="181" fontId="52" fillId="0" borderId="24" xfId="0" applyNumberFormat="1" applyFont="1" applyFill="1" applyBorder="1" applyAlignment="1" applyProtection="1">
      <alignment horizontal="center" vertical="center"/>
      <protection locked="0"/>
    </xf>
    <xf numFmtId="181" fontId="52" fillId="0" borderId="49" xfId="0" applyNumberFormat="1" applyFont="1" applyFill="1" applyBorder="1" applyAlignment="1" applyProtection="1">
      <alignment horizontal="center" vertical="center"/>
      <protection locked="0"/>
    </xf>
    <xf numFmtId="181" fontId="52" fillId="0" borderId="8" xfId="0" applyNumberFormat="1" applyFont="1" applyFill="1" applyBorder="1" applyAlignment="1" applyProtection="1">
      <alignment horizontal="center" vertical="center"/>
      <protection locked="0"/>
    </xf>
    <xf numFmtId="10" fontId="49" fillId="6" borderId="10" xfId="0" applyNumberFormat="1" applyFont="1" applyFill="1" applyBorder="1" applyAlignment="1" applyProtection="1">
      <alignment horizontal="center" vertical="center"/>
    </xf>
    <xf numFmtId="10" fontId="49" fillId="0" borderId="61" xfId="0" applyNumberFormat="1" applyFont="1" applyFill="1" applyBorder="1" applyAlignment="1" applyProtection="1">
      <alignment horizontal="center" vertical="center"/>
      <protection locked="0"/>
    </xf>
    <xf numFmtId="183" fontId="49" fillId="6" borderId="61" xfId="0" applyNumberFormat="1" applyFont="1" applyFill="1" applyBorder="1" applyAlignment="1" applyProtection="1">
      <alignment horizontal="center" vertical="center"/>
    </xf>
    <xf numFmtId="10" fontId="49" fillId="2" borderId="61" xfId="0" applyNumberFormat="1" applyFont="1" applyFill="1" applyBorder="1" applyAlignment="1" applyProtection="1">
      <alignment horizontal="center" vertical="center"/>
      <protection locked="0"/>
    </xf>
    <xf numFmtId="10" fontId="49" fillId="0" borderId="49" xfId="0" applyNumberFormat="1" applyFont="1" applyFill="1" applyBorder="1" applyAlignment="1" applyProtection="1">
      <alignment horizontal="center" vertical="center"/>
      <protection locked="0"/>
    </xf>
    <xf numFmtId="10" fontId="49" fillId="0" borderId="53" xfId="0" applyNumberFormat="1" applyFont="1" applyFill="1" applyBorder="1" applyAlignment="1" applyProtection="1">
      <alignment horizontal="center" vertical="center"/>
      <protection locked="0"/>
    </xf>
    <xf numFmtId="10" fontId="49" fillId="6" borderId="62" xfId="0" applyNumberFormat="1" applyFont="1" applyFill="1" applyBorder="1" applyAlignment="1" applyProtection="1">
      <alignment horizontal="center" vertical="center"/>
    </xf>
    <xf numFmtId="10" fontId="49" fillId="6" borderId="49" xfId="0" applyNumberFormat="1" applyFont="1" applyFill="1" applyBorder="1" applyAlignment="1" applyProtection="1">
      <alignment horizontal="center" vertical="center"/>
    </xf>
    <xf numFmtId="178" fontId="49" fillId="6" borderId="62" xfId="0" applyNumberFormat="1" applyFont="1" applyFill="1" applyBorder="1" applyAlignment="1" applyProtection="1">
      <alignment horizontal="center" vertical="center"/>
    </xf>
    <xf numFmtId="0" fontId="49" fillId="0" borderId="49" xfId="0" applyFont="1" applyBorder="1" applyAlignment="1" applyProtection="1">
      <alignment vertical="center"/>
      <protection locked="0"/>
    </xf>
    <xf numFmtId="0" fontId="49" fillId="6" borderId="10" xfId="0" applyNumberFormat="1" applyFont="1" applyFill="1" applyBorder="1" applyAlignment="1" applyProtection="1">
      <alignment horizontal="center" vertical="center" wrapText="1"/>
    </xf>
    <xf numFmtId="0" fontId="49" fillId="6" borderId="24" xfId="0" applyNumberFormat="1" applyFont="1" applyFill="1" applyBorder="1" applyAlignment="1" applyProtection="1">
      <alignment horizontal="center" vertical="center" wrapText="1"/>
    </xf>
    <xf numFmtId="0" fontId="49" fillId="6" borderId="49" xfId="0" applyNumberFormat="1" applyFont="1" applyFill="1" applyBorder="1" applyAlignment="1" applyProtection="1">
      <alignment horizontal="center" vertical="center" wrapText="1"/>
    </xf>
    <xf numFmtId="0" fontId="52" fillId="6" borderId="0" xfId="0" applyFont="1" applyFill="1" applyProtection="1">
      <alignment vertical="center"/>
      <protection locked="0"/>
    </xf>
    <xf numFmtId="0" fontId="52" fillId="0" borderId="0" xfId="0" applyFont="1" applyProtection="1">
      <alignment vertical="center"/>
      <protection locked="0"/>
    </xf>
    <xf numFmtId="0" fontId="52" fillId="6" borderId="5" xfId="0" applyFont="1" applyFill="1" applyBorder="1" applyAlignment="1" applyProtection="1">
      <alignment vertical="center"/>
    </xf>
    <xf numFmtId="0" fontId="49" fillId="6" borderId="2" xfId="0" applyFont="1" applyFill="1" applyBorder="1" applyAlignment="1" applyProtection="1">
      <alignment horizontal="center" vertical="center"/>
    </xf>
    <xf numFmtId="179" fontId="49" fillId="6" borderId="13" xfId="0" applyNumberFormat="1" applyFont="1" applyFill="1" applyBorder="1" applyAlignment="1" applyProtection="1">
      <alignment horizontal="center" vertical="center"/>
    </xf>
    <xf numFmtId="0" fontId="106" fillId="6" borderId="9" xfId="0" applyFont="1" applyFill="1" applyBorder="1" applyAlignment="1" applyProtection="1">
      <alignment horizontal="center" vertical="center"/>
    </xf>
    <xf numFmtId="0" fontId="106" fillId="6" borderId="10"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106" fillId="6" borderId="1" xfId="0" applyFont="1" applyFill="1" applyBorder="1" applyAlignment="1" applyProtection="1">
      <alignment horizontal="center" vertical="center"/>
    </xf>
    <xf numFmtId="0" fontId="106" fillId="6" borderId="24" xfId="0" applyFont="1" applyFill="1" applyBorder="1" applyAlignment="1" applyProtection="1">
      <alignment horizontal="center" vertical="center"/>
    </xf>
    <xf numFmtId="0" fontId="49" fillId="6" borderId="5" xfId="0" applyFont="1" applyFill="1" applyBorder="1" applyAlignment="1" applyProtection="1">
      <alignment horizontal="right" vertical="center"/>
    </xf>
    <xf numFmtId="0" fontId="49" fillId="6" borderId="33" xfId="0" applyFont="1" applyFill="1" applyBorder="1" applyAlignment="1" applyProtection="1">
      <alignment horizontal="right" vertical="center"/>
    </xf>
    <xf numFmtId="0" fontId="49" fillId="6" borderId="4" xfId="0" applyFont="1" applyFill="1" applyBorder="1" applyAlignment="1" applyProtection="1">
      <alignment horizontal="right" vertical="center"/>
    </xf>
    <xf numFmtId="0" fontId="108" fillId="0" borderId="1" xfId="0" applyFont="1" applyFill="1" applyBorder="1" applyAlignment="1" applyProtection="1">
      <alignment horizontal="center" vertical="center"/>
      <protection locked="0"/>
    </xf>
    <xf numFmtId="0" fontId="108" fillId="0" borderId="24" xfId="0" applyFont="1" applyFill="1" applyBorder="1" applyAlignment="1" applyProtection="1">
      <alignment horizontal="center" vertical="center"/>
      <protection locked="0"/>
    </xf>
    <xf numFmtId="0" fontId="49" fillId="6" borderId="29" xfId="0" applyFont="1" applyFill="1" applyBorder="1" applyAlignment="1" applyProtection="1">
      <alignment horizontal="center" vertical="center"/>
    </xf>
    <xf numFmtId="0" fontId="51" fillId="0" borderId="10" xfId="0" applyFont="1" applyFill="1" applyBorder="1" applyAlignment="1" applyProtection="1">
      <alignment horizontal="center" vertical="center"/>
      <protection locked="0"/>
    </xf>
    <xf numFmtId="0" fontId="52" fillId="6" borderId="1" xfId="0" applyFont="1" applyFill="1" applyBorder="1" applyProtection="1">
      <alignment vertical="center"/>
    </xf>
    <xf numFmtId="0" fontId="51" fillId="0" borderId="24" xfId="0" applyFont="1" applyFill="1" applyBorder="1" applyAlignment="1" applyProtection="1">
      <alignment horizontal="center" vertical="center"/>
      <protection locked="0"/>
    </xf>
    <xf numFmtId="0" fontId="51" fillId="6" borderId="4" xfId="0" applyFont="1" applyFill="1" applyBorder="1" applyAlignment="1" applyProtection="1">
      <alignment horizontal="center" vertical="center"/>
    </xf>
    <xf numFmtId="0" fontId="52" fillId="0" borderId="23" xfId="0" applyFont="1" applyBorder="1" applyProtection="1">
      <alignment vertical="center"/>
      <protection locked="0"/>
    </xf>
    <xf numFmtId="0" fontId="52" fillId="0" borderId="1" xfId="0" applyFont="1" applyBorder="1" applyProtection="1">
      <alignment vertical="center"/>
      <protection locked="0"/>
    </xf>
    <xf numFmtId="0" fontId="52" fillId="0" borderId="24" xfId="0" applyFont="1" applyFill="1" applyBorder="1" applyAlignment="1" applyProtection="1">
      <alignment horizontal="center" vertical="center"/>
      <protection locked="0"/>
    </xf>
    <xf numFmtId="0" fontId="52" fillId="0" borderId="25" xfId="0" applyFont="1" applyBorder="1" applyProtection="1">
      <alignment vertical="center"/>
      <protection locked="0"/>
    </xf>
    <xf numFmtId="0" fontId="52" fillId="0" borderId="32" xfId="0" applyFont="1" applyBorder="1" applyProtection="1">
      <alignment vertical="center"/>
      <protection locked="0"/>
    </xf>
    <xf numFmtId="0" fontId="52" fillId="0" borderId="49" xfId="0" applyFont="1" applyBorder="1" applyProtection="1">
      <alignment vertical="center"/>
      <protection locked="0"/>
    </xf>
    <xf numFmtId="0" fontId="52" fillId="6" borderId="13" xfId="0" applyFont="1" applyFill="1" applyBorder="1" applyAlignment="1" applyProtection="1">
      <alignment vertical="center"/>
    </xf>
    <xf numFmtId="0" fontId="52" fillId="6" borderId="36" xfId="0" applyFont="1" applyFill="1" applyBorder="1" applyAlignment="1" applyProtection="1">
      <alignment horizontal="right" vertical="center"/>
    </xf>
    <xf numFmtId="9" fontId="52" fillId="5" borderId="36" xfId="0" applyNumberFormat="1" applyFont="1" applyFill="1" applyBorder="1" applyAlignment="1" applyProtection="1">
      <alignment horizontal="center" vertical="center"/>
      <protection locked="0"/>
    </xf>
    <xf numFmtId="0" fontId="52" fillId="6" borderId="22" xfId="0" applyFont="1" applyFill="1" applyBorder="1" applyProtection="1">
      <alignment vertical="center"/>
    </xf>
    <xf numFmtId="0" fontId="52" fillId="6" borderId="0" xfId="0" applyFont="1" applyFill="1" applyAlignment="1" applyProtection="1">
      <alignment horizontal="center" vertical="center"/>
      <protection locked="0"/>
    </xf>
    <xf numFmtId="0" fontId="57" fillId="6" borderId="18" xfId="0" applyFont="1" applyFill="1" applyBorder="1" applyAlignment="1" applyProtection="1">
      <alignment horizontal="left" vertical="center" wrapText="1"/>
    </xf>
    <xf numFmtId="0" fontId="57" fillId="6" borderId="60" xfId="0" applyFont="1" applyFill="1" applyBorder="1" applyAlignment="1" applyProtection="1">
      <alignment horizontal="left" vertical="center" wrapText="1"/>
    </xf>
    <xf numFmtId="0" fontId="57" fillId="6" borderId="7" xfId="0" applyFont="1" applyFill="1" applyBorder="1" applyAlignment="1" applyProtection="1">
      <alignment horizontal="left" vertical="center" wrapText="1"/>
    </xf>
    <xf numFmtId="0" fontId="52" fillId="6" borderId="4" xfId="0" applyFont="1" applyFill="1" applyBorder="1" applyAlignment="1" applyProtection="1">
      <alignment horizontal="center" vertical="center"/>
    </xf>
    <xf numFmtId="0" fontId="57" fillId="6" borderId="1" xfId="0" applyFont="1" applyFill="1" applyBorder="1" applyAlignment="1" applyProtection="1">
      <alignment horizontal="left" vertical="center" wrapText="1"/>
    </xf>
    <xf numFmtId="9" fontId="52" fillId="6" borderId="24" xfId="0" applyNumberFormat="1" applyFont="1" applyFill="1" applyBorder="1" applyAlignment="1" applyProtection="1">
      <alignment horizontal="center" vertical="center"/>
    </xf>
    <xf numFmtId="10" fontId="52" fillId="6" borderId="2" xfId="0" applyNumberFormat="1" applyFont="1" applyFill="1" applyBorder="1" applyAlignment="1" applyProtection="1">
      <alignment horizontal="center" vertical="center"/>
    </xf>
    <xf numFmtId="0" fontId="52" fillId="6" borderId="11" xfId="0" applyFont="1" applyFill="1" applyBorder="1" applyAlignment="1" applyProtection="1">
      <alignment horizontal="right" vertical="center" wrapText="1"/>
    </xf>
    <xf numFmtId="0" fontId="52" fillId="6" borderId="46" xfId="0" applyFont="1" applyFill="1" applyBorder="1" applyAlignment="1" applyProtection="1">
      <alignment vertical="center"/>
    </xf>
    <xf numFmtId="0" fontId="52" fillId="6" borderId="14" xfId="0" applyFont="1" applyFill="1" applyBorder="1" applyAlignment="1" applyProtection="1">
      <alignment horizontal="right" vertical="center" wrapText="1"/>
    </xf>
    <xf numFmtId="0" fontId="52" fillId="6" borderId="58" xfId="0" applyFont="1" applyFill="1" applyBorder="1" applyAlignment="1" applyProtection="1">
      <alignment vertical="center"/>
    </xf>
    <xf numFmtId="0" fontId="52" fillId="6" borderId="35" xfId="0" applyFont="1" applyFill="1" applyBorder="1" applyProtection="1">
      <alignment vertical="center"/>
    </xf>
    <xf numFmtId="0" fontId="52" fillId="6" borderId="41" xfId="0" applyFont="1" applyFill="1" applyBorder="1" applyAlignment="1" applyProtection="1">
      <alignment horizontal="right" vertical="center" wrapText="1"/>
    </xf>
    <xf numFmtId="0" fontId="52" fillId="6" borderId="4" xfId="0" applyFont="1" applyFill="1" applyBorder="1" applyAlignment="1" applyProtection="1">
      <alignment vertical="center"/>
    </xf>
    <xf numFmtId="0" fontId="52" fillId="6" borderId="23" xfId="0" applyFont="1" applyFill="1" applyBorder="1" applyAlignment="1" applyProtection="1">
      <alignment horizontal="right" vertical="center" wrapText="1"/>
    </xf>
    <xf numFmtId="10" fontId="52" fillId="6" borderId="1" xfId="0" applyNumberFormat="1" applyFont="1" applyFill="1" applyBorder="1" applyAlignment="1" applyProtection="1">
      <alignment horizontal="center" vertical="center"/>
    </xf>
    <xf numFmtId="0" fontId="52" fillId="6" borderId="5" xfId="0" applyFont="1" applyFill="1" applyBorder="1" applyAlignment="1" applyProtection="1">
      <alignment horizontal="right" vertical="center"/>
    </xf>
    <xf numFmtId="10" fontId="52" fillId="6" borderId="5" xfId="0" applyNumberFormat="1" applyFont="1" applyFill="1" applyBorder="1" applyAlignment="1" applyProtection="1">
      <alignment horizontal="center" vertical="center"/>
    </xf>
    <xf numFmtId="0" fontId="52" fillId="6" borderId="46" xfId="0" applyFont="1" applyFill="1" applyBorder="1" applyAlignment="1" applyProtection="1">
      <alignment horizontal="right" vertical="center"/>
    </xf>
    <xf numFmtId="0" fontId="52" fillId="6" borderId="33" xfId="0" applyFont="1" applyFill="1" applyBorder="1" applyAlignment="1" applyProtection="1">
      <alignment horizontal="right" vertical="center"/>
    </xf>
    <xf numFmtId="0" fontId="52" fillId="6" borderId="32" xfId="0" applyFont="1" applyFill="1" applyBorder="1" applyAlignment="1" applyProtection="1">
      <alignment horizontal="center" vertical="center" wrapText="1"/>
    </xf>
    <xf numFmtId="10" fontId="52" fillId="6" borderId="32" xfId="0" applyNumberFormat="1" applyFont="1" applyFill="1" applyBorder="1" applyAlignment="1" applyProtection="1">
      <alignment horizontal="center" vertical="center"/>
    </xf>
    <xf numFmtId="9" fontId="52" fillId="6" borderId="5" xfId="0" applyNumberFormat="1" applyFont="1" applyFill="1" applyBorder="1" applyAlignment="1" applyProtection="1">
      <alignment horizontal="center" vertical="center" wrapText="1"/>
    </xf>
    <xf numFmtId="0" fontId="52" fillId="6" borderId="10" xfId="0" applyFont="1" applyFill="1" applyBorder="1" applyAlignment="1" applyProtection="1">
      <alignment horizontal="left" vertical="center" wrapText="1"/>
    </xf>
    <xf numFmtId="0" fontId="59" fillId="6" borderId="2" xfId="0" applyFont="1" applyFill="1" applyBorder="1" applyAlignment="1" applyProtection="1">
      <alignment horizontal="left" vertical="center" wrapText="1"/>
    </xf>
    <xf numFmtId="177" fontId="59" fillId="6" borderId="2" xfId="0" applyNumberFormat="1" applyFont="1" applyFill="1" applyBorder="1" applyAlignment="1" applyProtection="1">
      <alignment horizontal="center" vertical="center" wrapText="1"/>
    </xf>
    <xf numFmtId="0" fontId="59" fillId="6" borderId="2" xfId="0" applyFont="1" applyFill="1" applyBorder="1" applyAlignment="1" applyProtection="1">
      <alignment horizontal="center" vertical="center" wrapText="1"/>
    </xf>
    <xf numFmtId="0" fontId="52" fillId="6" borderId="8"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8" fillId="6" borderId="1" xfId="0" applyFont="1" applyFill="1" applyBorder="1" applyAlignment="1" applyProtection="1">
      <alignment horizontal="left" vertical="center" wrapText="1"/>
    </xf>
    <xf numFmtId="177" fontId="58" fillId="6" borderId="1" xfId="0" applyNumberFormat="1" applyFont="1" applyFill="1" applyBorder="1" applyAlignment="1" applyProtection="1">
      <alignment horizontal="center" vertical="center" wrapText="1"/>
    </xf>
    <xf numFmtId="0" fontId="58" fillId="6" borderId="1" xfId="0" applyFont="1" applyFill="1" applyBorder="1" applyAlignment="1" applyProtection="1">
      <alignment horizontal="center" vertical="center" wrapText="1"/>
    </xf>
    <xf numFmtId="0" fontId="52" fillId="6" borderId="24" xfId="0" applyFont="1" applyFill="1" applyBorder="1" applyAlignment="1" applyProtection="1">
      <alignment horizontal="left" vertical="center" wrapText="1"/>
    </xf>
    <xf numFmtId="177" fontId="58" fillId="0" borderId="1" xfId="0" applyNumberFormat="1" applyFont="1" applyFill="1" applyBorder="1" applyAlignment="1" applyProtection="1">
      <alignment horizontal="center" vertical="center" wrapText="1"/>
      <protection locked="0"/>
    </xf>
    <xf numFmtId="49" fontId="57" fillId="6" borderId="23" xfId="0" applyNumberFormat="1" applyFont="1" applyFill="1" applyBorder="1" applyAlignment="1" applyProtection="1">
      <alignment horizontal="left" vertical="center" wrapText="1"/>
    </xf>
    <xf numFmtId="0" fontId="59" fillId="6" borderId="1" xfId="0" applyFont="1" applyFill="1" applyBorder="1" applyAlignment="1" applyProtection="1">
      <alignment horizontal="left" vertical="center" wrapText="1"/>
    </xf>
    <xf numFmtId="0" fontId="59" fillId="0" borderId="1" xfId="0" applyFont="1" applyFill="1" applyBorder="1" applyAlignment="1" applyProtection="1">
      <alignment horizontal="center" vertical="center" wrapText="1"/>
      <protection locked="0"/>
    </xf>
    <xf numFmtId="0" fontId="59" fillId="6" borderId="1" xfId="0" applyFont="1" applyFill="1" applyBorder="1" applyAlignment="1" applyProtection="1">
      <alignment horizontal="center" vertical="center" wrapText="1"/>
    </xf>
    <xf numFmtId="177" fontId="59" fillId="6" borderId="1" xfId="0" applyNumberFormat="1" applyFont="1" applyFill="1" applyBorder="1" applyAlignment="1" applyProtection="1">
      <alignment horizontal="center" vertical="center" wrapText="1"/>
    </xf>
    <xf numFmtId="49" fontId="57" fillId="6" borderId="25" xfId="0" applyNumberFormat="1" applyFont="1" applyFill="1" applyBorder="1" applyAlignment="1" applyProtection="1">
      <alignment horizontal="left" vertical="center" wrapText="1"/>
    </xf>
    <xf numFmtId="0" fontId="59" fillId="6" borderId="32" xfId="0" applyFont="1" applyFill="1" applyBorder="1" applyAlignment="1" applyProtection="1">
      <alignment horizontal="left" vertical="center" wrapText="1"/>
    </xf>
    <xf numFmtId="177" fontId="59" fillId="6" borderId="32" xfId="0" applyNumberFormat="1" applyFont="1" applyFill="1" applyBorder="1" applyAlignment="1" applyProtection="1">
      <alignment horizontal="center" vertical="center" wrapText="1"/>
    </xf>
    <xf numFmtId="10" fontId="58" fillId="6" borderId="32" xfId="0" applyNumberFormat="1" applyFont="1" applyFill="1" applyBorder="1" applyAlignment="1" applyProtection="1">
      <alignment horizontal="center" vertical="center" wrapText="1"/>
    </xf>
    <xf numFmtId="0" fontId="52" fillId="6" borderId="49" xfId="0" applyFont="1" applyFill="1" applyBorder="1" applyAlignment="1" applyProtection="1">
      <alignment horizontal="left" vertical="center"/>
    </xf>
    <xf numFmtId="0" fontId="52" fillId="6" borderId="28" xfId="0" applyFont="1" applyFill="1" applyBorder="1" applyAlignment="1" applyProtection="1">
      <alignment horizontal="left" vertical="center" wrapText="1"/>
    </xf>
    <xf numFmtId="0" fontId="52" fillId="6" borderId="20" xfId="0"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49" fontId="52" fillId="6" borderId="23" xfId="0" applyNumberFormat="1" applyFont="1" applyFill="1" applyBorder="1" applyAlignment="1" applyProtection="1">
      <alignment vertical="center" wrapText="1"/>
    </xf>
    <xf numFmtId="0" fontId="58" fillId="0" borderId="1" xfId="0" applyFont="1" applyFill="1" applyBorder="1" applyAlignment="1" applyProtection="1">
      <alignment horizontal="center" vertical="center" wrapText="1"/>
      <protection locked="0"/>
    </xf>
    <xf numFmtId="0" fontId="49" fillId="6" borderId="1" xfId="2" applyFont="1" applyFill="1" applyBorder="1" applyAlignment="1" applyProtection="1">
      <alignment horizontal="left" vertical="center" wrapText="1"/>
    </xf>
    <xf numFmtId="177" fontId="58" fillId="0" borderId="24" xfId="0" applyNumberFormat="1" applyFont="1" applyFill="1" applyBorder="1" applyAlignment="1" applyProtection="1">
      <alignment horizontal="center" vertical="center" wrapText="1"/>
      <protection locked="0"/>
    </xf>
    <xf numFmtId="0" fontId="58" fillId="6" borderId="2" xfId="0" applyFont="1" applyFill="1" applyBorder="1" applyAlignment="1" applyProtection="1">
      <alignment horizontal="left" vertical="center" wrapText="1"/>
    </xf>
    <xf numFmtId="9" fontId="49" fillId="6" borderId="0" xfId="0" applyNumberFormat="1" applyFont="1" applyFill="1" applyBorder="1" applyAlignment="1" applyProtection="1">
      <alignment horizontal="center" vertical="center"/>
    </xf>
    <xf numFmtId="10" fontId="58" fillId="6" borderId="1" xfId="0" applyNumberFormat="1" applyFont="1" applyFill="1" applyBorder="1" applyAlignment="1" applyProtection="1">
      <alignment horizontal="center" vertical="center" wrapText="1"/>
    </xf>
    <xf numFmtId="0" fontId="49" fillId="6" borderId="54" xfId="0" applyFont="1" applyFill="1" applyBorder="1" applyAlignment="1" applyProtection="1">
      <alignment horizontal="left" vertical="center"/>
    </xf>
    <xf numFmtId="191" fontId="58" fillId="6" borderId="1" xfId="0" applyNumberFormat="1" applyFont="1" applyFill="1" applyBorder="1" applyAlignment="1" applyProtection="1">
      <alignment horizontal="center" vertical="center" wrapText="1"/>
    </xf>
    <xf numFmtId="10" fontId="57" fillId="6" borderId="5" xfId="0" applyNumberFormat="1" applyFont="1" applyFill="1" applyBorder="1" applyAlignment="1" applyProtection="1">
      <alignment horizontal="center" vertical="center" wrapText="1"/>
    </xf>
    <xf numFmtId="181" fontId="59" fillId="6" borderId="1" xfId="0" applyNumberFormat="1"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58" fillId="6" borderId="32" xfId="0" applyFont="1" applyFill="1" applyBorder="1" applyAlignment="1" applyProtection="1">
      <alignment horizontal="center" vertical="center" wrapText="1"/>
    </xf>
    <xf numFmtId="0" fontId="52" fillId="6" borderId="33" xfId="0" applyFont="1" applyFill="1" applyBorder="1" applyAlignment="1" applyProtection="1">
      <alignment horizontal="left" vertical="center"/>
    </xf>
    <xf numFmtId="0" fontId="52" fillId="6" borderId="52" xfId="0" applyFont="1" applyFill="1" applyBorder="1" applyAlignment="1" applyProtection="1">
      <alignment horizontal="left" vertical="center" wrapText="1"/>
    </xf>
    <xf numFmtId="0" fontId="49" fillId="6" borderId="68" xfId="2" applyFont="1" applyFill="1" applyBorder="1" applyAlignment="1" applyProtection="1">
      <alignment horizontal="left" vertical="center" wrapText="1"/>
    </xf>
    <xf numFmtId="0" fontId="52" fillId="6" borderId="21" xfId="2" applyFont="1" applyFill="1" applyBorder="1" applyAlignment="1" applyProtection="1">
      <alignment horizontal="left" vertical="center" wrapText="1"/>
    </xf>
    <xf numFmtId="0" fontId="52" fillId="6" borderId="48" xfId="2" applyFont="1" applyFill="1" applyBorder="1" applyAlignment="1" applyProtection="1">
      <alignment horizontal="left" vertical="center" wrapText="1"/>
    </xf>
    <xf numFmtId="0" fontId="58" fillId="6" borderId="5" xfId="0" applyFont="1" applyFill="1" applyBorder="1" applyAlignment="1" applyProtection="1">
      <alignment horizontal="center" vertical="center" wrapText="1"/>
    </xf>
    <xf numFmtId="191" fontId="58" fillId="0" borderId="1" xfId="0" applyNumberFormat="1" applyFont="1" applyFill="1" applyBorder="1" applyAlignment="1" applyProtection="1">
      <alignment horizontal="center" vertical="center" wrapText="1"/>
      <protection locked="0"/>
    </xf>
    <xf numFmtId="10" fontId="52" fillId="6" borderId="5" xfId="0" applyNumberFormat="1" applyFont="1" applyFill="1" applyBorder="1" applyAlignment="1" applyProtection="1">
      <alignment horizontal="left" vertical="center"/>
    </xf>
    <xf numFmtId="0" fontId="60" fillId="6" borderId="0" xfId="0" applyFont="1" applyFill="1" applyBorder="1" applyAlignment="1" applyProtection="1">
      <alignment horizontal="left" vertical="center"/>
    </xf>
    <xf numFmtId="0" fontId="52" fillId="6" borderId="68" xfId="2" applyFont="1" applyFill="1" applyBorder="1" applyAlignment="1" applyProtection="1">
      <alignment horizontal="left" vertical="center" wrapText="1"/>
    </xf>
    <xf numFmtId="0" fontId="109" fillId="6" borderId="51" xfId="1" applyFont="1" applyFill="1" applyBorder="1" applyAlignment="1" applyProtection="1">
      <alignment vertical="center"/>
    </xf>
    <xf numFmtId="0" fontId="62" fillId="6" borderId="20" xfId="1" applyFont="1" applyFill="1" applyBorder="1" applyAlignment="1" applyProtection="1">
      <alignment vertical="center"/>
    </xf>
    <xf numFmtId="0" fontId="62" fillId="6" borderId="19" xfId="1" applyFont="1" applyFill="1" applyBorder="1" applyAlignment="1" applyProtection="1">
      <alignment vertical="center"/>
    </xf>
    <xf numFmtId="0" fontId="62" fillId="6" borderId="0" xfId="1" applyFont="1" applyFill="1" applyBorder="1" applyAlignment="1" applyProtection="1">
      <alignment vertical="center"/>
    </xf>
    <xf numFmtId="0" fontId="63" fillId="3" borderId="0" xfId="0" applyFont="1" applyFill="1" applyAlignment="1" applyProtection="1">
      <alignment vertical="center"/>
      <protection locked="0"/>
    </xf>
    <xf numFmtId="0" fontId="62" fillId="6" borderId="1" xfId="1" applyFont="1" applyFill="1" applyBorder="1" applyAlignment="1" applyProtection="1">
      <alignment vertical="center"/>
    </xf>
    <xf numFmtId="177" fontId="62" fillId="6" borderId="1" xfId="1" applyNumberFormat="1" applyFont="1" applyFill="1" applyBorder="1" applyAlignment="1" applyProtection="1">
      <alignment horizontal="right" vertical="center"/>
    </xf>
    <xf numFmtId="0" fontId="62" fillId="6" borderId="13" xfId="1" applyFont="1" applyFill="1" applyBorder="1" applyAlignment="1" applyProtection="1">
      <alignment vertical="center"/>
    </xf>
    <xf numFmtId="0" fontId="62" fillId="6" borderId="13" xfId="1" applyFont="1" applyFill="1" applyBorder="1" applyAlignment="1" applyProtection="1">
      <alignment horizontal="right" vertical="center"/>
    </xf>
    <xf numFmtId="49" fontId="62" fillId="6" borderId="51" xfId="1" applyNumberFormat="1" applyFont="1" applyFill="1" applyBorder="1" applyAlignment="1" applyProtection="1"/>
    <xf numFmtId="49" fontId="62" fillId="6" borderId="20" xfId="1" applyNumberFormat="1" applyFont="1" applyFill="1" applyBorder="1" applyAlignment="1" applyProtection="1"/>
    <xf numFmtId="49" fontId="62" fillId="6" borderId="21" xfId="1" applyNumberFormat="1" applyFont="1" applyFill="1" applyBorder="1" applyAlignment="1" applyProtection="1"/>
    <xf numFmtId="0" fontId="62" fillId="3" borderId="0" xfId="0" applyFont="1" applyFill="1" applyAlignment="1" applyProtection="1">
      <alignment vertical="center"/>
      <protection locked="0"/>
    </xf>
    <xf numFmtId="0" fontId="59" fillId="6" borderId="23" xfId="1" applyFont="1" applyFill="1" applyBorder="1" applyAlignment="1" applyProtection="1">
      <alignment horizontal="left"/>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9" fillId="6" borderId="1" xfId="1" applyFont="1" applyFill="1" applyBorder="1" applyAlignment="1" applyProtection="1">
      <alignment horizontal="center"/>
    </xf>
    <xf numFmtId="0" fontId="59" fillId="6" borderId="24" xfId="1" applyFont="1" applyFill="1" applyBorder="1" applyAlignment="1" applyProtection="1">
      <alignment horizontal="left"/>
    </xf>
    <xf numFmtId="0" fontId="59" fillId="3" borderId="0" xfId="0" applyFont="1" applyFill="1" applyAlignment="1" applyProtection="1">
      <alignment vertical="center"/>
      <protection locked="0"/>
    </xf>
    <xf numFmtId="0" fontId="58" fillId="6" borderId="5" xfId="1" applyFont="1" applyFill="1" applyBorder="1" applyAlignment="1" applyProtection="1"/>
    <xf numFmtId="177" fontId="58" fillId="0" borderId="1" xfId="1" applyNumberFormat="1" applyFont="1" applyFill="1" applyBorder="1" applyAlignment="1" applyProtection="1">
      <alignment horizontal="center"/>
      <protection locked="0"/>
    </xf>
    <xf numFmtId="179" fontId="58" fillId="6" borderId="1" xfId="1" applyNumberFormat="1" applyFont="1" applyFill="1" applyBorder="1" applyAlignment="1" applyProtection="1">
      <alignment horizontal="center"/>
    </xf>
    <xf numFmtId="0" fontId="58" fillId="6" borderId="1" xfId="1" applyFont="1" applyFill="1" applyBorder="1" applyAlignment="1" applyProtection="1">
      <alignment horizontal="center"/>
    </xf>
    <xf numFmtId="0" fontId="58" fillId="6" borderId="24" xfId="1" applyFont="1" applyFill="1" applyBorder="1" applyAlignment="1" applyProtection="1">
      <alignment horizontal="left"/>
    </xf>
    <xf numFmtId="177" fontId="58" fillId="6" borderId="1" xfId="1" applyNumberFormat="1" applyFont="1" applyFill="1" applyBorder="1" applyAlignment="1" applyProtection="1">
      <alignment horizontal="center"/>
    </xf>
    <xf numFmtId="10" fontId="58" fillId="6" borderId="1" xfId="1" applyNumberFormat="1" applyFont="1" applyFill="1" applyBorder="1" applyAlignment="1" applyProtection="1">
      <alignment horizontal="center"/>
    </xf>
    <xf numFmtId="177" fontId="58" fillId="6" borderId="1" xfId="1" applyNumberFormat="1" applyFont="1" applyFill="1" applyBorder="1" applyAlignment="1" applyProtection="1"/>
    <xf numFmtId="0" fontId="59" fillId="0" borderId="0" xfId="0" applyFont="1" applyFill="1" applyAlignment="1" applyProtection="1">
      <alignment vertical="center"/>
      <protection locked="0"/>
    </xf>
    <xf numFmtId="0" fontId="64" fillId="6" borderId="5" xfId="1" applyFont="1" applyFill="1" applyBorder="1" applyAlignment="1" applyProtection="1"/>
    <xf numFmtId="177" fontId="64" fillId="6" borderId="1" xfId="1" applyNumberFormat="1" applyFont="1" applyFill="1" applyBorder="1" applyAlignment="1" applyProtection="1">
      <alignment horizontal="center"/>
    </xf>
    <xf numFmtId="0" fontId="58" fillId="6" borderId="24" xfId="1" applyFont="1" applyFill="1" applyBorder="1" applyAlignment="1" applyProtection="1">
      <alignment vertical="center" wrapText="1"/>
    </xf>
    <xf numFmtId="0" fontId="58" fillId="6" borderId="23" xfId="1" applyFont="1" applyFill="1" applyBorder="1" applyAlignment="1" applyProtection="1">
      <alignment horizontal="left"/>
    </xf>
    <xf numFmtId="0" fontId="58" fillId="6" borderId="0" xfId="1" applyFont="1" applyFill="1" applyBorder="1" applyAlignment="1" applyProtection="1">
      <alignment horizontal="center"/>
    </xf>
    <xf numFmtId="0" fontId="58" fillId="6" borderId="1" xfId="0" applyFont="1" applyFill="1" applyBorder="1" applyProtection="1">
      <alignment vertical="center"/>
    </xf>
    <xf numFmtId="179" fontId="59" fillId="6" borderId="1" xfId="1" applyNumberFormat="1" applyFont="1" applyFill="1" applyBorder="1" applyAlignment="1" applyProtection="1">
      <alignment horizontal="center"/>
    </xf>
    <xf numFmtId="9" fontId="59" fillId="6" borderId="5" xfId="1" applyNumberFormat="1" applyFont="1" applyFill="1" applyBorder="1" applyAlignment="1" applyProtection="1">
      <alignment horizontal="center"/>
    </xf>
    <xf numFmtId="0" fontId="59" fillId="6" borderId="1" xfId="0" applyFont="1" applyFill="1" applyBorder="1" applyAlignment="1" applyProtection="1">
      <alignment horizontal="center" vertical="center"/>
    </xf>
    <xf numFmtId="10" fontId="59" fillId="6" borderId="5" xfId="1" applyNumberFormat="1" applyFont="1" applyFill="1" applyBorder="1" applyAlignment="1" applyProtection="1">
      <alignment horizontal="center"/>
    </xf>
    <xf numFmtId="0" fontId="59" fillId="6" borderId="24" xfId="0" applyFont="1" applyFill="1" applyBorder="1" applyAlignment="1" applyProtection="1">
      <alignment vertical="center"/>
    </xf>
    <xf numFmtId="0" fontId="59" fillId="6" borderId="1" xfId="0" applyFont="1" applyFill="1" applyBorder="1" applyAlignment="1" applyProtection="1">
      <alignment horizontal="right" vertical="center"/>
    </xf>
    <xf numFmtId="0" fontId="59" fillId="6" borderId="1" xfId="0" applyFont="1" applyFill="1" applyBorder="1" applyAlignment="1" applyProtection="1">
      <alignment horizontal="left" vertical="center"/>
    </xf>
    <xf numFmtId="10" fontId="59" fillId="6" borderId="5" xfId="1" applyNumberFormat="1" applyFont="1" applyFill="1" applyBorder="1" applyAlignment="1" applyProtection="1">
      <alignment horizontal="center" vertical="center"/>
    </xf>
    <xf numFmtId="0" fontId="58" fillId="6" borderId="1" xfId="0" applyFont="1" applyFill="1" applyBorder="1" applyAlignment="1" applyProtection="1">
      <alignment horizontal="center" vertical="center"/>
    </xf>
    <xf numFmtId="179" fontId="58" fillId="6" borderId="5" xfId="1" applyNumberFormat="1" applyFont="1" applyFill="1" applyBorder="1" applyAlignment="1" applyProtection="1">
      <alignment horizontal="center" vertical="center"/>
    </xf>
    <xf numFmtId="0" fontId="58" fillId="6" borderId="24" xfId="0" applyFont="1" applyFill="1" applyBorder="1" applyAlignment="1" applyProtection="1">
      <alignment vertical="center"/>
    </xf>
    <xf numFmtId="0" fontId="59" fillId="6" borderId="1" xfId="0" applyFont="1" applyFill="1" applyBorder="1" applyAlignment="1" applyProtection="1">
      <alignment vertical="center"/>
    </xf>
    <xf numFmtId="0" fontId="58" fillId="6" borderId="61" xfId="0" applyFont="1" applyFill="1" applyBorder="1" applyAlignment="1" applyProtection="1">
      <alignment vertical="center" wrapText="1"/>
    </xf>
    <xf numFmtId="0" fontId="58" fillId="6" borderId="8" xfId="0" applyFont="1" applyFill="1" applyBorder="1" applyAlignment="1" applyProtection="1">
      <alignment vertical="center"/>
    </xf>
    <xf numFmtId="0" fontId="59" fillId="6" borderId="5" xfId="1" applyFont="1" applyFill="1" applyBorder="1" applyAlignment="1" applyProtection="1">
      <alignment vertical="center"/>
    </xf>
    <xf numFmtId="177" fontId="59" fillId="6" borderId="1" xfId="1" applyNumberFormat="1" applyFont="1" applyFill="1" applyBorder="1" applyAlignment="1" applyProtection="1">
      <alignment horizontal="center" vertical="center"/>
    </xf>
    <xf numFmtId="9" fontId="59" fillId="6" borderId="5" xfId="1" applyNumberFormat="1" applyFont="1" applyFill="1" applyBorder="1" applyAlignment="1" applyProtection="1">
      <alignment horizontal="center" vertical="center"/>
    </xf>
    <xf numFmtId="0" fontId="59" fillId="6" borderId="24" xfId="0" applyFont="1" applyFill="1" applyBorder="1" applyAlignment="1" applyProtection="1">
      <alignment vertical="center" wrapText="1"/>
    </xf>
    <xf numFmtId="0" fontId="58" fillId="6" borderId="5" xfId="1" applyFont="1" applyFill="1" applyBorder="1" applyAlignment="1" applyProtection="1">
      <alignment horizontal="left"/>
    </xf>
    <xf numFmtId="177" fontId="58" fillId="6" borderId="1" xfId="1" applyNumberFormat="1" applyFont="1" applyFill="1" applyBorder="1" applyAlignment="1" applyProtection="1">
      <alignment horizontal="center" vertical="center"/>
    </xf>
    <xf numFmtId="9" fontId="59" fillId="6" borderId="1" xfId="1" applyNumberFormat="1" applyFont="1" applyFill="1" applyBorder="1" applyAlignment="1" applyProtection="1">
      <alignment horizontal="center"/>
    </xf>
    <xf numFmtId="0" fontId="58" fillId="3" borderId="0" xfId="0" applyFont="1" applyFill="1" applyAlignment="1" applyProtection="1">
      <alignment vertical="center"/>
      <protection locked="0"/>
    </xf>
    <xf numFmtId="49" fontId="62" fillId="6" borderId="37" xfId="1" applyNumberFormat="1" applyFont="1" applyFill="1" applyBorder="1" applyAlignment="1" applyProtection="1"/>
    <xf numFmtId="49" fontId="62" fillId="6" borderId="54" xfId="1" applyNumberFormat="1" applyFont="1" applyFill="1" applyBorder="1" applyAlignment="1" applyProtection="1"/>
    <xf numFmtId="49" fontId="62" fillId="6" borderId="48" xfId="1" applyNumberFormat="1" applyFont="1" applyFill="1" applyBorder="1" applyAlignment="1" applyProtection="1"/>
    <xf numFmtId="49" fontId="59" fillId="6" borderId="23" xfId="1" applyNumberFormat="1" applyFont="1" applyFill="1" applyBorder="1" applyAlignment="1" applyProtection="1">
      <alignment horizontal="left"/>
    </xf>
    <xf numFmtId="177" fontId="59" fillId="6" borderId="1" xfId="0" applyNumberFormat="1" applyFont="1" applyFill="1" applyBorder="1" applyAlignment="1" applyProtection="1">
      <alignment horizontal="center" vertical="center"/>
    </xf>
    <xf numFmtId="181" fontId="59" fillId="6" borderId="5" xfId="1" applyNumberFormat="1" applyFont="1" applyFill="1" applyBorder="1" applyAlignment="1" applyProtection="1">
      <alignment horizontal="center"/>
    </xf>
    <xf numFmtId="0" fontId="58" fillId="0" borderId="0" xfId="0" applyFont="1" applyFill="1" applyAlignment="1" applyProtection="1">
      <alignment vertical="center"/>
      <protection locked="0"/>
    </xf>
    <xf numFmtId="10" fontId="58" fillId="6" borderId="5" xfId="1" applyNumberFormat="1" applyFont="1" applyFill="1" applyBorder="1" applyAlignment="1" applyProtection="1">
      <alignment horizontal="center"/>
    </xf>
    <xf numFmtId="0" fontId="58" fillId="6" borderId="24" xfId="0" applyFont="1" applyFill="1" applyBorder="1" applyAlignment="1" applyProtection="1">
      <alignment vertical="center" wrapText="1"/>
    </xf>
    <xf numFmtId="0" fontId="58" fillId="6" borderId="24" xfId="1" applyFont="1" applyFill="1" applyBorder="1" applyAlignment="1" applyProtection="1">
      <alignment horizontal="left" vertical="center"/>
    </xf>
    <xf numFmtId="10" fontId="59" fillId="6" borderId="1" xfId="0" applyNumberFormat="1" applyFont="1" applyFill="1" applyBorder="1" applyAlignment="1" applyProtection="1">
      <alignment horizontal="right" vertical="center"/>
    </xf>
    <xf numFmtId="185" fontId="59" fillId="6" borderId="1" xfId="0" applyNumberFormat="1" applyFont="1" applyFill="1" applyBorder="1" applyAlignment="1" applyProtection="1">
      <alignment horizontal="right" vertical="center"/>
    </xf>
    <xf numFmtId="10" fontId="59" fillId="6" borderId="1" xfId="1" applyNumberFormat="1" applyFont="1" applyFill="1" applyBorder="1" applyAlignment="1" applyProtection="1">
      <alignment horizontal="center" vertical="center"/>
    </xf>
    <xf numFmtId="49" fontId="62" fillId="6" borderId="38" xfId="1" applyNumberFormat="1" applyFont="1" applyFill="1" applyBorder="1" applyAlignment="1" applyProtection="1"/>
    <xf numFmtId="49" fontId="62" fillId="6" borderId="52" xfId="1" applyNumberFormat="1" applyFont="1" applyFill="1" applyBorder="1" applyAlignment="1" applyProtection="1"/>
    <xf numFmtId="177" fontId="59" fillId="6" borderId="32" xfId="0" applyNumberFormat="1" applyFont="1" applyFill="1" applyBorder="1" applyAlignment="1" applyProtection="1">
      <alignment horizontal="center" vertical="center"/>
    </xf>
    <xf numFmtId="49" fontId="62" fillId="6" borderId="68" xfId="1" applyNumberFormat="1" applyFont="1" applyFill="1" applyBorder="1" applyAlignment="1" applyProtection="1"/>
    <xf numFmtId="0" fontId="58" fillId="3" borderId="0" xfId="0" applyFont="1" applyFill="1" applyAlignment="1" applyProtection="1">
      <alignment horizontal="left" vertical="center"/>
      <protection locked="0"/>
    </xf>
    <xf numFmtId="0" fontId="65" fillId="6" borderId="1" xfId="0" applyFont="1" applyFill="1" applyBorder="1" applyAlignment="1" applyProtection="1">
      <alignment horizontal="left"/>
    </xf>
    <xf numFmtId="0" fontId="63" fillId="6" borderId="1" xfId="0" applyFont="1" applyFill="1" applyBorder="1" applyAlignment="1" applyProtection="1">
      <alignment horizontal="center" vertical="center"/>
    </xf>
    <xf numFmtId="0" fontId="58" fillId="3" borderId="0" xfId="0" applyFont="1" applyFill="1" applyAlignment="1" applyProtection="1">
      <alignment horizontal="center" vertical="center"/>
      <protection locked="0"/>
    </xf>
    <xf numFmtId="0" fontId="52" fillId="6" borderId="1" xfId="0" applyFont="1" applyFill="1" applyBorder="1" applyAlignment="1" applyProtection="1"/>
    <xf numFmtId="181" fontId="58" fillId="6" borderId="1" xfId="0" applyNumberFormat="1" applyFont="1" applyFill="1" applyBorder="1" applyAlignment="1" applyProtection="1">
      <alignment horizontal="center"/>
    </xf>
    <xf numFmtId="181" fontId="52" fillId="6" borderId="1" xfId="0" applyNumberFormat="1" applyFont="1" applyFill="1" applyBorder="1" applyAlignment="1" applyProtection="1">
      <alignment horizontal="center"/>
    </xf>
    <xf numFmtId="0" fontId="50" fillId="6" borderId="0" xfId="1" applyFont="1" applyFill="1" applyBorder="1" applyAlignment="1" applyProtection="1">
      <alignment vertical="center"/>
    </xf>
    <xf numFmtId="176" fontId="107" fillId="6" borderId="1" xfId="0" applyNumberFormat="1" applyFont="1" applyFill="1" applyBorder="1" applyAlignment="1" applyProtection="1">
      <alignment horizontal="center" vertical="center"/>
    </xf>
    <xf numFmtId="176" fontId="107" fillId="6" borderId="24" xfId="0" applyNumberFormat="1" applyFont="1" applyFill="1" applyBorder="1" applyAlignment="1" applyProtection="1">
      <alignment horizontal="center" vertical="center"/>
    </xf>
    <xf numFmtId="177" fontId="52" fillId="6"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right" vertical="center"/>
    </xf>
    <xf numFmtId="177" fontId="51" fillId="6" borderId="1" xfId="1" applyNumberFormat="1" applyFont="1" applyFill="1" applyBorder="1" applyAlignment="1" applyProtection="1">
      <alignment vertical="center"/>
    </xf>
    <xf numFmtId="177" fontId="51" fillId="6" borderId="54" xfId="1" applyNumberFormat="1" applyFont="1" applyFill="1" applyBorder="1" applyAlignment="1" applyProtection="1">
      <alignment vertical="center"/>
    </xf>
    <xf numFmtId="10" fontId="51" fillId="6" borderId="13" xfId="0" applyNumberFormat="1" applyFont="1" applyFill="1" applyBorder="1" applyAlignment="1" applyProtection="1">
      <alignment horizontal="center" vertical="center"/>
    </xf>
    <xf numFmtId="187" fontId="52" fillId="6" borderId="1" xfId="0" applyNumberFormat="1" applyFont="1" applyFill="1" applyBorder="1" applyAlignment="1" applyProtection="1">
      <alignment horizontal="center" vertical="center"/>
    </xf>
    <xf numFmtId="177" fontId="52" fillId="6" borderId="54" xfId="1" applyNumberFormat="1" applyFont="1" applyFill="1" applyBorder="1" applyAlignment="1" applyProtection="1">
      <alignment vertical="center"/>
    </xf>
    <xf numFmtId="10" fontId="52" fillId="6" borderId="13" xfId="0" applyNumberFormat="1" applyFont="1" applyFill="1" applyBorder="1" applyAlignment="1" applyProtection="1">
      <alignment horizontal="center" vertical="center"/>
    </xf>
    <xf numFmtId="177" fontId="51" fillId="6" borderId="3" xfId="0" applyNumberFormat="1" applyFont="1" applyFill="1" applyBorder="1" applyAlignment="1" applyProtection="1">
      <alignment horizontal="center" vertical="center" wrapText="1"/>
    </xf>
    <xf numFmtId="10" fontId="51" fillId="6" borderId="1" xfId="0" applyNumberFormat="1" applyFont="1" applyFill="1" applyBorder="1" applyAlignment="1" applyProtection="1">
      <alignment horizontal="center" vertical="center" wrapText="1"/>
    </xf>
    <xf numFmtId="0" fontId="54" fillId="3" borderId="0" xfId="0" applyFont="1" applyFill="1" applyAlignment="1" applyProtection="1">
      <alignment vertical="center" wrapText="1"/>
      <protection locked="0"/>
    </xf>
    <xf numFmtId="10" fontId="52" fillId="6" borderId="1" xfId="0" applyNumberFormat="1" applyFont="1" applyFill="1" applyBorder="1" applyAlignment="1" applyProtection="1">
      <alignment horizontal="center" vertical="center" wrapText="1"/>
    </xf>
    <xf numFmtId="0" fontId="53" fillId="3" borderId="0" xfId="0" applyFont="1" applyFill="1" applyAlignment="1" applyProtection="1">
      <alignment vertical="center" wrapText="1"/>
      <protection locked="0"/>
    </xf>
    <xf numFmtId="177" fontId="52" fillId="6" borderId="1" xfId="0" applyNumberFormat="1" applyFont="1" applyFill="1" applyBorder="1" applyAlignment="1" applyProtection="1">
      <alignment horizontal="center" vertical="center" wrapText="1"/>
    </xf>
    <xf numFmtId="0" fontId="68" fillId="0" borderId="0" xfId="0" applyFont="1" applyFill="1" applyAlignment="1" applyProtection="1">
      <alignment vertical="center"/>
      <protection locked="0"/>
    </xf>
    <xf numFmtId="0" fontId="50" fillId="6" borderId="1" xfId="0" applyFont="1" applyFill="1" applyBorder="1" applyAlignment="1" applyProtection="1">
      <alignment horizontal="center" vertical="center"/>
    </xf>
    <xf numFmtId="49" fontId="67" fillId="6" borderId="0" xfId="0" applyNumberFormat="1" applyFont="1" applyFill="1" applyBorder="1" applyAlignment="1" applyProtection="1">
      <alignment horizontal="center"/>
    </xf>
    <xf numFmtId="49" fontId="52" fillId="6" borderId="6" xfId="0" applyNumberFormat="1" applyFont="1" applyFill="1" applyBorder="1" applyAlignment="1" applyProtection="1">
      <alignment horizontal="center" vertical="center"/>
    </xf>
    <xf numFmtId="0" fontId="52" fillId="6" borderId="9" xfId="0" applyFont="1" applyFill="1" applyBorder="1" applyAlignment="1" applyProtection="1">
      <alignment horizontal="center" vertical="center"/>
    </xf>
    <xf numFmtId="0" fontId="52" fillId="6" borderId="28" xfId="0" applyFont="1" applyFill="1" applyBorder="1" applyAlignment="1" applyProtection="1">
      <alignment horizontal="right" vertical="center"/>
    </xf>
    <xf numFmtId="0" fontId="52" fillId="6" borderId="21" xfId="0" applyFont="1" applyFill="1" applyBorder="1" applyAlignment="1" applyProtection="1">
      <alignment horizontal="center" vertical="center"/>
    </xf>
    <xf numFmtId="49" fontId="57" fillId="6" borderId="11" xfId="0" applyNumberFormat="1" applyFont="1" applyFill="1" applyBorder="1" applyAlignment="1" applyProtection="1">
      <alignment vertical="center"/>
    </xf>
    <xf numFmtId="0" fontId="57" fillId="6" borderId="13" xfId="0" applyFont="1" applyFill="1" applyBorder="1" applyAlignment="1" applyProtection="1">
      <alignment vertical="center" wrapText="1"/>
    </xf>
    <xf numFmtId="0" fontId="57" fillId="6" borderId="13" xfId="0" applyFont="1" applyFill="1" applyBorder="1" applyAlignment="1" applyProtection="1">
      <alignment horizontal="center" vertical="center"/>
    </xf>
    <xf numFmtId="0" fontId="52" fillId="6" borderId="1" xfId="0" applyFont="1" applyFill="1" applyBorder="1" applyAlignment="1" applyProtection="1">
      <alignment horizontal="left" vertical="center"/>
    </xf>
    <xf numFmtId="0" fontId="57" fillId="6" borderId="24" xfId="0" applyFont="1" applyFill="1" applyBorder="1" applyAlignment="1" applyProtection="1">
      <alignment horizontal="center" vertical="center"/>
    </xf>
    <xf numFmtId="49" fontId="57" fillId="6" borderId="14" xfId="0" applyNumberFormat="1" applyFont="1" applyFill="1" applyBorder="1" applyAlignment="1" applyProtection="1">
      <alignment vertical="center"/>
    </xf>
    <xf numFmtId="0" fontId="57" fillId="6" borderId="15" xfId="0" applyFont="1" applyFill="1" applyBorder="1" applyAlignment="1" applyProtection="1">
      <alignment vertical="center" wrapText="1"/>
    </xf>
    <xf numFmtId="0" fontId="57" fillId="6" borderId="15" xfId="0" applyFont="1" applyFill="1" applyBorder="1" applyAlignment="1" applyProtection="1">
      <alignment horizontal="center" vertical="center"/>
    </xf>
    <xf numFmtId="0" fontId="52" fillId="6" borderId="15" xfId="0" applyFont="1" applyFill="1" applyBorder="1" applyAlignment="1" applyProtection="1">
      <alignment vertical="center"/>
    </xf>
    <xf numFmtId="49" fontId="57" fillId="6" borderId="41" xfId="0" applyNumberFormat="1" applyFont="1" applyFill="1" applyBorder="1" applyAlignment="1" applyProtection="1">
      <alignment vertical="center"/>
    </xf>
    <xf numFmtId="0" fontId="57" fillId="6" borderId="2" xfId="0" applyFont="1" applyFill="1" applyBorder="1" applyAlignment="1" applyProtection="1">
      <alignment vertical="center" wrapText="1"/>
    </xf>
    <xf numFmtId="0" fontId="57" fillId="6" borderId="2" xfId="0" applyFont="1" applyFill="1" applyBorder="1" applyAlignment="1" applyProtection="1">
      <alignment horizontal="center" vertical="center"/>
    </xf>
    <xf numFmtId="0" fontId="52" fillId="6" borderId="2" xfId="0" applyFont="1" applyFill="1" applyBorder="1" applyAlignment="1" applyProtection="1">
      <alignment vertical="center"/>
    </xf>
    <xf numFmtId="181" fontId="57" fillId="6" borderId="24" xfId="0" applyNumberFormat="1" applyFont="1" applyFill="1" applyBorder="1" applyAlignment="1" applyProtection="1">
      <alignment horizontal="center" vertical="center"/>
    </xf>
    <xf numFmtId="0" fontId="52" fillId="6" borderId="13" xfId="0" applyFont="1" applyFill="1" applyBorder="1" applyAlignment="1" applyProtection="1">
      <alignment horizontal="left" vertical="center"/>
    </xf>
    <xf numFmtId="181" fontId="57" fillId="6" borderId="61" xfId="0" applyNumberFormat="1" applyFont="1" applyFill="1" applyBorder="1" applyAlignment="1" applyProtection="1">
      <alignment horizontal="center" vertical="center"/>
    </xf>
    <xf numFmtId="49" fontId="57" fillId="6" borderId="23" xfId="0" applyNumberFormat="1" applyFont="1" applyFill="1" applyBorder="1" applyAlignment="1" applyProtection="1">
      <alignment horizontal="left" vertical="center"/>
    </xf>
    <xf numFmtId="0" fontId="57" fillId="6" borderId="1" xfId="0" applyFont="1" applyFill="1" applyBorder="1" applyAlignment="1" applyProtection="1">
      <alignment horizontal="center" vertical="center"/>
    </xf>
    <xf numFmtId="181" fontId="52" fillId="6" borderId="61" xfId="0" applyNumberFormat="1" applyFont="1" applyFill="1" applyBorder="1" applyAlignment="1" applyProtection="1">
      <alignment horizontal="center" vertical="center"/>
    </xf>
    <xf numFmtId="0" fontId="107" fillId="6" borderId="5" xfId="0" applyFont="1" applyFill="1" applyBorder="1" applyAlignment="1" applyProtection="1">
      <alignment horizontal="center" vertical="center"/>
    </xf>
    <xf numFmtId="179" fontId="57" fillId="6" borderId="48"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xf>
    <xf numFmtId="181" fontId="52" fillId="6" borderId="8" xfId="0" applyNumberFormat="1" applyFont="1" applyFill="1" applyBorder="1" applyAlignment="1" applyProtection="1">
      <alignment horizontal="center" vertical="center"/>
    </xf>
    <xf numFmtId="181" fontId="52" fillId="6" borderId="24" xfId="0" applyNumberFormat="1" applyFont="1" applyFill="1" applyBorder="1" applyAlignment="1" applyProtection="1">
      <alignment horizontal="center" vertical="center"/>
    </xf>
    <xf numFmtId="181" fontId="52" fillId="6" borderId="48" xfId="0" applyNumberFormat="1" applyFont="1" applyFill="1" applyBorder="1" applyAlignment="1" applyProtection="1">
      <alignment horizontal="center" vertical="center" wrapText="1"/>
    </xf>
    <xf numFmtId="0" fontId="52" fillId="6" borderId="1" xfId="0" applyFont="1" applyFill="1" applyBorder="1" applyAlignment="1" applyProtection="1">
      <alignment vertical="center" wrapText="1"/>
    </xf>
    <xf numFmtId="0" fontId="52" fillId="6" borderId="13" xfId="0" applyFont="1" applyFill="1" applyBorder="1" applyAlignment="1" applyProtection="1">
      <alignment horizontal="left" vertical="center" wrapText="1"/>
    </xf>
    <xf numFmtId="0" fontId="52" fillId="6" borderId="24" xfId="0" applyFont="1" applyFill="1" applyBorder="1" applyAlignment="1" applyProtection="1">
      <alignment horizontal="center"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horizontal="left" vertical="center" wrapText="1"/>
    </xf>
    <xf numFmtId="10" fontId="57" fillId="6" borderId="24" xfId="0" applyNumberFormat="1" applyFont="1" applyFill="1" applyBorder="1" applyAlignment="1" applyProtection="1">
      <alignment horizontal="center" vertical="center"/>
    </xf>
    <xf numFmtId="0" fontId="52" fillId="6" borderId="1" xfId="0" applyFont="1" applyFill="1" applyBorder="1" applyAlignment="1" applyProtection="1">
      <alignment vertical="center"/>
    </xf>
    <xf numFmtId="183" fontId="57" fillId="6" borderId="24" xfId="0" applyNumberFormat="1" applyFont="1" applyFill="1" applyBorder="1" applyAlignment="1" applyProtection="1">
      <alignment horizontal="center" vertical="center"/>
    </xf>
    <xf numFmtId="10" fontId="52" fillId="6" borderId="24" xfId="0" applyNumberFormat="1" applyFont="1" applyFill="1" applyBorder="1" applyAlignment="1" applyProtection="1">
      <alignment horizontal="center" vertical="center"/>
    </xf>
    <xf numFmtId="0" fontId="52" fillId="6" borderId="15" xfId="0" applyFont="1" applyFill="1" applyBorder="1" applyAlignment="1" applyProtection="1">
      <alignment horizontal="left" vertical="center" wrapText="1"/>
    </xf>
    <xf numFmtId="179" fontId="57" fillId="6" borderId="24"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7" fillId="6" borderId="32" xfId="0" applyFont="1" applyFill="1" applyBorder="1" applyAlignment="1" applyProtection="1">
      <alignment horizontal="left" vertical="center"/>
    </xf>
    <xf numFmtId="0" fontId="57" fillId="6" borderId="32" xfId="0" applyFont="1" applyFill="1" applyBorder="1" applyAlignment="1" applyProtection="1">
      <alignment horizontal="center" vertical="center"/>
    </xf>
    <xf numFmtId="0" fontId="52" fillId="6" borderId="32" xfId="0" applyFont="1" applyFill="1" applyBorder="1" applyAlignment="1" applyProtection="1">
      <alignment vertical="center"/>
    </xf>
    <xf numFmtId="0" fontId="52" fillId="6" borderId="32" xfId="0" applyFont="1" applyFill="1" applyBorder="1" applyAlignment="1" applyProtection="1">
      <alignment horizontal="left" vertical="center"/>
    </xf>
    <xf numFmtId="179" fontId="57" fillId="6" borderId="49" xfId="0" applyNumberFormat="1" applyFont="1" applyFill="1" applyBorder="1" applyAlignment="1" applyProtection="1">
      <alignment horizontal="center" vertical="center"/>
    </xf>
    <xf numFmtId="0" fontId="58" fillId="6" borderId="1" xfId="0" applyFont="1" applyFill="1" applyBorder="1" applyAlignment="1" applyProtection="1">
      <alignment horizontal="left"/>
    </xf>
    <xf numFmtId="186" fontId="58" fillId="6" borderId="1" xfId="0" applyNumberFormat="1" applyFont="1" applyFill="1" applyBorder="1" applyAlignment="1" applyProtection="1">
      <alignment horizontal="center"/>
    </xf>
    <xf numFmtId="0" fontId="58" fillId="6" borderId="1" xfId="0" applyFont="1" applyFill="1" applyBorder="1" applyAlignment="1" applyProtection="1">
      <alignment vertical="center" wrapText="1"/>
    </xf>
    <xf numFmtId="181" fontId="57" fillId="6" borderId="1" xfId="0" applyNumberFormat="1" applyFont="1" applyFill="1" applyBorder="1" applyAlignment="1" applyProtection="1">
      <alignment horizontal="center" vertical="center"/>
    </xf>
    <xf numFmtId="0" fontId="110" fillId="6" borderId="1" xfId="0" applyFont="1" applyFill="1" applyBorder="1" applyAlignment="1" applyProtection="1">
      <alignment horizontal="left"/>
    </xf>
    <xf numFmtId="0" fontId="110" fillId="6" borderId="1" xfId="0" applyFont="1" applyFill="1" applyBorder="1" applyAlignment="1" applyProtection="1">
      <alignment horizontal="center"/>
    </xf>
    <xf numFmtId="0" fontId="65" fillId="6" borderId="1" xfId="0" applyFont="1" applyFill="1" applyBorder="1" applyAlignment="1" applyProtection="1">
      <alignment horizontal="center"/>
    </xf>
    <xf numFmtId="0" fontId="63" fillId="0" borderId="0" xfId="0" applyFont="1" applyFill="1" applyAlignment="1" applyProtection="1">
      <alignment horizontal="center" vertical="center"/>
      <protection locked="0"/>
    </xf>
    <xf numFmtId="0" fontId="109" fillId="6" borderId="46" xfId="0" applyFont="1" applyFill="1" applyBorder="1" applyAlignment="1" applyProtection="1">
      <alignment vertical="center"/>
    </xf>
    <xf numFmtId="0" fontId="67" fillId="6" borderId="36" xfId="0" applyFont="1" applyFill="1" applyBorder="1" applyAlignment="1" applyProtection="1">
      <alignment horizontal="right" vertical="center"/>
    </xf>
    <xf numFmtId="0" fontId="67" fillId="6" borderId="0" xfId="0" applyFont="1" applyFill="1" applyAlignment="1" applyProtection="1">
      <alignment horizontal="center" vertical="center"/>
    </xf>
    <xf numFmtId="0" fontId="68" fillId="0" borderId="0" xfId="0" applyFont="1" applyFill="1" applyBorder="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2" fillId="6" borderId="13" xfId="0" applyFont="1" applyFill="1" applyBorder="1" applyAlignment="1" applyProtection="1">
      <alignment horizontal="right" vertical="center"/>
    </xf>
    <xf numFmtId="0" fontId="62" fillId="6" borderId="13" xfId="0" applyFont="1" applyFill="1" applyBorder="1" applyAlignment="1" applyProtection="1">
      <alignment horizontal="center" vertical="center"/>
    </xf>
    <xf numFmtId="0" fontId="55" fillId="6" borderId="16" xfId="0" applyFont="1" applyFill="1" applyBorder="1" applyAlignment="1" applyProtection="1">
      <alignment vertical="center" wrapText="1"/>
    </xf>
    <xf numFmtId="0" fontId="55" fillId="6" borderId="19" xfId="0" applyFont="1" applyFill="1" applyBorder="1" applyAlignment="1" applyProtection="1">
      <alignment vertical="center" wrapText="1"/>
    </xf>
    <xf numFmtId="0" fontId="56" fillId="0" borderId="0" xfId="0" applyFont="1" applyFill="1" applyAlignment="1" applyProtection="1">
      <alignment horizontal="center" vertical="center"/>
      <protection locked="0"/>
    </xf>
    <xf numFmtId="0" fontId="55" fillId="6" borderId="18" xfId="0" applyFont="1" applyFill="1" applyBorder="1" applyAlignment="1" applyProtection="1">
      <alignment vertical="center" wrapText="1"/>
    </xf>
    <xf numFmtId="0" fontId="55" fillId="6" borderId="0" xfId="0" applyFont="1" applyFill="1" applyBorder="1" applyAlignment="1" applyProtection="1">
      <alignment vertical="center" wrapText="1"/>
    </xf>
    <xf numFmtId="0" fontId="55" fillId="6" borderId="42"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1" fillId="6" borderId="63" xfId="0" applyFont="1" applyFill="1" applyBorder="1" applyAlignment="1" applyProtection="1">
      <alignment vertical="center" wrapText="1"/>
    </xf>
    <xf numFmtId="0" fontId="51" fillId="6" borderId="64" xfId="0" applyFont="1" applyFill="1" applyBorder="1" applyAlignment="1" applyProtection="1">
      <alignment vertical="center" wrapText="1"/>
    </xf>
    <xf numFmtId="184" fontId="49" fillId="6" borderId="26" xfId="0" applyNumberFormat="1" applyFont="1" applyFill="1" applyBorder="1" applyAlignment="1" applyProtection="1">
      <alignment horizontal="center" vertical="center" wrapText="1"/>
    </xf>
    <xf numFmtId="0" fontId="49" fillId="6" borderId="67" xfId="0" applyNumberFormat="1" applyFont="1" applyFill="1" applyBorder="1" applyAlignment="1" applyProtection="1">
      <alignment horizontal="center" vertical="center" wrapText="1"/>
    </xf>
    <xf numFmtId="184" fontId="49" fillId="0" borderId="70" xfId="0" applyNumberFormat="1" applyFont="1" applyFill="1" applyBorder="1" applyAlignment="1" applyProtection="1">
      <alignment horizontal="center" vertical="center" wrapText="1"/>
      <protection locked="0"/>
    </xf>
    <xf numFmtId="0" fontId="49" fillId="6" borderId="34" xfId="0" applyNumberFormat="1" applyFont="1" applyFill="1" applyBorder="1" applyAlignment="1" applyProtection="1">
      <alignment horizontal="center" vertical="center" wrapText="1"/>
    </xf>
    <xf numFmtId="49" fontId="49" fillId="2" borderId="26" xfId="0" applyNumberFormat="1" applyFont="1" applyFill="1" applyBorder="1" applyAlignment="1" applyProtection="1">
      <alignment horizontal="center" vertical="center" wrapText="1"/>
      <protection locked="0"/>
    </xf>
    <xf numFmtId="0" fontId="51" fillId="6" borderId="40" xfId="0" applyFont="1" applyFill="1" applyBorder="1" applyAlignment="1" applyProtection="1">
      <alignment vertical="center" wrapText="1"/>
    </xf>
    <xf numFmtId="0" fontId="49" fillId="0" borderId="51" xfId="0" applyNumberFormat="1" applyFont="1" applyFill="1" applyBorder="1" applyAlignment="1" applyProtection="1">
      <alignment horizontal="center" vertical="center" wrapText="1"/>
      <protection locked="0"/>
    </xf>
    <xf numFmtId="49" fontId="49" fillId="2" borderId="30" xfId="0" applyNumberFormat="1" applyFont="1" applyFill="1" applyBorder="1" applyAlignment="1" applyProtection="1">
      <alignment horizontal="center" vertical="center" wrapText="1"/>
      <protection locked="0"/>
    </xf>
    <xf numFmtId="0" fontId="49" fillId="6" borderId="28" xfId="0" applyNumberFormat="1" applyFont="1" applyFill="1" applyBorder="1" applyAlignment="1" applyProtection="1">
      <alignment horizontal="center" vertical="center" wrapText="1"/>
    </xf>
    <xf numFmtId="49" fontId="49" fillId="2" borderId="6" xfId="0" applyNumberFormat="1" applyFont="1" applyFill="1" applyBorder="1" applyAlignment="1" applyProtection="1">
      <alignment horizontal="center" vertical="center" wrapText="1"/>
      <protection locked="0"/>
    </xf>
    <xf numFmtId="0" fontId="49" fillId="0" borderId="1" xfId="0" applyFont="1" applyFill="1" applyBorder="1" applyAlignment="1" applyProtection="1">
      <alignment horizontal="center" vertical="center"/>
      <protection locked="0"/>
    </xf>
    <xf numFmtId="0" fontId="71" fillId="6" borderId="14" xfId="0" applyFont="1" applyFill="1" applyBorder="1" applyAlignment="1" applyProtection="1">
      <alignment vertical="center" wrapText="1"/>
    </xf>
    <xf numFmtId="0" fontId="49" fillId="6" borderId="5" xfId="0" applyFont="1" applyFill="1" applyBorder="1" applyAlignment="1" applyProtection="1">
      <alignment horizontal="center" vertical="center" wrapText="1"/>
    </xf>
    <xf numFmtId="49" fontId="49" fillId="2" borderId="23" xfId="0" applyNumberFormat="1" applyFont="1" applyFill="1" applyBorder="1" applyAlignment="1" applyProtection="1">
      <alignment horizontal="center" vertical="center" wrapText="1"/>
      <protection locked="0"/>
    </xf>
    <xf numFmtId="49" fontId="49" fillId="2" borderId="3" xfId="0" applyNumberFormat="1" applyFont="1" applyFill="1" applyBorder="1" applyAlignment="1" applyProtection="1">
      <alignment horizontal="center" vertical="center" wrapText="1"/>
      <protection locked="0"/>
    </xf>
    <xf numFmtId="0" fontId="49" fillId="6" borderId="5" xfId="0" applyNumberFormat="1" applyFont="1" applyFill="1" applyBorder="1" applyAlignment="1" applyProtection="1">
      <alignment horizontal="center" vertical="center" wrapText="1"/>
    </xf>
    <xf numFmtId="0" fontId="63" fillId="0" borderId="48" xfId="0" applyNumberFormat="1" applyFont="1" applyFill="1" applyBorder="1" applyAlignment="1" applyProtection="1">
      <alignment horizontal="center" vertical="center" wrapText="1"/>
      <protection locked="0"/>
    </xf>
    <xf numFmtId="0" fontId="72" fillId="0" borderId="0" xfId="0" applyFont="1" applyFill="1" applyAlignment="1" applyProtection="1">
      <alignment horizontal="center" vertical="center"/>
      <protection locked="0"/>
    </xf>
    <xf numFmtId="0" fontId="55" fillId="6" borderId="14" xfId="0" applyFont="1" applyFill="1" applyBorder="1" applyAlignment="1" applyProtection="1">
      <alignment vertical="center" wrapText="1"/>
    </xf>
    <xf numFmtId="0" fontId="49" fillId="0" borderId="23" xfId="0" applyNumberFormat="1" applyFont="1" applyFill="1" applyBorder="1" applyAlignment="1" applyProtection="1">
      <alignment horizontal="center" vertical="center" wrapText="1"/>
      <protection locked="0"/>
    </xf>
    <xf numFmtId="0" fontId="49" fillId="0" borderId="3" xfId="0" applyNumberFormat="1" applyFont="1" applyFill="1" applyBorder="1" applyAlignment="1" applyProtection="1">
      <alignment horizontal="center" vertical="center" wrapText="1"/>
      <protection locked="0"/>
    </xf>
    <xf numFmtId="0" fontId="51" fillId="6" borderId="14" xfId="0" applyFont="1" applyFill="1" applyBorder="1" applyAlignment="1" applyProtection="1">
      <alignment vertical="center" wrapText="1"/>
    </xf>
    <xf numFmtId="0" fontId="49" fillId="0" borderId="41" xfId="0" applyNumberFormat="1" applyFont="1" applyFill="1" applyBorder="1" applyAlignment="1" applyProtection="1">
      <alignment horizontal="center" vertical="center" wrapText="1"/>
      <protection locked="0"/>
    </xf>
    <xf numFmtId="0" fontId="49" fillId="6" borderId="71" xfId="0" applyNumberFormat="1" applyFont="1" applyFill="1" applyBorder="1" applyAlignment="1" applyProtection="1">
      <alignment horizontal="center" vertical="center" wrapText="1"/>
    </xf>
    <xf numFmtId="0" fontId="56" fillId="0" borderId="37" xfId="0" applyNumberFormat="1" applyFont="1" applyFill="1" applyBorder="1" applyAlignment="1" applyProtection="1">
      <alignment horizontal="center" vertical="center" wrapText="1"/>
      <protection locked="0"/>
    </xf>
    <xf numFmtId="0" fontId="56" fillId="6" borderId="24" xfId="0" applyNumberFormat="1" applyFont="1" applyFill="1" applyBorder="1" applyAlignment="1" applyProtection="1">
      <alignment horizontal="center" vertical="center" wrapText="1"/>
    </xf>
    <xf numFmtId="0" fontId="55" fillId="6" borderId="12" xfId="0" applyFont="1" applyFill="1" applyBorder="1" applyAlignment="1" applyProtection="1">
      <alignment vertical="center" wrapText="1"/>
    </xf>
    <xf numFmtId="0" fontId="56" fillId="0" borderId="38" xfId="0" applyNumberFormat="1" applyFont="1" applyFill="1" applyBorder="1" applyAlignment="1" applyProtection="1">
      <alignment horizontal="center" vertical="center" wrapText="1"/>
      <protection locked="0"/>
    </xf>
    <xf numFmtId="0" fontId="56" fillId="6" borderId="49" xfId="0" applyNumberFormat="1" applyFont="1" applyFill="1" applyBorder="1" applyAlignment="1" applyProtection="1">
      <alignment horizontal="center" vertical="center" wrapText="1"/>
    </xf>
    <xf numFmtId="0" fontId="56" fillId="6" borderId="33" xfId="0" applyNumberFormat="1" applyFont="1" applyFill="1" applyBorder="1" applyAlignment="1" applyProtection="1">
      <alignment horizontal="center" vertical="center" wrapText="1"/>
    </xf>
    <xf numFmtId="0" fontId="55" fillId="6" borderId="40" xfId="0" applyFont="1" applyFill="1" applyBorder="1" applyAlignment="1" applyProtection="1">
      <alignment vertical="center" wrapText="1"/>
    </xf>
    <xf numFmtId="0" fontId="56" fillId="6" borderId="62" xfId="0" applyNumberFormat="1" applyFont="1" applyFill="1" applyBorder="1" applyAlignment="1" applyProtection="1">
      <alignment horizontal="center" vertical="center" wrapText="1"/>
    </xf>
    <xf numFmtId="49" fontId="56" fillId="0" borderId="39" xfId="0" applyNumberFormat="1" applyFont="1" applyFill="1" applyBorder="1" applyAlignment="1" applyProtection="1">
      <alignment horizontal="center" vertical="center" wrapText="1"/>
      <protection locked="0"/>
    </xf>
    <xf numFmtId="0" fontId="56" fillId="6" borderId="29" xfId="0" applyNumberFormat="1" applyFont="1" applyFill="1" applyBorder="1" applyAlignment="1" applyProtection="1">
      <alignment horizontal="center" vertical="center" wrapText="1"/>
    </xf>
    <xf numFmtId="49" fontId="56" fillId="0" borderId="40" xfId="0" applyNumberFormat="1" applyFont="1" applyFill="1" applyBorder="1" applyAlignment="1" applyProtection="1">
      <alignment horizontal="center" vertical="center" wrapText="1"/>
      <protection locked="0"/>
    </xf>
    <xf numFmtId="0" fontId="63" fillId="0" borderId="72" xfId="0" applyNumberFormat="1" applyFont="1" applyFill="1" applyBorder="1" applyAlignment="1" applyProtection="1">
      <alignment horizontal="center" vertical="center" wrapText="1"/>
      <protection locked="0"/>
    </xf>
    <xf numFmtId="0" fontId="56" fillId="6" borderId="0" xfId="0" applyFont="1" applyFill="1" applyBorder="1" applyAlignment="1" applyProtection="1">
      <alignment horizontal="center" vertical="center"/>
    </xf>
    <xf numFmtId="0" fontId="56" fillId="2" borderId="41" xfId="0" applyNumberFormat="1" applyFont="1" applyFill="1" applyBorder="1" applyAlignment="1" applyProtection="1">
      <alignment horizontal="center" vertical="center" wrapText="1"/>
      <protection locked="0"/>
    </xf>
    <xf numFmtId="0" fontId="56" fillId="6" borderId="8" xfId="0" applyNumberFormat="1" applyFont="1" applyFill="1" applyBorder="1" applyAlignment="1" applyProtection="1">
      <alignment horizontal="center" vertical="center" wrapText="1"/>
    </xf>
    <xf numFmtId="0" fontId="56" fillId="6" borderId="4" xfId="0" applyNumberFormat="1" applyFont="1" applyFill="1" applyBorder="1" applyAlignment="1" applyProtection="1">
      <alignment horizontal="center" vertical="center" wrapText="1"/>
    </xf>
    <xf numFmtId="0" fontId="56" fillId="6" borderId="53" xfId="0" applyNumberFormat="1"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49" fontId="56" fillId="0" borderId="35" xfId="0" applyNumberFormat="1" applyFont="1" applyFill="1" applyBorder="1" applyAlignment="1" applyProtection="1">
      <alignment horizontal="center" vertical="center" wrapText="1"/>
      <protection locked="0"/>
    </xf>
    <xf numFmtId="0" fontId="56" fillId="6" borderId="58" xfId="0" applyNumberFormat="1" applyFont="1" applyFill="1" applyBorder="1" applyAlignment="1" applyProtection="1">
      <alignment horizontal="center" vertical="center" wrapText="1"/>
    </xf>
    <xf numFmtId="49" fontId="56" fillId="0" borderId="14" xfId="0" applyNumberFormat="1" applyFont="1" applyFill="1" applyBorder="1" applyAlignment="1" applyProtection="1">
      <alignment horizontal="center" vertical="center" wrapText="1"/>
      <protection locked="0"/>
    </xf>
    <xf numFmtId="0" fontId="56" fillId="6" borderId="61" xfId="0" applyNumberFormat="1" applyFont="1" applyFill="1" applyBorder="1" applyAlignment="1" applyProtection="1">
      <alignment horizontal="center" vertical="center" wrapText="1"/>
    </xf>
    <xf numFmtId="0" fontId="49" fillId="6" borderId="4" xfId="0" applyFont="1" applyFill="1" applyBorder="1" applyAlignment="1" applyProtection="1">
      <alignment horizontal="center" vertical="center" wrapText="1"/>
    </xf>
    <xf numFmtId="49" fontId="56" fillId="0" borderId="22" xfId="0" applyNumberFormat="1" applyFont="1" applyFill="1" applyBorder="1" applyAlignment="1" applyProtection="1">
      <alignment horizontal="center" vertical="center" wrapText="1"/>
      <protection locked="0"/>
    </xf>
    <xf numFmtId="0" fontId="56" fillId="6" borderId="46" xfId="0" applyNumberFormat="1" applyFont="1" applyFill="1" applyBorder="1" applyAlignment="1" applyProtection="1">
      <alignment horizontal="center" vertical="center" wrapText="1"/>
    </xf>
    <xf numFmtId="49" fontId="56" fillId="0" borderId="11" xfId="0" applyNumberFormat="1" applyFont="1" applyFill="1" applyBorder="1" applyAlignment="1" applyProtection="1">
      <alignment horizontal="center" vertical="center" wrapText="1"/>
      <protection locked="0"/>
    </xf>
    <xf numFmtId="0" fontId="56" fillId="2" borderId="23" xfId="0" applyNumberFormat="1" applyFont="1" applyFill="1" applyBorder="1" applyAlignment="1" applyProtection="1">
      <alignment horizontal="center" vertical="center" wrapText="1"/>
      <protection locked="0"/>
    </xf>
    <xf numFmtId="0" fontId="56" fillId="6" borderId="5" xfId="0" applyNumberFormat="1" applyFont="1" applyFill="1" applyBorder="1" applyAlignment="1" applyProtection="1">
      <alignment horizontal="center" vertical="center" wrapText="1"/>
    </xf>
    <xf numFmtId="0" fontId="49" fillId="6" borderId="8" xfId="0" applyNumberFormat="1" applyFont="1" applyFill="1" applyBorder="1" applyAlignment="1" applyProtection="1">
      <alignment horizontal="center" vertical="center" wrapText="1"/>
    </xf>
    <xf numFmtId="49" fontId="49" fillId="0" borderId="7" xfId="0" applyNumberFormat="1" applyFont="1" applyFill="1" applyBorder="1" applyAlignment="1" applyProtection="1">
      <alignment horizontal="center" vertical="center" wrapText="1"/>
      <protection locked="0"/>
    </xf>
    <xf numFmtId="0" fontId="49" fillId="6" borderId="4" xfId="0" applyNumberFormat="1" applyFont="1" applyFill="1" applyBorder="1" applyAlignment="1" applyProtection="1">
      <alignment horizontal="center" vertical="center" wrapText="1"/>
    </xf>
    <xf numFmtId="49" fontId="49" fillId="0" borderId="41" xfId="0" applyNumberFormat="1" applyFont="1" applyFill="1" applyBorder="1" applyAlignment="1" applyProtection="1">
      <alignment horizontal="center" vertical="center" wrapText="1"/>
      <protection locked="0"/>
    </xf>
    <xf numFmtId="0" fontId="55" fillId="6" borderId="40" xfId="0" applyFont="1" applyFill="1" applyBorder="1" applyAlignment="1" applyProtection="1">
      <alignment vertical="center" textRotation="255" wrapText="1"/>
    </xf>
    <xf numFmtId="0" fontId="56" fillId="6" borderId="10" xfId="0" applyNumberFormat="1" applyFont="1" applyFill="1" applyBorder="1" applyAlignment="1" applyProtection="1">
      <alignment horizontal="center" vertical="center" wrapText="1"/>
    </xf>
    <xf numFmtId="0" fontId="74" fillId="6" borderId="14" xfId="0" applyFont="1" applyFill="1" applyBorder="1" applyAlignment="1" applyProtection="1">
      <alignment vertical="center" textRotation="255" wrapText="1"/>
    </xf>
    <xf numFmtId="0" fontId="49" fillId="0" borderId="37" xfId="0" applyNumberFormat="1" applyFont="1" applyFill="1" applyBorder="1" applyAlignment="1" applyProtection="1">
      <alignment horizontal="center" vertical="center" wrapText="1"/>
      <protection locked="0"/>
    </xf>
    <xf numFmtId="0" fontId="54" fillId="0" borderId="0" xfId="0" applyFont="1" applyFill="1" applyBorder="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5" fillId="6" borderId="14" xfId="0" applyFont="1" applyFill="1" applyBorder="1" applyAlignment="1" applyProtection="1">
      <alignment vertical="center" textRotation="255" wrapText="1"/>
    </xf>
    <xf numFmtId="0" fontId="51" fillId="6" borderId="14" xfId="0" applyFont="1" applyFill="1" applyBorder="1" applyAlignment="1" applyProtection="1">
      <alignment vertical="center" textRotation="255" wrapText="1"/>
    </xf>
    <xf numFmtId="9" fontId="49" fillId="0" borderId="37" xfId="0" applyNumberFormat="1" applyFont="1" applyFill="1" applyBorder="1" applyAlignment="1" applyProtection="1">
      <alignment horizontal="center" vertical="center" wrapText="1"/>
      <protection locked="0"/>
    </xf>
    <xf numFmtId="9" fontId="49" fillId="0" borderId="3" xfId="0" applyNumberFormat="1" applyFont="1" applyFill="1" applyBorder="1" applyAlignment="1" applyProtection="1">
      <alignment horizontal="center" vertical="center" wrapText="1"/>
      <protection locked="0"/>
    </xf>
    <xf numFmtId="9" fontId="49" fillId="0" borderId="23" xfId="0" applyNumberFormat="1" applyFont="1" applyFill="1" applyBorder="1" applyAlignment="1" applyProtection="1">
      <alignment horizontal="center" vertical="center" wrapText="1"/>
      <protection locked="0"/>
    </xf>
    <xf numFmtId="0" fontId="56" fillId="0" borderId="3" xfId="0" applyNumberFormat="1" applyFont="1" applyFill="1" applyBorder="1" applyAlignment="1" applyProtection="1">
      <alignment horizontal="center" vertical="center" wrapText="1"/>
      <protection locked="0"/>
    </xf>
    <xf numFmtId="0" fontId="55" fillId="6" borderId="12" xfId="0" applyFont="1" applyFill="1" applyBorder="1" applyAlignment="1" applyProtection="1">
      <alignment vertical="center" textRotation="255" wrapText="1"/>
    </xf>
    <xf numFmtId="49" fontId="55" fillId="6" borderId="51" xfId="0" applyNumberFormat="1" applyFont="1" applyFill="1" applyBorder="1" applyAlignment="1" applyProtection="1">
      <alignment vertical="center"/>
    </xf>
    <xf numFmtId="49" fontId="55" fillId="6" borderId="20" xfId="0" applyNumberFormat="1" applyFont="1" applyFill="1" applyBorder="1" applyAlignment="1" applyProtection="1">
      <alignment vertical="center"/>
    </xf>
    <xf numFmtId="0" fontId="55" fillId="6" borderId="21" xfId="0" applyFont="1" applyFill="1" applyBorder="1" applyAlignment="1" applyProtection="1">
      <alignment vertical="center" wrapText="1"/>
    </xf>
    <xf numFmtId="0" fontId="75" fillId="3" borderId="20" xfId="0" applyFont="1" applyFill="1" applyBorder="1" applyAlignment="1" applyProtection="1">
      <alignment vertical="center" wrapText="1"/>
      <protection locked="0"/>
    </xf>
    <xf numFmtId="0" fontId="75" fillId="6" borderId="20" xfId="0" applyFont="1" applyFill="1" applyBorder="1" applyAlignment="1" applyProtection="1">
      <alignment vertical="center" wrapText="1"/>
    </xf>
    <xf numFmtId="0" fontId="75" fillId="3" borderId="51" xfId="0" applyFont="1" applyFill="1" applyBorder="1" applyAlignment="1" applyProtection="1">
      <alignment vertical="center" wrapText="1"/>
      <protection locked="0"/>
    </xf>
    <xf numFmtId="0" fontId="75" fillId="6" borderId="21" xfId="0" applyFont="1" applyFill="1" applyBorder="1" applyAlignment="1" applyProtection="1">
      <alignment vertical="center" wrapText="1"/>
    </xf>
    <xf numFmtId="49" fontId="55" fillId="6" borderId="38" xfId="0" applyNumberFormat="1" applyFont="1" applyFill="1" applyBorder="1" applyAlignment="1" applyProtection="1">
      <alignment vertical="center"/>
    </xf>
    <xf numFmtId="49" fontId="55" fillId="6" borderId="52" xfId="0" applyNumberFormat="1" applyFont="1" applyFill="1" applyBorder="1" applyAlignment="1" applyProtection="1">
      <alignment vertical="center"/>
    </xf>
    <xf numFmtId="186" fontId="55" fillId="6" borderId="38" xfId="0" applyNumberFormat="1" applyFont="1" applyFill="1" applyBorder="1" applyAlignment="1" applyProtection="1">
      <alignment vertical="center" wrapText="1"/>
    </xf>
    <xf numFmtId="0" fontId="55" fillId="6" borderId="68" xfId="0" applyFont="1" applyFill="1" applyBorder="1" applyAlignment="1" applyProtection="1">
      <alignment vertical="center" wrapText="1"/>
    </xf>
    <xf numFmtId="186" fontId="55" fillId="6" borderId="52" xfId="0" applyNumberFormat="1" applyFont="1" applyFill="1" applyBorder="1" applyAlignment="1" applyProtection="1">
      <alignment vertical="center" wrapText="1"/>
    </xf>
    <xf numFmtId="0" fontId="55" fillId="6" borderId="52" xfId="0" applyFont="1" applyFill="1" applyBorder="1" applyAlignment="1" applyProtection="1">
      <alignment vertical="center" wrapText="1"/>
    </xf>
    <xf numFmtId="49" fontId="55" fillId="0" borderId="42" xfId="0" applyNumberFormat="1" applyFont="1" applyFill="1" applyBorder="1" applyAlignment="1" applyProtection="1">
      <alignment vertical="center"/>
      <protection locked="0"/>
    </xf>
    <xf numFmtId="49" fontId="55" fillId="0" borderId="43" xfId="0" applyNumberFormat="1" applyFont="1" applyFill="1" applyBorder="1" applyAlignment="1" applyProtection="1">
      <alignment vertical="center"/>
      <protection locked="0"/>
    </xf>
    <xf numFmtId="186" fontId="55" fillId="6" borderId="47" xfId="0" applyNumberFormat="1" applyFont="1" applyFill="1" applyBorder="1" applyAlignment="1" applyProtection="1">
      <alignment vertical="center" wrapText="1"/>
    </xf>
    <xf numFmtId="189" fontId="56" fillId="0" borderId="0" xfId="0" applyNumberFormat="1" applyFont="1" applyFill="1" applyAlignment="1" applyProtection="1">
      <alignment horizontal="center" vertical="center"/>
      <protection locked="0"/>
    </xf>
    <xf numFmtId="181" fontId="56" fillId="0" borderId="0" xfId="0" applyNumberFormat="1" applyFont="1" applyFill="1" applyAlignment="1" applyProtection="1">
      <alignment horizontal="center" vertical="center"/>
      <protection locked="0"/>
    </xf>
    <xf numFmtId="0" fontId="55" fillId="6" borderId="1" xfId="0" applyFont="1" applyFill="1" applyBorder="1" applyAlignment="1" applyProtection="1">
      <alignment horizontal="left" vertical="center"/>
    </xf>
    <xf numFmtId="0" fontId="55" fillId="6" borderId="1" xfId="0" applyFont="1" applyFill="1" applyBorder="1" applyAlignment="1" applyProtection="1">
      <alignment horizontal="center" vertical="center" wrapText="1"/>
    </xf>
    <xf numFmtId="181" fontId="56" fillId="6" borderId="5" xfId="0" applyNumberFormat="1" applyFont="1" applyFill="1" applyBorder="1" applyAlignment="1" applyProtection="1">
      <alignment horizontal="center" vertical="center"/>
    </xf>
    <xf numFmtId="181" fontId="56" fillId="6" borderId="3" xfId="0" applyNumberFormat="1" applyFont="1" applyFill="1" applyBorder="1" applyAlignment="1" applyProtection="1">
      <alignment vertical="center"/>
    </xf>
    <xf numFmtId="0" fontId="55" fillId="6" borderId="3" xfId="0" applyFont="1" applyFill="1" applyBorder="1" applyAlignment="1" applyProtection="1">
      <alignment horizontal="center" vertical="center" wrapText="1"/>
    </xf>
    <xf numFmtId="0" fontId="73" fillId="0" borderId="0" xfId="0" applyFont="1" applyFill="1" applyAlignment="1" applyProtection="1">
      <alignment horizontal="center" vertical="center"/>
      <protection locked="0"/>
    </xf>
    <xf numFmtId="0" fontId="56" fillId="0" borderId="0" xfId="0" applyFont="1" applyBorder="1" applyAlignment="1" applyProtection="1">
      <protection locked="0"/>
    </xf>
    <xf numFmtId="9" fontId="49" fillId="0" borderId="0" xfId="0" applyNumberFormat="1" applyFont="1" applyFill="1" applyBorder="1" applyAlignment="1" applyProtection="1">
      <alignment horizontal="center" vertical="center" wrapText="1"/>
      <protection locked="0"/>
    </xf>
    <xf numFmtId="0" fontId="51" fillId="6" borderId="16" xfId="0" applyNumberFormat="1" applyFont="1" applyFill="1" applyBorder="1" applyAlignment="1" applyProtection="1">
      <alignment vertical="center" wrapText="1"/>
    </xf>
    <xf numFmtId="0" fontId="51" fillId="6" borderId="39" xfId="0" applyNumberFormat="1" applyFont="1" applyFill="1" applyBorder="1" applyAlignment="1" applyProtection="1">
      <alignment vertical="center" wrapText="1"/>
    </xf>
    <xf numFmtId="49" fontId="49" fillId="0" borderId="0" xfId="0" applyNumberFormat="1" applyFont="1" applyFill="1" applyBorder="1" applyAlignment="1" applyProtection="1">
      <alignment horizontal="center" vertical="center"/>
      <protection locked="0"/>
    </xf>
    <xf numFmtId="49" fontId="49" fillId="0" borderId="0" xfId="0" applyNumberFormat="1" applyFont="1" applyFill="1" applyAlignment="1" applyProtection="1">
      <alignment horizontal="center" vertical="center"/>
      <protection locked="0"/>
    </xf>
    <xf numFmtId="0" fontId="51" fillId="6" borderId="18" xfId="0" applyNumberFormat="1" applyFont="1" applyFill="1" applyBorder="1" applyAlignment="1" applyProtection="1">
      <alignment vertical="center" wrapText="1"/>
    </xf>
    <xf numFmtId="0" fontId="51" fillId="6" borderId="35" xfId="0" applyNumberFormat="1" applyFont="1" applyFill="1" applyBorder="1" applyAlignment="1" applyProtection="1">
      <alignment vertical="center" wrapText="1"/>
    </xf>
    <xf numFmtId="0" fontId="49" fillId="0" borderId="22"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49" fillId="0" borderId="46" xfId="0" applyNumberFormat="1" applyFont="1" applyFill="1" applyBorder="1" applyAlignment="1" applyProtection="1">
      <alignment horizontal="center" vertical="center" wrapText="1"/>
      <protection locked="0"/>
    </xf>
    <xf numFmtId="0" fontId="49" fillId="0" borderId="61" xfId="0" applyNumberFormat="1" applyFont="1" applyFill="1" applyBorder="1" applyAlignment="1" applyProtection="1">
      <alignment horizontal="center" vertical="center" wrapText="1"/>
      <protection locked="0"/>
    </xf>
    <xf numFmtId="0" fontId="51" fillId="6" borderId="42" xfId="0" applyNumberFormat="1" applyFont="1" applyFill="1" applyBorder="1" applyAlignment="1" applyProtection="1">
      <alignment vertical="center"/>
    </xf>
    <xf numFmtId="0" fontId="51" fillId="6" borderId="73" xfId="0" applyNumberFormat="1" applyFont="1" applyFill="1" applyBorder="1" applyAlignment="1" applyProtection="1">
      <alignment vertical="center" wrapText="1"/>
    </xf>
    <xf numFmtId="0" fontId="49" fillId="0" borderId="73" xfId="0" applyNumberFormat="1" applyFont="1" applyFill="1" applyBorder="1" applyAlignment="1" applyProtection="1">
      <alignment horizontal="center" vertical="center" wrapText="1"/>
      <protection locked="0"/>
    </xf>
    <xf numFmtId="0" fontId="49" fillId="0" borderId="74" xfId="0" applyNumberFormat="1" applyFont="1" applyFill="1" applyBorder="1" applyAlignment="1" applyProtection="1">
      <alignment horizontal="center" vertical="center" wrapText="1"/>
      <protection locked="0"/>
    </xf>
    <xf numFmtId="0" fontId="49" fillId="0" borderId="75" xfId="0" applyNumberFormat="1" applyFont="1" applyFill="1" applyBorder="1" applyAlignment="1" applyProtection="1">
      <alignment horizontal="center" vertical="center" wrapText="1"/>
      <protection locked="0"/>
    </xf>
    <xf numFmtId="0" fontId="49" fillId="0" borderId="76"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vertical="center" wrapText="1"/>
    </xf>
    <xf numFmtId="0" fontId="49" fillId="6" borderId="7" xfId="0" applyNumberFormat="1" applyFont="1" applyFill="1" applyBorder="1" applyAlignment="1" applyProtection="1">
      <alignment horizontal="center" vertical="center" wrapText="1"/>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106" fillId="0" borderId="0" xfId="0" applyFont="1" applyFill="1" applyBorder="1" applyAlignment="1" applyProtection="1">
      <alignment vertical="center"/>
      <protection locked="0"/>
    </xf>
    <xf numFmtId="0" fontId="55" fillId="6" borderId="40" xfId="0" applyNumberFormat="1" applyFont="1" applyFill="1" applyBorder="1" applyAlignment="1" applyProtection="1">
      <alignment vertical="center" wrapText="1"/>
    </xf>
    <xf numFmtId="0" fontId="49" fillId="6" borderId="17" xfId="0" applyNumberFormat="1" applyFont="1" applyFill="1" applyBorder="1" applyAlignment="1" applyProtection="1">
      <alignment horizontal="center" vertical="center" wrapText="1"/>
    </xf>
    <xf numFmtId="0" fontId="56" fillId="6" borderId="9" xfId="0" applyNumberFormat="1" applyFont="1" applyFill="1" applyBorder="1" applyAlignment="1" applyProtection="1">
      <alignment horizontal="center" vertical="center" wrapText="1"/>
    </xf>
    <xf numFmtId="0" fontId="56" fillId="0" borderId="9" xfId="0" applyNumberFormat="1" applyFont="1" applyFill="1" applyBorder="1" applyAlignment="1" applyProtection="1">
      <alignment horizontal="center" vertical="center" wrapText="1"/>
      <protection locked="0"/>
    </xf>
    <xf numFmtId="0" fontId="73" fillId="0" borderId="9" xfId="0" applyNumberFormat="1" applyFont="1" applyFill="1" applyBorder="1" applyAlignment="1" applyProtection="1">
      <alignment horizontal="center" vertical="center" wrapText="1"/>
      <protection locked="0"/>
    </xf>
    <xf numFmtId="0" fontId="73" fillId="0" borderId="9" xfId="0" applyNumberFormat="1" applyFont="1" applyFill="1" applyBorder="1" applyAlignment="1" applyProtection="1">
      <alignment horizontal="left" vertical="center" wrapText="1"/>
      <protection locked="0"/>
    </xf>
    <xf numFmtId="0" fontId="73" fillId="0" borderId="10" xfId="0" applyNumberFormat="1" applyFont="1" applyFill="1" applyBorder="1" applyAlignment="1" applyProtection="1">
      <alignment horizontal="center" vertical="center" wrapText="1"/>
      <protection locked="0"/>
    </xf>
    <xf numFmtId="0" fontId="55" fillId="6" borderId="14" xfId="0" applyNumberFormat="1" applyFont="1" applyFill="1" applyBorder="1" applyAlignment="1" applyProtection="1">
      <alignment vertical="center" wrapText="1"/>
    </xf>
    <xf numFmtId="0" fontId="54" fillId="6" borderId="77" xfId="0" applyNumberFormat="1" applyFont="1" applyFill="1" applyBorder="1" applyAlignment="1" applyProtection="1">
      <alignment horizontal="center" vertical="center" wrapText="1"/>
    </xf>
    <xf numFmtId="0" fontId="56" fillId="0" borderId="78" xfId="0" applyNumberFormat="1" applyFont="1" applyFill="1" applyBorder="1" applyAlignment="1" applyProtection="1">
      <alignment horizontal="center" vertical="center" wrapText="1"/>
      <protection locked="0"/>
    </xf>
    <xf numFmtId="0" fontId="56" fillId="0" borderId="79" xfId="0" applyNumberFormat="1" applyFont="1" applyFill="1" applyBorder="1" applyAlignment="1" applyProtection="1">
      <alignment horizontal="center" vertical="center" wrapText="1"/>
      <protection locked="0"/>
    </xf>
    <xf numFmtId="0" fontId="49" fillId="6" borderId="57" xfId="0" applyNumberFormat="1" applyFont="1" applyFill="1" applyBorder="1" applyAlignment="1" applyProtection="1">
      <alignment horizontal="center" vertical="center" wrapText="1"/>
    </xf>
    <xf numFmtId="0" fontId="56" fillId="6" borderId="44"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left" vertical="center" wrapText="1"/>
    </xf>
    <xf numFmtId="0" fontId="73" fillId="6" borderId="45" xfId="0" applyNumberFormat="1" applyFont="1" applyFill="1" applyBorder="1" applyAlignment="1" applyProtection="1">
      <alignment horizontal="center" vertical="center" wrapText="1"/>
    </xf>
    <xf numFmtId="0" fontId="49" fillId="6" borderId="77" xfId="0" applyNumberFormat="1" applyFont="1" applyFill="1" applyBorder="1" applyAlignment="1" applyProtection="1">
      <alignment horizontal="center" vertical="center" wrapText="1"/>
    </xf>
    <xf numFmtId="0" fontId="56" fillId="6" borderId="78" xfId="0" applyNumberFormat="1" applyFont="1" applyFill="1" applyBorder="1" applyAlignment="1" applyProtection="1">
      <alignment horizontal="center" vertical="center" wrapText="1"/>
    </xf>
    <xf numFmtId="0" fontId="56" fillId="6" borderId="79"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6" fillId="6" borderId="2" xfId="0" applyNumberFormat="1" applyFont="1" applyFill="1" applyBorder="1" applyAlignment="1" applyProtection="1">
      <alignment horizontal="center" vertical="center" wrapText="1"/>
    </xf>
    <xf numFmtId="0" fontId="54" fillId="6" borderId="15" xfId="0" applyNumberFormat="1" applyFont="1" applyFill="1" applyBorder="1" applyAlignment="1" applyProtection="1">
      <alignment horizontal="center" vertical="center" wrapText="1"/>
    </xf>
    <xf numFmtId="0" fontId="56"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left" vertical="center" wrapText="1"/>
      <protection locked="0"/>
    </xf>
    <xf numFmtId="0" fontId="73" fillId="0" borderId="24"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wrapText="1"/>
    </xf>
    <xf numFmtId="0" fontId="49" fillId="0" borderId="44" xfId="0" applyNumberFormat="1" applyFont="1" applyFill="1" applyBorder="1" applyAlignment="1" applyProtection="1">
      <alignment horizontal="center" vertical="center" wrapText="1"/>
      <protection locked="0"/>
    </xf>
    <xf numFmtId="0" fontId="54" fillId="0" borderId="44" xfId="0" applyNumberFormat="1" applyFont="1" applyFill="1" applyBorder="1" applyAlignment="1" applyProtection="1">
      <alignment horizontal="center"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9" fillId="0" borderId="78" xfId="0" applyNumberFormat="1"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protection locked="0"/>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left" vertical="center" wrapText="1"/>
      <protection locked="0"/>
    </xf>
    <xf numFmtId="0" fontId="54" fillId="0" borderId="8" xfId="0" applyNumberFormat="1" applyFont="1" applyFill="1" applyBorder="1" applyAlignment="1" applyProtection="1">
      <alignment horizontal="center" vertical="center" wrapText="1"/>
      <protection locked="0"/>
    </xf>
    <xf numFmtId="0" fontId="54" fillId="0" borderId="0" xfId="0" applyFont="1" applyFill="1" applyBorder="1" applyAlignment="1" applyProtection="1">
      <alignment vertical="center" wrapText="1"/>
      <protection locked="0"/>
    </xf>
    <xf numFmtId="0" fontId="74" fillId="6" borderId="12" xfId="0" applyNumberFormat="1" applyFont="1" applyFill="1" applyBorder="1" applyAlignment="1" applyProtection="1">
      <alignment vertical="center" wrapText="1"/>
    </xf>
    <xf numFmtId="0" fontId="49" fillId="6" borderId="74" xfId="0" applyNumberFormat="1" applyFont="1" applyFill="1" applyBorder="1" applyAlignment="1" applyProtection="1">
      <alignment horizontal="center" vertical="center" wrapText="1"/>
    </xf>
    <xf numFmtId="0" fontId="49" fillId="0" borderId="32"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49" fillId="6" borderId="9" xfId="0" applyNumberFormat="1" applyFont="1" applyFill="1" applyBorder="1" applyAlignment="1" applyProtection="1">
      <alignment horizontal="center" vertical="center" wrapText="1"/>
    </xf>
    <xf numFmtId="0" fontId="73" fillId="6" borderId="9" xfId="0" applyNumberFormat="1" applyFont="1" applyFill="1" applyBorder="1" applyAlignment="1" applyProtection="1">
      <alignment horizontal="center" vertical="center" wrapText="1"/>
    </xf>
    <xf numFmtId="0" fontId="73" fillId="6" borderId="9" xfId="0" applyNumberFormat="1" applyFont="1" applyFill="1" applyBorder="1" applyAlignment="1" applyProtection="1">
      <alignment horizontal="left" vertical="center" wrapText="1"/>
    </xf>
    <xf numFmtId="0" fontId="73" fillId="6" borderId="10" xfId="0" applyNumberFormat="1" applyFont="1" applyFill="1" applyBorder="1" applyAlignment="1" applyProtection="1">
      <alignment horizontal="center" vertical="center" wrapText="1"/>
    </xf>
    <xf numFmtId="0" fontId="49" fillId="0" borderId="0" xfId="0" applyFont="1" applyFill="1" applyBorder="1" applyAlignment="1" applyProtection="1">
      <alignment vertical="center" wrapText="1"/>
      <protection locked="0"/>
    </xf>
    <xf numFmtId="0" fontId="49" fillId="6" borderId="44" xfId="0" applyNumberFormat="1" applyFont="1" applyFill="1" applyBorder="1" applyAlignment="1" applyProtection="1">
      <alignment horizontal="center" vertical="center" wrapText="1"/>
    </xf>
    <xf numFmtId="0" fontId="51" fillId="6" borderId="14" xfId="0" applyNumberFormat="1" applyFont="1" applyFill="1" applyBorder="1" applyAlignment="1" applyProtection="1">
      <alignment vertical="center" wrapText="1"/>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6" borderId="78" xfId="0" applyNumberFormat="1" applyFont="1" applyFill="1" applyBorder="1" applyAlignment="1" applyProtection="1">
      <alignment horizontal="center" vertical="center" wrapText="1"/>
    </xf>
    <xf numFmtId="0" fontId="56"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left" vertical="center" wrapText="1"/>
      <protection locked="0"/>
    </xf>
    <xf numFmtId="0" fontId="73" fillId="0" borderId="45" xfId="0" applyNumberFormat="1" applyFont="1" applyFill="1" applyBorder="1" applyAlignment="1" applyProtection="1">
      <alignment horizontal="center" vertical="center" wrapText="1"/>
      <protection locked="0"/>
    </xf>
    <xf numFmtId="0" fontId="56" fillId="0" borderId="2"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left" vertical="center" wrapText="1"/>
      <protection locked="0"/>
    </xf>
    <xf numFmtId="0" fontId="73" fillId="0" borderId="8" xfId="0" applyNumberFormat="1" applyFont="1" applyFill="1" applyBorder="1" applyAlignment="1" applyProtection="1">
      <alignment horizontal="center" vertical="center" wrapText="1"/>
      <protection locked="0"/>
    </xf>
    <xf numFmtId="0" fontId="56" fillId="0" borderId="32" xfId="0" applyNumberFormat="1" applyFont="1" applyFill="1" applyBorder="1" applyAlignment="1" applyProtection="1">
      <alignment horizontal="center" vertical="center" wrapText="1"/>
      <protection locked="0"/>
    </xf>
    <xf numFmtId="0" fontId="56" fillId="0" borderId="49"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textRotation="255" wrapText="1"/>
    </xf>
    <xf numFmtId="0" fontId="49" fillId="6" borderId="58" xfId="0" applyNumberFormat="1" applyFont="1" applyFill="1" applyBorder="1" applyAlignment="1" applyProtection="1">
      <alignment horizontal="center" vertical="center"/>
    </xf>
    <xf numFmtId="0" fontId="49" fillId="0" borderId="1" xfId="0" applyNumberFormat="1" applyFont="1" applyFill="1" applyBorder="1" applyAlignment="1" applyProtection="1">
      <alignment horizontal="center" vertical="center" wrapText="1"/>
      <protection locked="0"/>
    </xf>
    <xf numFmtId="0" fontId="54" fillId="0" borderId="1" xfId="0" applyNumberFormat="1" applyFont="1" applyFill="1" applyBorder="1" applyAlignment="1" applyProtection="1">
      <alignment horizontal="center" vertical="center" wrapText="1"/>
      <protection locked="0"/>
    </xf>
    <xf numFmtId="0" fontId="54" fillId="0" borderId="1" xfId="0" applyNumberFormat="1" applyFont="1" applyFill="1" applyBorder="1" applyAlignment="1" applyProtection="1">
      <alignment horizontal="left" vertical="center" wrapText="1"/>
      <protection locked="0"/>
    </xf>
    <xf numFmtId="0" fontId="54" fillId="0" borderId="24" xfId="0" applyNumberFormat="1" applyFont="1" applyFill="1" applyBorder="1" applyAlignment="1" applyProtection="1">
      <alignment horizontal="center" vertical="center" wrapText="1"/>
      <protection locked="0"/>
    </xf>
    <xf numFmtId="0" fontId="55" fillId="6" borderId="14" xfId="0" applyNumberFormat="1" applyFont="1" applyFill="1" applyBorder="1" applyAlignment="1" applyProtection="1">
      <alignment vertical="center" textRotation="255" wrapText="1"/>
    </xf>
    <xf numFmtId="0" fontId="54" fillId="6" borderId="44"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left" vertical="center" wrapText="1"/>
    </xf>
    <xf numFmtId="0" fontId="54" fillId="6" borderId="45"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left" vertical="center" wrapText="1"/>
    </xf>
    <xf numFmtId="0" fontId="54" fillId="6" borderId="24"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186" fontId="62" fillId="6" borderId="13" xfId="0" applyNumberFormat="1" applyFont="1" applyFill="1" applyBorder="1" applyAlignment="1" applyProtection="1">
      <alignment horizontal="right" vertical="center"/>
    </xf>
    <xf numFmtId="189" fontId="49" fillId="6" borderId="3" xfId="0" applyNumberFormat="1" applyFont="1" applyFill="1" applyBorder="1" applyAlignment="1" applyProtection="1">
      <alignment horizontal="center" vertical="center" wrapText="1"/>
    </xf>
    <xf numFmtId="0" fontId="49"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6" borderId="3" xfId="0" applyNumberFormat="1"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3" fillId="6" borderId="41" xfId="0" applyNumberFormat="1" applyFont="1" applyFill="1" applyBorder="1" applyAlignment="1" applyProtection="1">
      <alignment horizontal="center" vertical="center" wrapText="1"/>
    </xf>
    <xf numFmtId="0" fontId="56" fillId="2" borderId="37" xfId="0" applyNumberFormat="1" applyFont="1" applyFill="1" applyBorder="1" applyAlignment="1" applyProtection="1">
      <alignment horizontal="center" vertical="center" wrapText="1"/>
      <protection locked="0"/>
    </xf>
    <xf numFmtId="17" fontId="54" fillId="0" borderId="37" xfId="0" applyNumberFormat="1" applyFont="1" applyFill="1" applyBorder="1" applyAlignment="1" applyProtection="1">
      <alignment horizontal="center" vertical="center" wrapText="1"/>
      <protection locked="0"/>
    </xf>
    <xf numFmtId="0" fontId="54" fillId="0" borderId="37" xfId="0" applyNumberFormat="1" applyFont="1" applyFill="1" applyBorder="1" applyAlignment="1" applyProtection="1">
      <alignment horizontal="center" vertical="center" wrapText="1"/>
      <protection locked="0"/>
    </xf>
    <xf numFmtId="189" fontId="56" fillId="3" borderId="3" xfId="0" applyNumberFormat="1" applyFont="1" applyFill="1" applyBorder="1" applyAlignment="1" applyProtection="1">
      <alignment horizontal="center" vertical="center"/>
      <protection locked="0"/>
    </xf>
    <xf numFmtId="189" fontId="56" fillId="3" borderId="3" xfId="0" applyNumberFormat="1" applyFont="1" applyFill="1" applyBorder="1" applyAlignment="1" applyProtection="1">
      <alignment horizontal="center" vertical="center" wrapText="1"/>
      <protection locked="0"/>
    </xf>
    <xf numFmtId="189" fontId="56" fillId="3" borderId="1" xfId="0" applyNumberFormat="1" applyFont="1" applyFill="1" applyBorder="1" applyAlignment="1" applyProtection="1">
      <alignment horizontal="center" vertical="center" wrapText="1"/>
      <protection locked="0"/>
    </xf>
    <xf numFmtId="0" fontId="49" fillId="6" borderId="45" xfId="0" applyNumberFormat="1" applyFont="1" applyFill="1" applyBorder="1" applyAlignment="1" applyProtection="1">
      <alignment horizontal="center" vertical="center" wrapText="1"/>
    </xf>
    <xf numFmtId="0" fontId="56" fillId="0" borderId="15" xfId="0" applyNumberFormat="1" applyFont="1" applyFill="1" applyBorder="1" applyAlignment="1" applyProtection="1">
      <alignment horizontal="center" vertical="center" wrapText="1"/>
      <protection locked="0"/>
    </xf>
    <xf numFmtId="0" fontId="73" fillId="0" borderId="15" xfId="0" applyNumberFormat="1" applyFont="1" applyFill="1" applyBorder="1" applyAlignment="1" applyProtection="1">
      <alignment horizontal="center" vertical="center" wrapText="1"/>
      <protection locked="0"/>
    </xf>
    <xf numFmtId="0" fontId="73" fillId="0" borderId="15" xfId="0" applyNumberFormat="1" applyFont="1" applyFill="1" applyBorder="1" applyAlignment="1" applyProtection="1">
      <alignment horizontal="left" vertical="center" wrapText="1"/>
      <protection locked="0"/>
    </xf>
    <xf numFmtId="0" fontId="73" fillId="0" borderId="53" xfId="0" applyNumberFormat="1" applyFont="1" applyFill="1" applyBorder="1" applyAlignment="1" applyProtection="1">
      <alignment horizontal="center" vertical="center" wrapText="1"/>
      <protection locked="0"/>
    </xf>
    <xf numFmtId="0" fontId="106" fillId="0" borderId="44" xfId="0" applyNumberFormat="1" applyFont="1" applyFill="1" applyBorder="1" applyAlignment="1" applyProtection="1">
      <alignment horizontal="center" vertical="center" wrapText="1"/>
      <protection locked="0"/>
    </xf>
    <xf numFmtId="0" fontId="49" fillId="0" borderId="12" xfId="0" applyNumberFormat="1" applyFont="1" applyFill="1" applyBorder="1" applyAlignment="1" applyProtection="1">
      <alignment horizontal="center" vertical="center" wrapText="1"/>
      <protection locked="0"/>
    </xf>
    <xf numFmtId="0" fontId="49" fillId="6" borderId="62"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xf>
    <xf numFmtId="0" fontId="49" fillId="6" borderId="61" xfId="0" applyFont="1" applyFill="1" applyBorder="1" applyAlignment="1" applyProtection="1">
      <alignment horizontal="center" vertical="center" wrapText="1"/>
    </xf>
    <xf numFmtId="0" fontId="49" fillId="6" borderId="8" xfId="0" applyFont="1" applyFill="1" applyBorder="1" applyAlignment="1" applyProtection="1">
      <alignment horizontal="center" vertical="center" wrapText="1"/>
    </xf>
    <xf numFmtId="0" fontId="49" fillId="6" borderId="53" xfId="0" applyFont="1" applyFill="1" applyBorder="1" applyAlignment="1" applyProtection="1">
      <alignment horizontal="center" vertical="center" wrapText="1"/>
    </xf>
    <xf numFmtId="0" fontId="56" fillId="2" borderId="54" xfId="0" applyNumberFormat="1" applyFont="1" applyFill="1" applyBorder="1" applyAlignment="1" applyProtection="1">
      <alignment horizontal="center" vertical="center" wrapText="1"/>
      <protection locked="0"/>
    </xf>
    <xf numFmtId="0" fontId="49" fillId="0" borderId="49" xfId="0" applyFont="1" applyFill="1" applyBorder="1" applyAlignment="1" applyProtection="1">
      <alignment horizontal="center" vertical="center" wrapText="1"/>
      <protection locked="0"/>
    </xf>
    <xf numFmtId="0" fontId="56" fillId="6" borderId="57" xfId="0" applyNumberFormat="1" applyFont="1" applyFill="1" applyBorder="1" applyAlignment="1" applyProtection="1">
      <alignment horizontal="center" vertical="center" wrapText="1"/>
    </xf>
    <xf numFmtId="0" fontId="56" fillId="0" borderId="0" xfId="0" applyFont="1" applyFill="1" applyBorder="1" applyAlignment="1" applyProtection="1">
      <alignment horizontal="center" vertical="center" wrapText="1"/>
      <protection locked="0"/>
    </xf>
    <xf numFmtId="9" fontId="56" fillId="0" borderId="0" xfId="0" applyNumberFormat="1" applyFont="1" applyFill="1" applyBorder="1" applyAlignment="1" applyProtection="1">
      <alignment horizontal="center" vertical="center" wrapText="1"/>
      <protection locked="0"/>
    </xf>
    <xf numFmtId="0" fontId="49" fillId="6" borderId="22" xfId="0" applyNumberFormat="1" applyFont="1" applyFill="1" applyBorder="1" applyAlignment="1" applyProtection="1">
      <alignment horizontal="center" vertical="center" wrapText="1"/>
    </xf>
    <xf numFmtId="0" fontId="49" fillId="6" borderId="20" xfId="0" applyFont="1" applyFill="1" applyBorder="1" applyAlignment="1" applyProtection="1">
      <alignment horizontal="center" vertical="center" wrapText="1"/>
    </xf>
    <xf numFmtId="0" fontId="71" fillId="6" borderId="80" xfId="0" applyFont="1" applyFill="1" applyBorder="1" applyAlignment="1" applyProtection="1">
      <alignment vertical="center" wrapText="1"/>
    </xf>
    <xf numFmtId="0" fontId="49" fillId="6" borderId="54" xfId="0" applyFont="1" applyFill="1" applyBorder="1" applyAlignment="1" applyProtection="1">
      <alignment horizontal="center" vertical="center" wrapText="1"/>
    </xf>
    <xf numFmtId="0" fontId="55" fillId="6" borderId="80" xfId="0" applyFont="1" applyFill="1" applyBorder="1" applyAlignment="1" applyProtection="1">
      <alignment vertical="center" wrapText="1"/>
    </xf>
    <xf numFmtId="0" fontId="49" fillId="0" borderId="36" xfId="0" applyFont="1" applyFill="1" applyBorder="1" applyAlignment="1" applyProtection="1">
      <alignment horizontal="center" vertical="center" wrapText="1"/>
      <protection locked="0"/>
    </xf>
    <xf numFmtId="0" fontId="51" fillId="6" borderId="80" xfId="0" applyFont="1" applyFill="1" applyBorder="1" applyAlignment="1" applyProtection="1">
      <alignment vertical="center" wrapText="1"/>
    </xf>
    <xf numFmtId="0" fontId="55" fillId="6" borderId="81" xfId="0" applyFont="1" applyFill="1" applyBorder="1" applyAlignment="1" applyProtection="1">
      <alignment vertical="center" wrapText="1"/>
    </xf>
    <xf numFmtId="0" fontId="56" fillId="6" borderId="53" xfId="0" applyFont="1" applyFill="1" applyBorder="1" applyAlignment="1" applyProtection="1">
      <alignment horizontal="center" vertical="center"/>
    </xf>
    <xf numFmtId="0" fontId="49" fillId="0" borderId="61" xfId="0" applyFont="1" applyFill="1" applyBorder="1" applyAlignment="1" applyProtection="1">
      <alignment horizontal="center" vertical="center" wrapText="1"/>
      <protection locked="0"/>
    </xf>
    <xf numFmtId="0" fontId="51" fillId="6" borderId="18" xfId="0" applyFont="1" applyFill="1" applyBorder="1" applyAlignment="1" applyProtection="1">
      <alignment vertical="center" wrapText="1"/>
    </xf>
    <xf numFmtId="0" fontId="49" fillId="6" borderId="76" xfId="0" applyNumberFormat="1" applyFont="1" applyFill="1" applyBorder="1" applyAlignment="1" applyProtection="1">
      <alignment horizontal="center" vertical="center" wrapText="1"/>
    </xf>
    <xf numFmtId="0" fontId="49" fillId="6" borderId="75" xfId="0" applyNumberFormat="1" applyFont="1" applyFill="1" applyBorder="1" applyAlignment="1" applyProtection="1">
      <alignment horizontal="center" vertical="center" wrapText="1"/>
    </xf>
    <xf numFmtId="0" fontId="55" fillId="6" borderId="16" xfId="0" applyFont="1" applyFill="1" applyBorder="1" applyAlignment="1" applyProtection="1">
      <alignment vertical="center" textRotation="255" wrapText="1"/>
    </xf>
    <xf numFmtId="0" fontId="74" fillId="6" borderId="18" xfId="0" applyFont="1" applyFill="1" applyBorder="1" applyAlignment="1" applyProtection="1">
      <alignment vertical="center" textRotation="255" wrapText="1"/>
    </xf>
    <xf numFmtId="0" fontId="49" fillId="6" borderId="24" xfId="0" applyFont="1" applyFill="1" applyBorder="1" applyAlignment="1" applyProtection="1">
      <alignment horizontal="center" vertical="center" wrapText="1"/>
    </xf>
    <xf numFmtId="49" fontId="49" fillId="0" borderId="37" xfId="0" applyNumberFormat="1" applyFont="1" applyFill="1" applyBorder="1" applyAlignment="1" applyProtection="1">
      <alignment horizontal="center" vertical="center" wrapText="1"/>
      <protection locked="0"/>
    </xf>
    <xf numFmtId="0" fontId="55" fillId="6" borderId="18" xfId="0" applyFont="1" applyFill="1" applyBorder="1" applyAlignment="1" applyProtection="1">
      <alignment vertical="center" textRotation="255" wrapText="1"/>
    </xf>
    <xf numFmtId="0" fontId="49" fillId="2" borderId="37"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vertical="center" textRotation="255" wrapText="1"/>
    </xf>
    <xf numFmtId="0" fontId="55" fillId="6" borderId="42" xfId="0" applyFont="1" applyFill="1" applyBorder="1" applyAlignment="1" applyProtection="1">
      <alignment vertical="center" textRotation="255" wrapText="1"/>
    </xf>
    <xf numFmtId="0" fontId="56" fillId="6" borderId="15" xfId="0" applyNumberFormat="1" applyFont="1" applyFill="1" applyBorder="1" applyAlignment="1" applyProtection="1">
      <alignment horizontal="center" vertical="center" wrapText="1"/>
    </xf>
    <xf numFmtId="49" fontId="56" fillId="0" borderId="9" xfId="0" applyNumberFormat="1" applyFont="1" applyFill="1" applyBorder="1" applyAlignment="1" applyProtection="1">
      <alignment horizontal="center" vertical="center" wrapText="1"/>
      <protection locked="0"/>
    </xf>
    <xf numFmtId="49" fontId="73" fillId="0" borderId="9" xfId="0" applyNumberFormat="1" applyFont="1" applyFill="1" applyBorder="1" applyAlignment="1" applyProtection="1">
      <alignment horizontal="center" vertical="center" wrapText="1"/>
      <protection locked="0"/>
    </xf>
    <xf numFmtId="49" fontId="73" fillId="0" borderId="9" xfId="0" applyNumberFormat="1" applyFont="1" applyFill="1" applyBorder="1" applyAlignment="1" applyProtection="1">
      <alignment horizontal="left" vertical="center" wrapText="1"/>
      <protection locked="0"/>
    </xf>
    <xf numFmtId="49" fontId="73" fillId="0" borderId="10" xfId="0" applyNumberFormat="1" applyFont="1" applyFill="1" applyBorder="1" applyAlignment="1" applyProtection="1">
      <alignment horizontal="center" vertical="center" wrapText="1"/>
      <protection locked="0"/>
    </xf>
    <xf numFmtId="0" fontId="49" fillId="6" borderId="53" xfId="0" applyNumberFormat="1" applyFont="1" applyFill="1" applyBorder="1" applyAlignment="1" applyProtection="1">
      <alignment horizontal="center" vertical="center" wrapText="1"/>
    </xf>
    <xf numFmtId="0" fontId="49" fillId="6" borderId="58" xfId="0" applyNumberFormat="1" applyFont="1" applyFill="1" applyBorder="1" applyAlignment="1" applyProtection="1">
      <alignment horizontal="center" vertical="center" wrapText="1"/>
    </xf>
    <xf numFmtId="0" fontId="56" fillId="6" borderId="28" xfId="0" applyNumberFormat="1" applyFont="1" applyFill="1" applyBorder="1" applyAlignment="1" applyProtection="1">
      <alignment horizontal="center" vertical="center" wrapText="1"/>
    </xf>
    <xf numFmtId="0" fontId="73" fillId="6" borderId="15" xfId="0" applyNumberFormat="1" applyFont="1" applyFill="1" applyBorder="1" applyAlignment="1" applyProtection="1">
      <alignment horizontal="center" vertical="center" wrapText="1"/>
    </xf>
    <xf numFmtId="0" fontId="73" fillId="6" borderId="15" xfId="0" applyNumberFormat="1" applyFont="1" applyFill="1" applyBorder="1" applyAlignment="1" applyProtection="1">
      <alignment horizontal="left" vertical="center" wrapText="1"/>
    </xf>
    <xf numFmtId="0" fontId="73" fillId="6" borderId="53" xfId="0" applyNumberFormat="1" applyFont="1" applyFill="1" applyBorder="1" applyAlignment="1" applyProtection="1">
      <alignment horizontal="center" vertical="center" wrapText="1"/>
    </xf>
    <xf numFmtId="177" fontId="62" fillId="6" borderId="1" xfId="0" applyNumberFormat="1" applyFont="1" applyFill="1" applyBorder="1" applyAlignment="1" applyProtection="1">
      <alignment horizontal="right" vertical="center"/>
    </xf>
    <xf numFmtId="0" fontId="66" fillId="6" borderId="3" xfId="0" applyNumberFormat="1" applyFont="1" applyFill="1" applyBorder="1" applyAlignment="1" applyProtection="1">
      <alignment horizontal="center" vertical="center" wrapText="1"/>
    </xf>
    <xf numFmtId="0" fontId="66" fillId="0" borderId="3" xfId="0" applyNumberFormat="1" applyFont="1" applyFill="1" applyBorder="1" applyAlignment="1" applyProtection="1">
      <alignment horizontal="center" vertical="center" wrapText="1"/>
      <protection locked="0"/>
    </xf>
    <xf numFmtId="0" fontId="56" fillId="0" borderId="23" xfId="0" applyNumberFormat="1" applyFont="1" applyFill="1" applyBorder="1" applyAlignment="1" applyProtection="1">
      <alignment horizontal="center" vertical="center" wrapText="1"/>
      <protection locked="0"/>
    </xf>
    <xf numFmtId="0" fontId="56" fillId="6" borderId="18" xfId="0" applyFont="1" applyFill="1" applyBorder="1" applyAlignment="1" applyProtection="1">
      <alignment horizontal="center" vertical="center"/>
    </xf>
    <xf numFmtId="0" fontId="74" fillId="6" borderId="42" xfId="0" applyFont="1" applyFill="1" applyBorder="1" applyAlignment="1" applyProtection="1">
      <alignment vertical="center" textRotation="255" wrapText="1"/>
    </xf>
    <xf numFmtId="0" fontId="56" fillId="0" borderId="13" xfId="0" applyNumberFormat="1" applyFont="1" applyFill="1" applyBorder="1" applyAlignment="1" applyProtection="1">
      <alignment horizontal="center" vertical="center" wrapText="1"/>
      <protection locked="0"/>
    </xf>
    <xf numFmtId="0" fontId="56" fillId="0" borderId="25" xfId="0" applyNumberFormat="1" applyFont="1" applyFill="1" applyBorder="1" applyAlignment="1" applyProtection="1">
      <alignment horizontal="center" vertical="center" wrapText="1"/>
      <protection locked="0"/>
    </xf>
    <xf numFmtId="0" fontId="56" fillId="0" borderId="6"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76" fillId="6" borderId="3" xfId="0" applyNumberFormat="1" applyFont="1" applyFill="1" applyBorder="1" applyAlignment="1" applyProtection="1">
      <alignment horizontal="center" vertical="center" wrapText="1"/>
    </xf>
    <xf numFmtId="0" fontId="55" fillId="6" borderId="20" xfId="0" applyFont="1" applyFill="1" applyBorder="1" applyAlignment="1" applyProtection="1">
      <alignment horizontal="right" vertical="center" wrapText="1"/>
    </xf>
    <xf numFmtId="49" fontId="55" fillId="6" borderId="68" xfId="0" applyNumberFormat="1" applyFont="1" applyFill="1" applyBorder="1" applyAlignment="1" applyProtection="1">
      <alignment vertical="center"/>
    </xf>
    <xf numFmtId="14" fontId="56" fillId="6" borderId="6" xfId="0" applyNumberFormat="1" applyFont="1" applyFill="1" applyBorder="1" applyAlignment="1" applyProtection="1">
      <alignment horizontal="left" vertical="center"/>
    </xf>
    <xf numFmtId="176" fontId="56" fillId="6" borderId="9" xfId="0" applyNumberFormat="1" applyFont="1" applyFill="1" applyBorder="1" applyAlignment="1" applyProtection="1">
      <alignment horizontal="center" vertical="center"/>
    </xf>
    <xf numFmtId="0" fontId="56" fillId="6" borderId="9" xfId="0" applyFont="1" applyFill="1" applyBorder="1" applyAlignment="1" applyProtection="1">
      <alignment horizontal="center" vertical="center"/>
    </xf>
    <xf numFmtId="0" fontId="56" fillId="6" borderId="10" xfId="0" applyFont="1" applyFill="1" applyBorder="1" applyAlignment="1" applyProtection="1">
      <alignment horizontal="center" vertical="center"/>
    </xf>
    <xf numFmtId="0" fontId="58" fillId="6" borderId="23" xfId="0" applyFont="1" applyFill="1" applyBorder="1" applyAlignment="1" applyProtection="1"/>
    <xf numFmtId="186" fontId="58" fillId="6" borderId="1" xfId="1" applyNumberFormat="1" applyFont="1" applyFill="1" applyBorder="1" applyAlignment="1" applyProtection="1">
      <alignment horizontal="center"/>
    </xf>
    <xf numFmtId="0" fontId="58" fillId="6" borderId="1" xfId="0" applyFont="1" applyFill="1" applyBorder="1" applyAlignment="1" applyProtection="1">
      <alignment horizontal="center"/>
    </xf>
    <xf numFmtId="177" fontId="58" fillId="6" borderId="24" xfId="1" applyNumberFormat="1" applyFont="1" applyFill="1" applyBorder="1" applyAlignment="1" applyProtection="1">
      <alignment horizontal="center"/>
    </xf>
    <xf numFmtId="0" fontId="77" fillId="0" borderId="0" xfId="0" applyFont="1" applyFill="1" applyAlignment="1" applyProtection="1">
      <alignment horizontal="center" vertical="center"/>
      <protection locked="0"/>
    </xf>
    <xf numFmtId="0" fontId="58" fillId="6" borderId="23" xfId="1" applyFont="1" applyFill="1" applyBorder="1" applyAlignment="1" applyProtection="1"/>
    <xf numFmtId="179" fontId="58" fillId="0" borderId="1" xfId="1" applyNumberFormat="1" applyFont="1" applyFill="1" applyBorder="1" applyAlignment="1" applyProtection="1">
      <alignment horizontal="center"/>
      <protection locked="0"/>
    </xf>
    <xf numFmtId="0" fontId="59" fillId="6" borderId="25" xfId="1" applyFont="1" applyFill="1" applyBorder="1" applyAlignment="1" applyProtection="1"/>
    <xf numFmtId="0" fontId="58" fillId="6" borderId="32" xfId="0" applyFont="1" applyFill="1" applyBorder="1" applyAlignment="1" applyProtection="1">
      <alignment horizontal="center"/>
    </xf>
    <xf numFmtId="177" fontId="59" fillId="6" borderId="49" xfId="0" applyNumberFormat="1" applyFont="1" applyFill="1" applyBorder="1" applyAlignment="1" applyProtection="1">
      <alignment horizontal="center"/>
    </xf>
    <xf numFmtId="0" fontId="49" fillId="6" borderId="44" xfId="0" applyNumberFormat="1" applyFont="1" applyFill="1" applyBorder="1" applyAlignment="1" applyProtection="1">
      <alignment horizontal="left" vertical="center" wrapText="1"/>
    </xf>
    <xf numFmtId="0" fontId="56" fillId="0" borderId="61" xfId="0" applyNumberFormat="1" applyFont="1" applyFill="1" applyBorder="1" applyAlignment="1" applyProtection="1">
      <alignment horizontal="center" vertical="center" wrapText="1"/>
      <protection locked="0"/>
    </xf>
    <xf numFmtId="0" fontId="54" fillId="6" borderId="74" xfId="0" applyNumberFormat="1" applyFont="1" applyFill="1" applyBorder="1" applyAlignment="1" applyProtection="1">
      <alignment horizontal="center" vertical="center" wrapText="1"/>
    </xf>
    <xf numFmtId="0" fontId="56" fillId="0" borderId="66" xfId="0" applyNumberFormat="1" applyFont="1" applyFill="1" applyBorder="1" applyAlignment="1" applyProtection="1">
      <alignment horizontal="center" vertical="center" wrapText="1"/>
      <protection locked="0"/>
    </xf>
    <xf numFmtId="0" fontId="52" fillId="0" borderId="0" xfId="0" applyNumberFormat="1" applyFont="1" applyAlignment="1" applyProtection="1">
      <alignment horizontal="center" vertical="center"/>
      <protection locked="0"/>
    </xf>
    <xf numFmtId="0" fontId="52" fillId="6" borderId="16" xfId="0" applyNumberFormat="1" applyFont="1" applyFill="1" applyBorder="1" applyAlignment="1" applyProtection="1">
      <alignment horizontal="center" vertical="center" wrapText="1"/>
    </xf>
    <xf numFmtId="0" fontId="52" fillId="6" borderId="6" xfId="0" applyNumberFormat="1" applyFont="1" applyFill="1" applyBorder="1" applyAlignment="1" applyProtection="1">
      <alignment horizontal="center" vertical="center" wrapText="1"/>
    </xf>
    <xf numFmtId="0" fontId="52" fillId="6" borderId="9" xfId="0" applyNumberFormat="1" applyFont="1" applyFill="1" applyBorder="1" applyAlignment="1" applyProtection="1">
      <alignment horizontal="center" vertical="center" wrapText="1"/>
    </xf>
    <xf numFmtId="0" fontId="52" fillId="6" borderId="31" xfId="0" applyNumberFormat="1" applyFont="1" applyFill="1" applyBorder="1" applyAlignment="1" applyProtection="1">
      <alignment horizontal="center" vertical="center" wrapText="1"/>
    </xf>
    <xf numFmtId="0" fontId="58" fillId="0" borderId="0" xfId="0" applyFont="1" applyFill="1" applyAlignment="1" applyProtection="1">
      <alignment horizontal="center" vertical="center"/>
      <protection locked="0"/>
    </xf>
    <xf numFmtId="0" fontId="52" fillId="6" borderId="18" xfId="0" applyNumberFormat="1" applyFont="1" applyFill="1" applyBorder="1" applyAlignment="1" applyProtection="1">
      <alignment horizontal="center" vertical="center"/>
    </xf>
    <xf numFmtId="0" fontId="52" fillId="0" borderId="23"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3" fillId="6" borderId="59"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52" fillId="0" borderId="56" xfId="0" applyNumberFormat="1" applyFont="1" applyFill="1" applyBorder="1" applyAlignment="1" applyProtection="1">
      <alignment horizontal="center" vertical="center" wrapText="1"/>
      <protection locked="0"/>
    </xf>
    <xf numFmtId="0" fontId="58" fillId="6" borderId="25" xfId="0" applyNumberFormat="1" applyFont="1" applyFill="1" applyBorder="1" applyAlignment="1" applyProtection="1">
      <alignment horizontal="center" vertical="center" wrapText="1"/>
    </xf>
    <xf numFmtId="0" fontId="50" fillId="6" borderId="1" xfId="0" applyFont="1" applyFill="1" applyBorder="1" applyProtection="1">
      <alignment vertical="center"/>
    </xf>
    <xf numFmtId="0" fontId="52" fillId="6" borderId="1" xfId="0" applyNumberFormat="1"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wrapText="1"/>
    </xf>
    <xf numFmtId="0" fontId="65" fillId="0" borderId="1" xfId="0" applyFont="1" applyFill="1" applyBorder="1" applyAlignment="1" applyProtection="1">
      <alignment horizontal="center" vertical="center"/>
      <protection locked="0"/>
    </xf>
    <xf numFmtId="0" fontId="65" fillId="6" borderId="1" xfId="0" applyFont="1" applyFill="1" applyBorder="1" applyAlignment="1" applyProtection="1">
      <alignment horizontal="center" vertical="center"/>
    </xf>
    <xf numFmtId="0" fontId="65" fillId="2" borderId="1" xfId="0" applyFont="1" applyFill="1" applyBorder="1" applyAlignment="1" applyProtection="1">
      <alignment horizontal="center" vertical="center"/>
      <protection locked="0"/>
    </xf>
    <xf numFmtId="0" fontId="65" fillId="0" borderId="1" xfId="0" applyNumberFormat="1" applyFont="1" applyBorder="1" applyAlignment="1" applyProtection="1">
      <alignment horizontal="center" vertical="center"/>
      <protection locked="0"/>
    </xf>
    <xf numFmtId="0" fontId="65" fillId="0" borderId="0" xfId="0" applyFont="1" applyProtection="1">
      <alignment vertical="center"/>
      <protection locked="0"/>
    </xf>
    <xf numFmtId="0" fontId="49" fillId="6" borderId="23" xfId="0" applyFont="1" applyFill="1" applyBorder="1" applyAlignment="1" applyProtection="1">
      <alignment vertical="center"/>
    </xf>
    <xf numFmtId="0" fontId="58" fillId="0" borderId="8" xfId="1" applyNumberFormat="1" applyFont="1" applyFill="1" applyBorder="1" applyAlignment="1" applyProtection="1">
      <alignment horizontal="center" vertical="center"/>
      <protection locked="0"/>
    </xf>
    <xf numFmtId="0" fontId="58" fillId="0" borderId="61" xfId="1" applyNumberFormat="1" applyFont="1" applyFill="1" applyBorder="1" applyAlignment="1" applyProtection="1">
      <alignment horizontal="center" vertical="center"/>
      <protection locked="0"/>
    </xf>
    <xf numFmtId="181" fontId="52" fillId="0" borderId="10" xfId="0" applyNumberFormat="1" applyFont="1" applyFill="1" applyBorder="1" applyAlignment="1" applyProtection="1">
      <alignment horizontal="center" vertical="center"/>
      <protection locked="0"/>
    </xf>
    <xf numFmtId="0" fontId="51" fillId="0" borderId="32" xfId="0" applyFont="1" applyFill="1" applyBorder="1" applyAlignment="1" applyProtection="1">
      <alignment horizontal="center" vertical="center"/>
      <protection locked="0"/>
    </xf>
    <xf numFmtId="0" fontId="106" fillId="0" borderId="0" xfId="0" applyFont="1" applyProtection="1">
      <alignment vertical="center"/>
    </xf>
    <xf numFmtId="179" fontId="51" fillId="6" borderId="66" xfId="0" applyNumberFormat="1" applyFont="1" applyFill="1" applyBorder="1" applyAlignment="1" applyProtection="1">
      <alignment vertical="center"/>
    </xf>
    <xf numFmtId="179" fontId="51" fillId="6" borderId="32" xfId="0" applyNumberFormat="1" applyFont="1" applyFill="1" applyBorder="1" applyAlignment="1" applyProtection="1">
      <alignment vertical="center"/>
    </xf>
    <xf numFmtId="179" fontId="51" fillId="6" borderId="49" xfId="0" applyNumberFormat="1" applyFont="1" applyFill="1" applyBorder="1" applyAlignment="1" applyProtection="1">
      <alignment vertical="center"/>
    </xf>
    <xf numFmtId="0" fontId="52" fillId="6" borderId="0" xfId="0" applyFont="1" applyFill="1" applyAlignment="1" applyProtection="1">
      <alignment vertical="center"/>
    </xf>
    <xf numFmtId="0" fontId="106" fillId="6" borderId="0" xfId="0" applyFont="1" applyFill="1" applyAlignment="1" applyProtection="1">
      <alignment vertical="center"/>
    </xf>
    <xf numFmtId="0" fontId="106" fillId="6" borderId="0" xfId="0" applyFont="1" applyFill="1" applyAlignment="1" applyProtection="1">
      <alignment horizontal="left" vertical="center"/>
    </xf>
    <xf numFmtId="0" fontId="106" fillId="6" borderId="0" xfId="2" applyFont="1" applyFill="1" applyAlignment="1" applyProtection="1">
      <alignment horizontal="left"/>
    </xf>
    <xf numFmtId="0" fontId="112" fillId="6" borderId="1" xfId="0" applyFont="1" applyFill="1" applyBorder="1" applyAlignment="1" applyProtection="1">
      <alignment horizontal="center" vertical="center" wrapText="1"/>
    </xf>
    <xf numFmtId="0" fontId="112" fillId="6" borderId="24" xfId="0" applyFont="1" applyFill="1" applyBorder="1" applyAlignment="1" applyProtection="1">
      <alignment horizontal="center" vertical="center" wrapText="1"/>
    </xf>
    <xf numFmtId="0" fontId="112" fillId="6" borderId="13" xfId="0" applyFont="1" applyFill="1" applyBorder="1" applyAlignment="1" applyProtection="1">
      <alignment horizontal="center" vertical="center" wrapText="1"/>
    </xf>
    <xf numFmtId="0" fontId="112" fillId="6" borderId="61"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48" xfId="0" applyFont="1" applyFill="1" applyBorder="1" applyAlignment="1" applyProtection="1">
      <alignment vertical="center" wrapText="1"/>
    </xf>
    <xf numFmtId="0" fontId="112" fillId="6" borderId="33" xfId="0" applyFont="1" applyFill="1" applyBorder="1" applyAlignment="1" applyProtection="1">
      <alignment vertical="center" wrapText="1"/>
    </xf>
    <xf numFmtId="0" fontId="112" fillId="6" borderId="68" xfId="0" applyFont="1" applyFill="1" applyBorder="1" applyAlignment="1" applyProtection="1">
      <alignment vertical="center" wrapText="1"/>
    </xf>
    <xf numFmtId="49" fontId="62" fillId="6" borderId="0" xfId="0" applyNumberFormat="1" applyFont="1" applyFill="1" applyBorder="1" applyAlignment="1" applyProtection="1">
      <alignment horizontal="center"/>
    </xf>
    <xf numFmtId="49" fontId="59" fillId="6" borderId="0" xfId="0" applyNumberFormat="1" applyFont="1" applyFill="1" applyBorder="1" applyAlignment="1" applyProtection="1">
      <alignment horizontal="left" vertical="center"/>
    </xf>
    <xf numFmtId="0" fontId="59" fillId="6" borderId="0" xfId="0" applyFont="1" applyFill="1" applyBorder="1" applyAlignment="1" applyProtection="1">
      <alignment horizontal="left" vertical="center"/>
    </xf>
    <xf numFmtId="0" fontId="65" fillId="6" borderId="0" xfId="0" applyFont="1" applyFill="1" applyBorder="1" applyAlignment="1" applyProtection="1">
      <alignment horizontal="center" vertical="center"/>
    </xf>
    <xf numFmtId="0" fontId="52" fillId="6" borderId="0" xfId="0" applyFont="1" applyFill="1" applyBorder="1" applyAlignment="1" applyProtection="1">
      <alignment vertical="center"/>
    </xf>
    <xf numFmtId="0" fontId="58" fillId="6" borderId="0" xfId="0" applyFont="1" applyFill="1" applyBorder="1" applyAlignment="1" applyProtection="1">
      <alignment horizontal="left" vertical="center"/>
    </xf>
    <xf numFmtId="179" fontId="65" fillId="6" borderId="0" xfId="0" applyNumberFormat="1" applyFont="1" applyFill="1" applyBorder="1" applyAlignment="1" applyProtection="1">
      <alignment horizontal="center" vertical="center"/>
    </xf>
    <xf numFmtId="0" fontId="52" fillId="6" borderId="0" xfId="0" applyFont="1" applyFill="1" applyAlignment="1" applyProtection="1">
      <alignment horizontal="left" vertical="center"/>
    </xf>
    <xf numFmtId="0" fontId="68" fillId="6" borderId="0" xfId="0" applyFont="1" applyFill="1" applyAlignment="1" applyProtection="1">
      <alignment vertical="center"/>
    </xf>
    <xf numFmtId="49" fontId="67" fillId="6" borderId="0" xfId="0" applyNumberFormat="1" applyFont="1" applyFill="1" applyBorder="1" applyAlignment="1" applyProtection="1">
      <alignment horizontal="left"/>
    </xf>
    <xf numFmtId="0" fontId="70" fillId="6" borderId="36" xfId="0" applyFont="1" applyFill="1" applyBorder="1" applyAlignment="1" applyProtection="1">
      <alignment vertical="center"/>
    </xf>
    <xf numFmtId="0" fontId="67" fillId="6" borderId="36" xfId="0" applyFont="1" applyFill="1" applyBorder="1" applyAlignment="1" applyProtection="1">
      <alignment vertical="center"/>
    </xf>
    <xf numFmtId="189" fontId="67" fillId="6" borderId="36" xfId="0" applyNumberFormat="1" applyFont="1" applyFill="1" applyBorder="1" applyAlignment="1" applyProtection="1">
      <alignment horizontal="center" vertical="center"/>
    </xf>
    <xf numFmtId="181" fontId="67" fillId="6" borderId="36" xfId="0" applyNumberFormat="1" applyFont="1" applyFill="1" applyBorder="1" applyAlignment="1" applyProtection="1">
      <alignment vertical="center"/>
    </xf>
    <xf numFmtId="0" fontId="67" fillId="6" borderId="36" xfId="0" applyFont="1" applyFill="1" applyBorder="1" applyAlignment="1" applyProtection="1">
      <alignment horizontal="center" vertical="center"/>
    </xf>
    <xf numFmtId="0" fontId="56" fillId="6" borderId="0" xfId="0" applyFont="1" applyFill="1" applyAlignment="1" applyProtection="1">
      <alignment horizontal="center" vertical="center"/>
    </xf>
    <xf numFmtId="0" fontId="73" fillId="6" borderId="0" xfId="0" applyFont="1" applyFill="1" applyAlignment="1" applyProtection="1">
      <alignment horizontal="center" vertical="center"/>
    </xf>
    <xf numFmtId="14" fontId="56" fillId="6" borderId="0" xfId="0" applyNumberFormat="1" applyFont="1" applyFill="1" applyAlignment="1" applyProtection="1">
      <alignment horizontal="center" vertical="center"/>
    </xf>
    <xf numFmtId="176" fontId="56" fillId="6" borderId="0" xfId="0" applyNumberFormat="1" applyFont="1" applyFill="1" applyAlignment="1" applyProtection="1">
      <alignment horizontal="center" vertical="center"/>
    </xf>
    <xf numFmtId="0" fontId="61" fillId="6" borderId="0" xfId="0" applyFont="1" applyFill="1" applyBorder="1" applyAlignment="1" applyProtection="1"/>
    <xf numFmtId="0" fontId="56" fillId="6" borderId="0" xfId="0" applyFont="1" applyFill="1" applyBorder="1" applyAlignment="1" applyProtection="1"/>
    <xf numFmtId="0" fontId="56" fillId="6" borderId="0" xfId="0" applyFont="1" applyFill="1" applyBorder="1" applyAlignment="1" applyProtection="1">
      <alignment horizontal="center"/>
    </xf>
    <xf numFmtId="189" fontId="56" fillId="6" borderId="0" xfId="0" applyNumberFormat="1" applyFont="1" applyFill="1" applyBorder="1" applyAlignment="1" applyProtection="1">
      <alignment horizontal="center"/>
    </xf>
    <xf numFmtId="181" fontId="56" fillId="6" borderId="0" xfId="0" applyNumberFormat="1" applyFont="1" applyFill="1" applyBorder="1" applyAlignment="1" applyProtection="1"/>
    <xf numFmtId="0" fontId="67" fillId="6" borderId="0" xfId="0" applyFont="1" applyFill="1" applyBorder="1" applyAlignment="1" applyProtection="1">
      <alignment horizontal="center" vertical="center"/>
    </xf>
    <xf numFmtId="0" fontId="68" fillId="6" borderId="0" xfId="0" applyFont="1" applyFill="1" applyBorder="1" applyAlignment="1" applyProtection="1">
      <alignment horizontal="center" vertical="center"/>
    </xf>
    <xf numFmtId="188"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xf>
    <xf numFmtId="188" fontId="56" fillId="6" borderId="5" xfId="0" applyNumberFormat="1" applyFont="1" applyFill="1" applyBorder="1" applyAlignment="1" applyProtection="1">
      <alignment horizontal="center" vertical="center"/>
    </xf>
    <xf numFmtId="49" fontId="56" fillId="6" borderId="3"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56" fillId="6" borderId="2" xfId="0" applyFont="1" applyFill="1" applyBorder="1" applyAlignment="1" applyProtection="1">
      <alignment vertical="center" textRotation="255" wrapText="1"/>
    </xf>
    <xf numFmtId="0" fontId="68" fillId="6" borderId="0" xfId="0" applyFont="1" applyFill="1" applyAlignment="1" applyProtection="1">
      <alignment horizontal="center" vertical="center"/>
    </xf>
    <xf numFmtId="189" fontId="56" fillId="6" borderId="3" xfId="0" applyNumberFormat="1" applyFont="1" applyFill="1" applyBorder="1" applyAlignment="1" applyProtection="1">
      <alignment horizontal="center" vertical="center"/>
    </xf>
    <xf numFmtId="189" fontId="56" fillId="6" borderId="3" xfId="0" applyNumberFormat="1" applyFont="1" applyFill="1" applyBorder="1" applyAlignment="1" applyProtection="1">
      <alignment horizontal="center" vertical="center" wrapText="1"/>
    </xf>
    <xf numFmtId="189" fontId="56" fillId="6" borderId="1" xfId="0" applyNumberFormat="1" applyFont="1" applyFill="1" applyBorder="1" applyAlignment="1" applyProtection="1">
      <alignment horizontal="center" vertical="center" wrapText="1"/>
    </xf>
    <xf numFmtId="0" fontId="67" fillId="6" borderId="60" xfId="0" applyFont="1" applyFill="1" applyBorder="1" applyAlignment="1" applyProtection="1">
      <alignment horizontal="center" vertical="center"/>
    </xf>
    <xf numFmtId="0" fontId="58" fillId="6" borderId="0" xfId="0" applyFont="1" applyFill="1" applyAlignment="1" applyProtection="1"/>
    <xf numFmtId="0" fontId="52" fillId="6" borderId="0" xfId="0" applyNumberFormat="1" applyFont="1" applyFill="1" applyAlignment="1" applyProtection="1">
      <alignment horizontal="center" vertical="center"/>
      <protection locked="0"/>
    </xf>
    <xf numFmtId="0" fontId="49" fillId="6" borderId="32" xfId="0" applyFont="1" applyFill="1" applyBorder="1" applyAlignment="1" applyProtection="1">
      <alignment horizontal="center" vertical="center"/>
    </xf>
    <xf numFmtId="0" fontId="49" fillId="6" borderId="49" xfId="0" applyFont="1" applyFill="1" applyBorder="1" applyAlignment="1" applyProtection="1">
      <alignment horizontal="center" vertical="center"/>
    </xf>
    <xf numFmtId="181" fontId="113" fillId="6" borderId="65" xfId="0" applyNumberFormat="1" applyFont="1" applyFill="1" applyBorder="1" applyAlignment="1" applyProtection="1">
      <alignment horizontal="center" vertical="center"/>
    </xf>
    <xf numFmtId="179" fontId="58" fillId="7" borderId="0" xfId="0" applyNumberFormat="1" applyFont="1" applyFill="1" applyBorder="1" applyAlignment="1" applyProtection="1">
      <alignment horizontal="center" vertical="center"/>
      <protection locked="0"/>
    </xf>
    <xf numFmtId="49" fontId="59" fillId="7" borderId="0" xfId="0" applyNumberFormat="1" applyFont="1" applyFill="1" applyBorder="1" applyAlignment="1" applyProtection="1">
      <alignment horizontal="left" vertical="center"/>
      <protection locked="0"/>
    </xf>
    <xf numFmtId="0" fontId="68" fillId="7" borderId="0" xfId="0" applyFont="1" applyFill="1" applyAlignment="1" applyProtection="1">
      <alignment vertical="center"/>
      <protection locked="0"/>
    </xf>
    <xf numFmtId="0" fontId="52" fillId="7" borderId="0" xfId="0" applyFont="1" applyFill="1" applyProtection="1">
      <alignment vertical="center"/>
      <protection locked="0"/>
    </xf>
    <xf numFmtId="0" fontId="58" fillId="7" borderId="0" xfId="0" applyFont="1" applyFill="1" applyAlignment="1" applyProtection="1">
      <alignment horizontal="center" vertical="center"/>
      <protection locked="0"/>
    </xf>
    <xf numFmtId="0" fontId="53" fillId="7" borderId="0" xfId="0" applyFont="1" applyFill="1" applyAlignment="1" applyProtection="1">
      <alignment horizontal="center" vertical="center"/>
      <protection locked="0"/>
    </xf>
    <xf numFmtId="0" fontId="52" fillId="7" borderId="0" xfId="0" applyFont="1" applyFill="1" applyAlignment="1" applyProtection="1">
      <alignment horizontal="center" vertical="center"/>
      <protection locked="0"/>
    </xf>
    <xf numFmtId="0" fontId="52" fillId="7" borderId="0" xfId="0" applyFont="1" applyFill="1" applyAlignment="1" applyProtection="1">
      <alignment horizontal="center" vertical="center" wrapText="1"/>
      <protection locked="0"/>
    </xf>
    <xf numFmtId="0" fontId="65" fillId="7" borderId="0" xfId="0" applyFont="1" applyFill="1" applyProtection="1">
      <alignment vertical="center"/>
      <protection locked="0"/>
    </xf>
    <xf numFmtId="10" fontId="52" fillId="0" borderId="1" xfId="1" applyNumberFormat="1" applyFont="1" applyFill="1" applyBorder="1" applyAlignment="1" applyProtection="1">
      <alignment horizontal="center" vertical="center"/>
      <protection locked="0"/>
    </xf>
    <xf numFmtId="181" fontId="107" fillId="0" borderId="1" xfId="0" applyNumberFormat="1" applyFont="1" applyFill="1" applyBorder="1" applyAlignment="1" applyProtection="1">
      <alignment horizontal="center" vertical="center"/>
      <protection locked="0"/>
    </xf>
    <xf numFmtId="177" fontId="52" fillId="0" borderId="1" xfId="1" applyNumberFormat="1" applyFont="1" applyFill="1" applyBorder="1" applyAlignment="1" applyProtection="1">
      <alignment horizontal="center" vertical="center"/>
      <protection locked="0"/>
    </xf>
    <xf numFmtId="9" fontId="52" fillId="0" borderId="5" xfId="0" applyNumberFormat="1" applyFont="1" applyFill="1" applyBorder="1" applyAlignment="1" applyProtection="1">
      <alignment horizontal="center" vertical="center"/>
      <protection locked="0"/>
    </xf>
    <xf numFmtId="0" fontId="52" fillId="0" borderId="23" xfId="0" applyFont="1" applyBorder="1" applyAlignment="1" applyProtection="1">
      <alignment vertical="center"/>
      <protection locked="0"/>
    </xf>
    <xf numFmtId="181" fontId="52" fillId="0" borderId="1" xfId="0" applyNumberFormat="1" applyFont="1" applyBorder="1" applyAlignment="1" applyProtection="1">
      <alignment vertical="center"/>
      <protection locked="0"/>
    </xf>
    <xf numFmtId="181" fontId="52" fillId="0" borderId="24" xfId="0" applyNumberFormat="1" applyFont="1" applyBorder="1" applyAlignment="1" applyProtection="1">
      <alignment vertical="center"/>
      <protection locked="0"/>
    </xf>
    <xf numFmtId="0" fontId="52" fillId="0" borderId="23" xfId="0" applyFont="1" applyBorder="1" applyAlignment="1" applyProtection="1">
      <alignment horizontal="center" vertical="center"/>
      <protection locked="0"/>
    </xf>
    <xf numFmtId="10" fontId="52" fillId="0" borderId="1" xfId="0" applyNumberFormat="1" applyFont="1" applyBorder="1" applyAlignment="1" applyProtection="1">
      <alignment horizontal="center" vertical="center"/>
      <protection locked="0"/>
    </xf>
    <xf numFmtId="183" fontId="52" fillId="0" borderId="1" xfId="0" applyNumberFormat="1" applyFont="1" applyBorder="1" applyAlignment="1" applyProtection="1">
      <alignment horizontal="center" vertical="center"/>
      <protection locked="0"/>
    </xf>
    <xf numFmtId="181" fontId="52" fillId="0" borderId="24" xfId="0" applyNumberFormat="1" applyFont="1" applyBorder="1" applyAlignment="1" applyProtection="1">
      <alignment horizontal="center" vertical="center"/>
      <protection locked="0"/>
    </xf>
    <xf numFmtId="0" fontId="66"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7" fillId="6" borderId="20" xfId="0" applyFont="1" applyFill="1" applyBorder="1" applyAlignment="1" applyProtection="1">
      <alignment vertical="center"/>
    </xf>
    <xf numFmtId="0" fontId="117" fillId="6" borderId="21" xfId="0" applyFont="1" applyFill="1" applyBorder="1" applyAlignment="1" applyProtection="1">
      <alignment horizontal="center" vertical="center"/>
    </xf>
    <xf numFmtId="0" fontId="0" fillId="0" borderId="0" xfId="0" applyProtection="1">
      <alignment vertical="center"/>
    </xf>
    <xf numFmtId="0" fontId="115" fillId="6" borderId="23" xfId="0" applyFont="1" applyFill="1" applyBorder="1" applyAlignment="1" applyProtection="1">
      <alignment horizontal="center" vertical="center" wrapText="1"/>
    </xf>
    <xf numFmtId="0" fontId="115" fillId="6" borderId="1" xfId="0" applyFont="1" applyFill="1" applyBorder="1" applyAlignment="1" applyProtection="1">
      <alignment horizontal="center" vertical="center" wrapText="1"/>
    </xf>
    <xf numFmtId="0" fontId="58" fillId="6" borderId="24" xfId="0" applyFont="1" applyFill="1" applyBorder="1" applyAlignment="1" applyProtection="1">
      <alignment horizontal="center" vertical="center" wrapText="1"/>
    </xf>
    <xf numFmtId="9" fontId="107" fillId="6" borderId="1" xfId="0" applyNumberFormat="1" applyFont="1" applyFill="1" applyBorder="1" applyAlignment="1" applyProtection="1">
      <alignment horizontal="center" vertical="center" wrapText="1"/>
    </xf>
    <xf numFmtId="10" fontId="58" fillId="6" borderId="61" xfId="0" applyNumberFormat="1" applyFont="1" applyFill="1" applyBorder="1" applyAlignment="1" applyProtection="1">
      <alignment horizontal="center" vertical="center" wrapText="1"/>
    </xf>
    <xf numFmtId="10" fontId="58" fillId="6" borderId="53" xfId="0" applyNumberFormat="1" applyFont="1" applyFill="1" applyBorder="1" applyAlignment="1" applyProtection="1">
      <alignment vertical="center" wrapText="1"/>
    </xf>
    <xf numFmtId="0" fontId="115" fillId="6" borderId="13" xfId="0" applyFont="1" applyFill="1" applyBorder="1" applyAlignment="1" applyProtection="1">
      <alignment horizontal="center" vertical="center" wrapText="1"/>
    </xf>
    <xf numFmtId="9" fontId="107" fillId="6" borderId="32" xfId="0" applyNumberFormat="1" applyFont="1" applyFill="1" applyBorder="1" applyAlignment="1" applyProtection="1">
      <alignment horizontal="center" vertical="center" wrapText="1"/>
    </xf>
    <xf numFmtId="10" fontId="58" fillId="6" borderId="76" xfId="0" applyNumberFormat="1" applyFont="1" applyFill="1" applyBorder="1" applyAlignment="1" applyProtection="1">
      <alignment vertical="center" wrapText="1"/>
    </xf>
    <xf numFmtId="10" fontId="58" fillId="6" borderId="53" xfId="0" applyNumberFormat="1" applyFont="1" applyFill="1" applyBorder="1" applyAlignment="1" applyProtection="1">
      <alignment horizontal="center" vertical="center" wrapText="1"/>
    </xf>
    <xf numFmtId="10" fontId="58"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2"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8" fillId="6" borderId="23"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0" fontId="102" fillId="6" borderId="19" xfId="0" applyFont="1" applyFill="1" applyBorder="1" applyProtection="1">
      <alignment vertical="center"/>
    </xf>
    <xf numFmtId="0" fontId="119" fillId="6" borderId="28" xfId="0" applyFont="1" applyFill="1" applyBorder="1" applyAlignment="1" applyProtection="1">
      <alignment horizontal="center" vertical="center"/>
    </xf>
    <xf numFmtId="0" fontId="102" fillId="6" borderId="18" xfId="0" applyFont="1" applyFill="1" applyBorder="1" applyProtection="1">
      <alignment vertical="center"/>
    </xf>
    <xf numFmtId="0" fontId="119" fillId="6" borderId="32" xfId="0" applyFont="1" applyFill="1" applyBorder="1" applyAlignment="1" applyProtection="1">
      <alignment horizontal="center" vertical="center"/>
    </xf>
    <xf numFmtId="0" fontId="119" fillId="6" borderId="33" xfId="0" applyFont="1" applyFill="1" applyBorder="1" applyAlignment="1" applyProtection="1">
      <alignment horizontal="center" vertical="center"/>
    </xf>
    <xf numFmtId="0" fontId="118" fillId="6" borderId="40" xfId="0" applyFont="1" applyFill="1" applyBorder="1" applyAlignment="1" applyProtection="1">
      <alignment vertical="center" wrapText="1"/>
    </xf>
    <xf numFmtId="0" fontId="118" fillId="6" borderId="9" xfId="0" applyFont="1" applyFill="1" applyBorder="1" applyAlignment="1" applyProtection="1">
      <alignment horizontal="center" vertical="center" wrapText="1"/>
    </xf>
    <xf numFmtId="0" fontId="118" fillId="6" borderId="28" xfId="0" applyFont="1" applyFill="1" applyBorder="1" applyAlignment="1" applyProtection="1">
      <alignment horizontal="center" vertical="center" wrapText="1"/>
    </xf>
    <xf numFmtId="0" fontId="118" fillId="6" borderId="4" xfId="0" applyFont="1" applyFill="1" applyBorder="1" applyAlignment="1" applyProtection="1">
      <alignment horizontal="center" vertical="center" wrapText="1"/>
    </xf>
    <xf numFmtId="0" fontId="118" fillId="6" borderId="2" xfId="0" applyFont="1" applyFill="1" applyBorder="1" applyAlignment="1" applyProtection="1">
      <alignment horizontal="center" vertical="center" wrapText="1"/>
    </xf>
    <xf numFmtId="0" fontId="118" fillId="6" borderId="74" xfId="0" applyFont="1" applyFill="1" applyBorder="1" applyAlignment="1" applyProtection="1">
      <alignment horizontal="center" vertical="center" wrapText="1"/>
    </xf>
    <xf numFmtId="0" fontId="118" fillId="6" borderId="32" xfId="0" applyFont="1" applyFill="1" applyBorder="1" applyAlignment="1" applyProtection="1">
      <alignment horizontal="center" vertical="center" wrapText="1"/>
    </xf>
    <xf numFmtId="0" fontId="120" fillId="6" borderId="33" xfId="0" applyFont="1" applyFill="1" applyBorder="1" applyProtection="1">
      <alignment vertical="center"/>
    </xf>
    <xf numFmtId="0" fontId="118" fillId="6" borderId="5" xfId="0" applyFont="1" applyFill="1" applyBorder="1" applyAlignment="1" applyProtection="1">
      <alignment horizontal="center" vertical="center" wrapText="1"/>
    </xf>
    <xf numFmtId="0" fontId="120" fillId="6" borderId="5" xfId="0" applyFont="1" applyFill="1" applyBorder="1" applyProtection="1">
      <alignment vertical="center"/>
    </xf>
    <xf numFmtId="0" fontId="118" fillId="6" borderId="26" xfId="0" applyFont="1" applyFill="1" applyBorder="1" applyAlignment="1" applyProtection="1">
      <alignment vertical="center" wrapText="1"/>
    </xf>
    <xf numFmtId="0" fontId="118"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5" fillId="6" borderId="6" xfId="0" applyFont="1" applyFill="1" applyBorder="1" applyAlignment="1" applyProtection="1">
      <alignment horizontal="center" vertical="center" wrapText="1"/>
    </xf>
    <xf numFmtId="0" fontId="115" fillId="6" borderId="9" xfId="0" applyFont="1" applyFill="1" applyBorder="1" applyAlignment="1" applyProtection="1">
      <alignment horizontal="center" vertical="center" wrapText="1"/>
    </xf>
    <xf numFmtId="0" fontId="115" fillId="6" borderId="10" xfId="0" applyFont="1" applyFill="1" applyBorder="1" applyAlignment="1" applyProtection="1">
      <alignment horizontal="center" vertical="center" wrapText="1"/>
    </xf>
    <xf numFmtId="0" fontId="115" fillId="6" borderId="24" xfId="0" applyFont="1" applyFill="1" applyBorder="1" applyAlignment="1" applyProtection="1">
      <alignment horizontal="center" vertical="center" wrapText="1"/>
    </xf>
    <xf numFmtId="0" fontId="115" fillId="6" borderId="11" xfId="0" applyFont="1" applyFill="1" applyBorder="1" applyAlignment="1" applyProtection="1">
      <alignment horizontal="center" vertical="center" wrapText="1"/>
    </xf>
    <xf numFmtId="0" fontId="115"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21" fillId="6" borderId="60" xfId="0" applyFont="1" applyFill="1" applyBorder="1" applyAlignment="1" applyProtection="1">
      <alignment vertical="center"/>
    </xf>
    <xf numFmtId="0" fontId="121" fillId="6" borderId="0" xfId="0" applyFont="1" applyFill="1" applyBorder="1" applyAlignment="1" applyProtection="1">
      <alignment vertical="center"/>
    </xf>
    <xf numFmtId="0" fontId="0" fillId="0" borderId="0" xfId="0" applyAlignment="1" applyProtection="1">
      <alignment horizontal="center" vertical="center"/>
    </xf>
    <xf numFmtId="0" fontId="115" fillId="6" borderId="5" xfId="0" applyFont="1" applyFill="1" applyBorder="1" applyAlignment="1" applyProtection="1">
      <alignment horizontal="center" vertical="center" wrapText="1"/>
    </xf>
    <xf numFmtId="0" fontId="115" fillId="6" borderId="3" xfId="0" applyFont="1" applyFill="1" applyBorder="1" applyAlignment="1" applyProtection="1">
      <alignment horizontal="center" vertical="center" wrapText="1"/>
    </xf>
    <xf numFmtId="0" fontId="115" fillId="6" borderId="0" xfId="0" applyFont="1" applyFill="1" applyBorder="1" applyAlignment="1" applyProtection="1">
      <alignment horizontal="center" vertical="center" wrapText="1"/>
    </xf>
    <xf numFmtId="0" fontId="115" fillId="6" borderId="1" xfId="0" applyFont="1" applyFill="1" applyBorder="1" applyAlignment="1" applyProtection="1">
      <alignment horizontal="center" vertical="center"/>
    </xf>
    <xf numFmtId="0" fontId="115" fillId="6" borderId="5" xfId="0" applyFont="1" applyFill="1" applyBorder="1" applyAlignment="1" applyProtection="1">
      <alignment horizontal="left" vertical="center"/>
    </xf>
    <xf numFmtId="0" fontId="115" fillId="6" borderId="3" xfId="0" applyFont="1" applyFill="1" applyBorder="1" applyAlignment="1" applyProtection="1">
      <alignment horizontal="left" vertical="center"/>
    </xf>
    <xf numFmtId="0" fontId="115" fillId="6" borderId="0" xfId="0" applyFont="1" applyFill="1" applyBorder="1" applyAlignment="1" applyProtection="1">
      <alignment vertical="center"/>
    </xf>
    <xf numFmtId="0" fontId="115" fillId="6" borderId="0" xfId="0" applyFont="1" applyFill="1" applyBorder="1" applyAlignment="1" applyProtection="1">
      <alignment horizontal="center" vertical="center"/>
    </xf>
    <xf numFmtId="0" fontId="0" fillId="0" borderId="0" xfId="0" applyAlignment="1" applyProtection="1">
      <alignment vertical="center"/>
    </xf>
    <xf numFmtId="0" fontId="115" fillId="0" borderId="36" xfId="0" applyFont="1" applyBorder="1" applyAlignment="1" applyProtection="1">
      <alignment vertical="center"/>
    </xf>
    <xf numFmtId="0" fontId="115" fillId="0" borderId="0" xfId="0" applyFont="1" applyBorder="1" applyAlignment="1" applyProtection="1">
      <alignment vertical="center"/>
    </xf>
    <xf numFmtId="0" fontId="115" fillId="6" borderId="4" xfId="0" applyFont="1" applyFill="1" applyBorder="1" applyAlignment="1" applyProtection="1">
      <alignment vertical="center" wrapText="1"/>
    </xf>
    <xf numFmtId="0" fontId="115" fillId="6" borderId="2" xfId="0" applyFont="1" applyFill="1" applyBorder="1" applyAlignment="1" applyProtection="1">
      <alignment vertical="center" wrapText="1"/>
    </xf>
    <xf numFmtId="0" fontId="115" fillId="6" borderId="7" xfId="0" applyFont="1" applyFill="1" applyBorder="1" applyAlignment="1" applyProtection="1">
      <alignment vertical="center" wrapText="1"/>
    </xf>
    <xf numFmtId="0" fontId="115" fillId="6" borderId="2" xfId="0" applyFont="1" applyFill="1" applyBorder="1" applyAlignment="1" applyProtection="1">
      <alignment horizontal="center" vertical="center"/>
    </xf>
    <xf numFmtId="0" fontId="115" fillId="6" borderId="0" xfId="0" applyFont="1" applyFill="1" applyAlignment="1" applyProtection="1">
      <alignment horizontal="center" vertical="center"/>
    </xf>
    <xf numFmtId="9" fontId="115" fillId="6" borderId="1" xfId="0" applyNumberFormat="1" applyFont="1" applyFill="1" applyBorder="1" applyAlignment="1" applyProtection="1">
      <alignment horizontal="center" vertical="center"/>
    </xf>
    <xf numFmtId="179" fontId="83" fillId="0" borderId="60" xfId="3" applyNumberFormat="1" applyFont="1" applyBorder="1" applyAlignment="1" applyProtection="1">
      <alignment vertical="center"/>
    </xf>
    <xf numFmtId="0" fontId="83" fillId="0" borderId="60" xfId="3" applyNumberFormat="1" applyFont="1" applyBorder="1" applyAlignment="1" applyProtection="1">
      <alignment vertical="center"/>
    </xf>
    <xf numFmtId="0" fontId="0" fillId="0" borderId="0" xfId="0" applyNumberFormat="1" applyProtection="1">
      <alignment vertical="center"/>
    </xf>
    <xf numFmtId="179" fontId="84" fillId="6" borderId="1" xfId="3" applyNumberFormat="1" applyFont="1" applyFill="1" applyBorder="1" applyAlignment="1" applyProtection="1">
      <alignment horizontal="center" vertical="center"/>
    </xf>
    <xf numFmtId="0" fontId="84" fillId="6" borderId="1" xfId="3" applyNumberFormat="1" applyFont="1" applyFill="1" applyBorder="1" applyAlignment="1" applyProtection="1">
      <alignment horizontal="center" vertical="center"/>
    </xf>
    <xf numFmtId="0" fontId="84" fillId="6" borderId="1" xfId="3" applyNumberFormat="1" applyFont="1" applyFill="1" applyBorder="1" applyAlignment="1" applyProtection="1">
      <alignment horizontal="center" vertical="center" wrapText="1"/>
    </xf>
    <xf numFmtId="0" fontId="84" fillId="6" borderId="15" xfId="3" applyNumberFormat="1" applyFont="1" applyFill="1" applyBorder="1" applyAlignment="1" applyProtection="1">
      <alignment horizontal="center" vertical="center"/>
    </xf>
    <xf numFmtId="0" fontId="58" fillId="6" borderId="15" xfId="0" applyNumberFormat="1" applyFont="1" applyFill="1" applyBorder="1" applyAlignment="1" applyProtection="1">
      <alignment horizontal="center" vertical="center" wrapText="1"/>
    </xf>
    <xf numFmtId="0" fontId="58" fillId="6" borderId="17" xfId="0" applyNumberFormat="1" applyFont="1" applyFill="1" applyBorder="1" applyAlignment="1" applyProtection="1">
      <alignment horizontal="center" vertical="center" wrapText="1"/>
    </xf>
    <xf numFmtId="0" fontId="122" fillId="6" borderId="19" xfId="0" applyNumberFormat="1" applyFont="1" applyFill="1" applyBorder="1" applyAlignment="1" applyProtection="1">
      <alignment horizontal="center" vertical="center" wrapText="1"/>
    </xf>
    <xf numFmtId="0" fontId="123"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8" fillId="6" borderId="16" xfId="0" applyNumberFormat="1" applyFont="1" applyFill="1" applyBorder="1" applyAlignment="1" applyProtection="1">
      <alignment vertical="center" wrapText="1"/>
    </xf>
    <xf numFmtId="0" fontId="58" fillId="6" borderId="23" xfId="0" applyNumberFormat="1" applyFont="1" applyFill="1" applyBorder="1" applyAlignment="1" applyProtection="1">
      <alignment horizontal="center" vertical="center" wrapText="1"/>
    </xf>
    <xf numFmtId="0" fontId="122" fillId="6" borderId="1" xfId="0" applyNumberFormat="1" applyFont="1" applyFill="1" applyBorder="1" applyAlignment="1" applyProtection="1">
      <alignment horizontal="center" vertical="center" wrapText="1"/>
    </xf>
    <xf numFmtId="0" fontId="122" fillId="6" borderId="24" xfId="0" applyNumberFormat="1" applyFont="1" applyFill="1" applyBorder="1" applyAlignment="1" applyProtection="1">
      <alignment horizontal="center" vertical="center" wrapText="1"/>
    </xf>
    <xf numFmtId="0" fontId="122" fillId="6" borderId="32" xfId="0" applyNumberFormat="1" applyFont="1" applyFill="1" applyBorder="1" applyAlignment="1" applyProtection="1">
      <alignment horizontal="center" vertical="center" wrapText="1"/>
    </xf>
    <xf numFmtId="0" fontId="122" fillId="6" borderId="49" xfId="0" applyNumberFormat="1" applyFont="1" applyFill="1" applyBorder="1" applyAlignment="1" applyProtection="1">
      <alignment horizontal="center" vertical="center" wrapText="1"/>
    </xf>
    <xf numFmtId="179" fontId="84"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6" fillId="6" borderId="1" xfId="0" applyNumberFormat="1" applyFont="1" applyFill="1" applyBorder="1" applyAlignment="1" applyProtection="1">
      <alignment horizontal="center" vertical="center" wrapText="1"/>
    </xf>
    <xf numFmtId="0" fontId="55" fillId="6" borderId="36" xfId="0" applyFont="1" applyFill="1" applyBorder="1" applyAlignment="1" applyProtection="1">
      <alignment horizontal="center" vertical="center"/>
    </xf>
    <xf numFmtId="0" fontId="59" fillId="6" borderId="34" xfId="0" applyFont="1" applyFill="1" applyBorder="1" applyAlignment="1" applyProtection="1">
      <alignment horizontal="center" vertical="center"/>
    </xf>
    <xf numFmtId="0" fontId="59" fillId="6" borderId="28" xfId="0" applyNumberFormat="1" applyFont="1" applyFill="1" applyBorder="1" applyAlignment="1" applyProtection="1">
      <alignment horizontal="center" vertical="center" wrapText="1"/>
    </xf>
    <xf numFmtId="0" fontId="58" fillId="6" borderId="2" xfId="0" applyFont="1" applyFill="1" applyBorder="1" applyAlignment="1" applyProtection="1">
      <alignment horizontal="center" vertical="center" wrapText="1"/>
    </xf>
    <xf numFmtId="0" fontId="58" fillId="6" borderId="4" xfId="0" applyFont="1" applyFill="1" applyBorder="1" applyAlignment="1" applyProtection="1">
      <alignment horizontal="center" vertical="center" wrapText="1"/>
    </xf>
    <xf numFmtId="9" fontId="58" fillId="6" borderId="1" xfId="0" applyNumberFormat="1" applyFont="1" applyFill="1" applyBorder="1" applyAlignment="1" applyProtection="1">
      <alignment horizontal="center" vertical="center" wrapText="1"/>
    </xf>
    <xf numFmtId="0" fontId="58" fillId="6" borderId="13" xfId="0" applyFont="1" applyFill="1" applyBorder="1" applyAlignment="1" applyProtection="1">
      <alignment horizontal="center" vertical="center" wrapText="1"/>
    </xf>
    <xf numFmtId="187" fontId="55" fillId="6" borderId="84" xfId="0" applyNumberFormat="1" applyFont="1" applyFill="1" applyBorder="1" applyAlignment="1" applyProtection="1">
      <alignment horizontal="center" vertical="center" wrapText="1"/>
    </xf>
    <xf numFmtId="14" fontId="56" fillId="6" borderId="84" xfId="0" applyNumberFormat="1" applyFont="1" applyFill="1" applyBorder="1" applyAlignment="1" applyProtection="1">
      <alignment horizontal="center" vertical="center" wrapText="1"/>
    </xf>
    <xf numFmtId="14" fontId="56" fillId="6" borderId="64" xfId="0" applyNumberFormat="1" applyFont="1" applyFill="1" applyBorder="1" applyAlignment="1" applyProtection="1">
      <alignment horizontal="center" vertical="center" wrapText="1"/>
    </xf>
    <xf numFmtId="10" fontId="56" fillId="6" borderId="64" xfId="0" applyNumberFormat="1" applyFont="1" applyFill="1" applyBorder="1" applyAlignment="1" applyProtection="1">
      <alignment horizontal="center" vertical="center" wrapText="1"/>
    </xf>
    <xf numFmtId="0" fontId="107" fillId="6" borderId="67" xfId="0" applyFont="1" applyFill="1" applyBorder="1" applyAlignment="1" applyProtection="1">
      <alignment horizontal="center" vertical="center" wrapText="1"/>
    </xf>
    <xf numFmtId="187" fontId="55" fillId="6" borderId="17" xfId="0" applyNumberFormat="1" applyFont="1" applyFill="1" applyBorder="1" applyAlignment="1" applyProtection="1">
      <alignment horizontal="center" vertical="center" wrapText="1"/>
    </xf>
    <xf numFmtId="0" fontId="59" fillId="6" borderId="20" xfId="0" applyFont="1" applyFill="1" applyBorder="1" applyAlignment="1" applyProtection="1">
      <alignment horizontal="center" vertical="center" wrapText="1"/>
    </xf>
    <xf numFmtId="0" fontId="59" fillId="6" borderId="15" xfId="0" applyFont="1" applyFill="1" applyBorder="1" applyAlignment="1" applyProtection="1">
      <alignment horizontal="center" vertical="center" wrapText="1"/>
    </xf>
    <xf numFmtId="0" fontId="59" fillId="6" borderId="32" xfId="0" applyFont="1" applyFill="1" applyBorder="1" applyAlignment="1" applyProtection="1">
      <alignment horizontal="center" vertical="center" wrapText="1"/>
    </xf>
    <xf numFmtId="0" fontId="115" fillId="6" borderId="5" xfId="0" applyFont="1" applyFill="1" applyBorder="1" applyAlignment="1" applyProtection="1">
      <alignment horizontal="center" vertical="center" wrapText="1"/>
    </xf>
    <xf numFmtId="181" fontId="107" fillId="6" borderId="17" xfId="0" applyNumberFormat="1" applyFont="1" applyFill="1" applyBorder="1" applyAlignment="1" applyProtection="1">
      <alignment horizontal="center" vertical="center" wrapText="1"/>
    </xf>
    <xf numFmtId="0" fontId="58" fillId="6" borderId="29" xfId="0" applyFont="1" applyFill="1" applyBorder="1" applyAlignment="1" applyProtection="1">
      <alignment horizontal="center" vertical="center" wrapText="1"/>
    </xf>
    <xf numFmtId="0" fontId="58" fillId="6" borderId="62" xfId="0" applyFont="1" applyFill="1" applyBorder="1" applyAlignment="1" applyProtection="1">
      <alignment horizontal="center" vertical="center" wrapText="1"/>
    </xf>
    <xf numFmtId="0" fontId="56" fillId="6" borderId="9"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xf>
    <xf numFmtId="0" fontId="115" fillId="6" borderId="1" xfId="0" applyFont="1" applyFill="1" applyBorder="1" applyAlignment="1" applyProtection="1">
      <alignment horizontal="center" vertical="center"/>
    </xf>
    <xf numFmtId="0" fontId="77" fillId="6" borderId="0" xfId="0" applyFont="1" applyFill="1" applyAlignment="1" applyProtection="1">
      <alignment horizontal="center" vertical="center"/>
      <protection locked="0"/>
    </xf>
    <xf numFmtId="0" fontId="107" fillId="6" borderId="1" xfId="0" applyFont="1" applyFill="1" applyBorder="1" applyAlignment="1" applyProtection="1">
      <alignment horizontal="center" vertical="center"/>
    </xf>
    <xf numFmtId="0" fontId="107" fillId="0" borderId="1" xfId="0" applyFont="1" applyFill="1" applyBorder="1" applyAlignment="1" applyProtection="1">
      <alignment horizontal="center" vertical="center"/>
      <protection locked="0"/>
    </xf>
    <xf numFmtId="177" fontId="56" fillId="0" borderId="1" xfId="0" applyNumberFormat="1" applyFont="1" applyFill="1" applyBorder="1" applyAlignment="1" applyProtection="1">
      <alignment horizontal="center" vertical="center" wrapText="1"/>
      <protection locked="0"/>
    </xf>
    <xf numFmtId="0" fontId="58" fillId="0" borderId="9" xfId="0" applyFont="1" applyFill="1" applyBorder="1" applyAlignment="1" applyProtection="1">
      <alignment horizontal="center" vertical="center" wrapText="1"/>
      <protection locked="0"/>
    </xf>
    <xf numFmtId="0" fontId="58" fillId="0" borderId="32" xfId="0" applyFont="1" applyFill="1" applyBorder="1" applyAlignment="1" applyProtection="1">
      <alignment horizontal="center" vertical="center" wrapText="1"/>
      <protection locked="0"/>
    </xf>
    <xf numFmtId="0" fontId="58" fillId="0" borderId="49" xfId="0" applyFont="1" applyFill="1" applyBorder="1" applyAlignment="1" applyProtection="1">
      <alignment horizontal="center" vertical="center" wrapText="1"/>
      <protection locked="0"/>
    </xf>
    <xf numFmtId="49" fontId="86" fillId="6" borderId="23" xfId="1" applyNumberFormat="1" applyFont="1" applyFill="1" applyBorder="1" applyAlignment="1" applyProtection="1">
      <alignment horizontal="left"/>
    </xf>
    <xf numFmtId="49" fontId="58" fillId="6" borderId="23" xfId="1" applyNumberFormat="1" applyFont="1" applyFill="1" applyBorder="1" applyAlignment="1" applyProtection="1">
      <alignment horizontal="center"/>
    </xf>
    <xf numFmtId="0" fontId="64" fillId="6" borderId="23" xfId="1" applyFont="1" applyFill="1" applyBorder="1" applyAlignment="1" applyProtection="1">
      <alignment horizontal="right"/>
    </xf>
    <xf numFmtId="0" fontId="58" fillId="6" borderId="23" xfId="0" applyFont="1" applyFill="1" applyBorder="1" applyAlignment="1" applyProtection="1">
      <alignment horizontal="center" vertical="center"/>
    </xf>
    <xf numFmtId="0" fontId="52" fillId="3" borderId="0" xfId="0" applyFont="1" applyFill="1" applyAlignment="1" applyProtection="1">
      <alignment vertical="center"/>
      <protection locked="0"/>
    </xf>
    <xf numFmtId="0" fontId="50" fillId="6" borderId="51" xfId="0" applyFont="1" applyFill="1" applyBorder="1" applyAlignment="1" applyProtection="1">
      <alignment vertical="center"/>
    </xf>
    <xf numFmtId="0" fontId="50" fillId="6" borderId="20" xfId="0" applyFont="1" applyFill="1" applyBorder="1" applyAlignment="1" applyProtection="1">
      <alignment vertical="center"/>
    </xf>
    <xf numFmtId="0" fontId="50" fillId="6" borderId="21" xfId="0" applyFont="1" applyFill="1" applyBorder="1" applyAlignment="1" applyProtection="1">
      <alignment vertical="center"/>
    </xf>
    <xf numFmtId="0" fontId="66" fillId="7" borderId="0" xfId="0" applyFont="1" applyFill="1" applyAlignment="1" applyProtection="1">
      <alignment vertical="center"/>
      <protection locked="0"/>
    </xf>
    <xf numFmtId="0" fontId="51" fillId="6" borderId="23" xfId="0" applyFont="1" applyFill="1" applyBorder="1" applyAlignment="1" applyProtection="1">
      <alignment horizontal="center" vertical="center"/>
    </xf>
    <xf numFmtId="0" fontId="51" fillId="6" borderId="46"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49" fontId="52" fillId="6" borderId="23" xfId="0" applyNumberFormat="1" applyFont="1" applyFill="1" applyBorder="1" applyAlignment="1" applyProtection="1">
      <alignment horizontal="center" vertical="center"/>
    </xf>
    <xf numFmtId="186" fontId="52" fillId="0" borderId="1" xfId="0" applyNumberFormat="1" applyFont="1" applyFill="1" applyBorder="1" applyAlignment="1" applyProtection="1">
      <alignment horizontal="center" vertical="center"/>
      <protection locked="0"/>
    </xf>
    <xf numFmtId="186" fontId="52" fillId="0" borderId="24" xfId="0" applyNumberFormat="1" applyFont="1" applyFill="1" applyBorder="1" applyAlignment="1" applyProtection="1">
      <alignment horizontal="center" vertical="center"/>
      <protection locked="0"/>
    </xf>
    <xf numFmtId="0" fontId="52" fillId="7" borderId="0" xfId="0" applyFont="1" applyFill="1" applyAlignment="1" applyProtection="1">
      <alignment vertical="center"/>
      <protection locked="0"/>
    </xf>
    <xf numFmtId="0" fontId="52" fillId="0" borderId="0" xfId="0" applyFont="1" applyFill="1" applyAlignment="1" applyProtection="1">
      <alignment vertical="center"/>
      <protection locked="0"/>
    </xf>
    <xf numFmtId="186" fontId="51" fillId="6"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1" fillId="6" borderId="54" xfId="0" applyFont="1" applyFill="1" applyBorder="1" applyAlignment="1" applyProtection="1">
      <alignment vertical="center"/>
    </xf>
    <xf numFmtId="0" fontId="51" fillId="6" borderId="48" xfId="0" applyFont="1" applyFill="1" applyBorder="1" applyAlignment="1" applyProtection="1">
      <alignment vertical="center"/>
    </xf>
    <xf numFmtId="0" fontId="49" fillId="7" borderId="0" xfId="0" applyFont="1" applyFill="1" applyAlignment="1" applyProtection="1">
      <alignment vertical="center"/>
      <protection locked="0"/>
    </xf>
    <xf numFmtId="0" fontId="52" fillId="6" borderId="23" xfId="1" applyFont="1" applyFill="1" applyBorder="1" applyAlignment="1" applyProtection="1">
      <alignment horizontal="right" vertical="center"/>
    </xf>
    <xf numFmtId="0" fontId="52" fillId="6" borderId="5" xfId="1" applyFont="1" applyFill="1" applyBorder="1" applyAlignment="1" applyProtection="1">
      <alignment vertical="center"/>
    </xf>
    <xf numFmtId="179" fontId="52" fillId="6" borderId="1" xfId="1" applyNumberFormat="1" applyFont="1" applyFill="1" applyBorder="1" applyAlignment="1" applyProtection="1">
      <alignment horizontal="center" vertical="center"/>
    </xf>
    <xf numFmtId="181" fontId="52" fillId="6" borderId="1" xfId="1" applyNumberFormat="1" applyFont="1" applyFill="1" applyBorder="1" applyAlignment="1" applyProtection="1">
      <alignment horizontal="center" vertical="center"/>
    </xf>
    <xf numFmtId="0" fontId="54" fillId="7" borderId="0" xfId="0" applyFont="1" applyFill="1" applyAlignment="1" applyProtection="1">
      <alignment vertical="center"/>
      <protection locked="0"/>
    </xf>
    <xf numFmtId="9" fontId="52" fillId="6" borderId="1" xfId="1" applyNumberFormat="1" applyFont="1" applyFill="1" applyBorder="1" applyAlignment="1" applyProtection="1">
      <alignment horizontal="center" vertical="center"/>
    </xf>
    <xf numFmtId="0" fontId="54" fillId="0" borderId="0" xfId="0" applyFont="1" applyFill="1" applyAlignment="1" applyProtection="1">
      <alignment vertical="center"/>
      <protection locked="0"/>
    </xf>
    <xf numFmtId="177" fontId="52" fillId="6" borderId="1" xfId="1" applyNumberFormat="1" applyFont="1" applyFill="1" applyBorder="1" applyAlignment="1" applyProtection="1">
      <alignment vertical="center"/>
    </xf>
    <xf numFmtId="0" fontId="52" fillId="6" borderId="54" xfId="0" applyFont="1" applyFill="1" applyBorder="1" applyAlignment="1" applyProtection="1">
      <alignment vertical="center"/>
    </xf>
    <xf numFmtId="0" fontId="52" fillId="6" borderId="48" xfId="0" applyFont="1" applyFill="1" applyBorder="1" applyAlignment="1" applyProtection="1">
      <alignment vertical="center"/>
    </xf>
    <xf numFmtId="0" fontId="52" fillId="6" borderId="54" xfId="0" applyFont="1" applyFill="1" applyBorder="1" applyAlignment="1" applyProtection="1">
      <alignment horizontal="left" vertical="center"/>
    </xf>
    <xf numFmtId="0" fontId="52" fillId="6" borderId="48" xfId="0" applyFont="1" applyFill="1" applyBorder="1" applyAlignment="1" applyProtection="1">
      <alignment horizontal="left" vertical="center"/>
    </xf>
    <xf numFmtId="177" fontId="52" fillId="6" borderId="1" xfId="1" applyNumberFormat="1" applyFont="1" applyFill="1" applyBorder="1" applyAlignment="1" applyProtection="1">
      <alignment horizontal="center" vertical="center"/>
    </xf>
    <xf numFmtId="10" fontId="52" fillId="6" borderId="1" xfId="1" applyNumberFormat="1" applyFont="1" applyFill="1" applyBorder="1" applyAlignment="1" applyProtection="1">
      <alignment horizontal="center" vertical="center"/>
    </xf>
    <xf numFmtId="0" fontId="51" fillId="6" borderId="5" xfId="1" applyFont="1" applyFill="1" applyBorder="1" applyAlignment="1" applyProtection="1">
      <alignment vertical="center"/>
    </xf>
    <xf numFmtId="177" fontId="51" fillId="6" borderId="1" xfId="1" applyNumberFormat="1" applyFont="1" applyFill="1" applyBorder="1" applyAlignment="1" applyProtection="1">
      <alignment horizontal="center" vertical="center"/>
    </xf>
    <xf numFmtId="0" fontId="51" fillId="6" borderId="1" xfId="1" applyFont="1" applyFill="1" applyBorder="1" applyAlignment="1" applyProtection="1">
      <alignment vertical="center"/>
    </xf>
    <xf numFmtId="10" fontId="51" fillId="6" borderId="1" xfId="1" applyNumberFormat="1" applyFont="1" applyFill="1" applyBorder="1" applyAlignment="1" applyProtection="1">
      <alignment horizontal="center" vertical="center"/>
    </xf>
    <xf numFmtId="0" fontId="49" fillId="6" borderId="5" xfId="0"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52" fillId="6" borderId="1" xfId="1" applyFont="1" applyFill="1" applyBorder="1" applyAlignment="1" applyProtection="1">
      <alignment horizontal="left" vertical="center"/>
    </xf>
    <xf numFmtId="0" fontId="53" fillId="3" borderId="0" xfId="0" applyFont="1" applyFill="1" applyAlignment="1" applyProtection="1">
      <alignment vertical="center"/>
      <protection locked="0"/>
    </xf>
    <xf numFmtId="0" fontId="52" fillId="6" borderId="5" xfId="1" applyFont="1" applyFill="1" applyBorder="1" applyAlignment="1" applyProtection="1">
      <alignment horizontal="left" vertical="center"/>
    </xf>
    <xf numFmtId="186" fontId="52" fillId="3" borderId="0" xfId="0" applyNumberFormat="1" applyFont="1" applyFill="1" applyAlignment="1" applyProtection="1">
      <alignment horizontal="center" vertical="center"/>
      <protection locked="0"/>
    </xf>
    <xf numFmtId="186" fontId="51" fillId="6" borderId="28" xfId="0" applyNumberFormat="1" applyFont="1" applyFill="1" applyBorder="1" applyAlignment="1" applyProtection="1">
      <alignment horizontal="center" vertical="center"/>
    </xf>
    <xf numFmtId="186" fontId="107" fillId="0" borderId="13" xfId="0" applyNumberFormat="1" applyFont="1" applyFill="1" applyBorder="1" applyAlignment="1" applyProtection="1">
      <alignment horizontal="center" vertical="center"/>
      <protection locked="0"/>
    </xf>
    <xf numFmtId="186" fontId="52" fillId="0" borderId="13" xfId="0" applyNumberFormat="1" applyFont="1" applyFill="1" applyBorder="1" applyAlignment="1" applyProtection="1">
      <alignment horizontal="center" vertical="center"/>
      <protection locked="0"/>
    </xf>
    <xf numFmtId="186" fontId="52" fillId="0" borderId="61" xfId="0" applyNumberFormat="1" applyFont="1" applyFill="1" applyBorder="1" applyAlignment="1" applyProtection="1">
      <alignment horizontal="center" vertical="center"/>
      <protection locked="0"/>
    </xf>
    <xf numFmtId="0" fontId="51" fillId="6" borderId="42" xfId="0" applyFont="1" applyFill="1" applyBorder="1" applyAlignment="1" applyProtection="1">
      <alignment vertical="center"/>
    </xf>
    <xf numFmtId="0" fontId="51" fillId="6" borderId="47" xfId="0" applyFont="1" applyFill="1" applyBorder="1" applyAlignment="1" applyProtection="1">
      <alignment vertical="center"/>
    </xf>
    <xf numFmtId="186" fontId="50" fillId="6" borderId="74" xfId="0" applyNumberFormat="1" applyFont="1" applyFill="1" applyBorder="1" applyAlignment="1" applyProtection="1">
      <alignment horizontal="center" vertical="center"/>
    </xf>
    <xf numFmtId="0" fontId="50" fillId="6" borderId="75" xfId="0" applyFont="1" applyFill="1" applyBorder="1" applyAlignment="1" applyProtection="1">
      <alignment vertical="center"/>
    </xf>
    <xf numFmtId="0" fontId="51" fillId="6" borderId="43" xfId="0" applyFont="1" applyFill="1" applyBorder="1" applyAlignment="1" applyProtection="1">
      <alignment vertical="center"/>
    </xf>
    <xf numFmtId="0" fontId="51" fillId="6" borderId="33" xfId="1" applyFont="1" applyFill="1" applyBorder="1" applyAlignment="1" applyProtection="1">
      <alignment vertical="center"/>
    </xf>
    <xf numFmtId="177" fontId="51" fillId="6" borderId="32" xfId="0" applyNumberFormat="1" applyFont="1" applyFill="1" applyBorder="1" applyAlignment="1" applyProtection="1">
      <alignment horizontal="center" vertical="center"/>
    </xf>
    <xf numFmtId="0" fontId="51" fillId="6" borderId="32" xfId="0" applyFont="1" applyFill="1" applyBorder="1" applyAlignment="1" applyProtection="1">
      <alignment vertical="center"/>
    </xf>
    <xf numFmtId="177" fontId="51" fillId="6" borderId="32" xfId="0" applyNumberFormat="1" applyFont="1" applyFill="1" applyBorder="1" applyAlignment="1" applyProtection="1">
      <alignment vertical="center"/>
    </xf>
    <xf numFmtId="10" fontId="51" fillId="6" borderId="32" xfId="0" applyNumberFormat="1" applyFont="1" applyFill="1" applyBorder="1" applyAlignment="1" applyProtection="1">
      <alignment horizontal="center" vertical="center"/>
    </xf>
    <xf numFmtId="177" fontId="51" fillId="6" borderId="33" xfId="0" applyNumberFormat="1" applyFont="1" applyFill="1" applyBorder="1" applyAlignment="1" applyProtection="1">
      <alignment vertical="center"/>
    </xf>
    <xf numFmtId="177" fontId="51" fillId="6" borderId="52" xfId="0" applyNumberFormat="1" applyFont="1" applyFill="1" applyBorder="1" applyAlignment="1" applyProtection="1">
      <alignment vertical="center"/>
    </xf>
    <xf numFmtId="177" fontId="51" fillId="6" borderId="68" xfId="0" applyNumberFormat="1" applyFont="1" applyFill="1" applyBorder="1" applyAlignment="1" applyProtection="1">
      <alignment vertical="center"/>
    </xf>
    <xf numFmtId="0" fontId="55" fillId="6" borderId="15" xfId="0" applyFont="1" applyFill="1" applyBorder="1" applyAlignment="1" applyProtection="1">
      <alignment horizontal="center" vertical="center" wrapText="1"/>
    </xf>
    <xf numFmtId="0" fontId="125" fillId="0" borderId="0" xfId="5" applyFont="1">
      <alignment vertical="center"/>
    </xf>
    <xf numFmtId="0" fontId="101" fillId="0" borderId="0" xfId="5">
      <alignment vertical="center"/>
    </xf>
    <xf numFmtId="0" fontId="125" fillId="0" borderId="0" xfId="5" applyFont="1" applyAlignment="1">
      <alignment vertical="top" wrapText="1"/>
    </xf>
    <xf numFmtId="0" fontId="102" fillId="0" borderId="0" xfId="5" applyFont="1" applyAlignment="1">
      <alignment horizontal="right" vertical="center"/>
    </xf>
    <xf numFmtId="14" fontId="126" fillId="0" borderId="0" xfId="5" applyNumberFormat="1" applyFont="1" applyAlignment="1">
      <alignment horizontal="left" vertical="center"/>
    </xf>
    <xf numFmtId="0" fontId="103" fillId="0" borderId="0" xfId="5" applyFont="1">
      <alignment vertical="center"/>
    </xf>
    <xf numFmtId="0" fontId="127" fillId="5" borderId="13" xfId="5" applyFont="1" applyFill="1" applyBorder="1" applyAlignment="1">
      <alignment vertical="center"/>
    </xf>
    <xf numFmtId="0" fontId="128" fillId="0" borderId="1" xfId="5" applyFont="1" applyBorder="1" applyAlignment="1">
      <alignment horizontal="right" vertical="center"/>
    </xf>
    <xf numFmtId="0" fontId="128" fillId="0" borderId="1" xfId="5" applyFont="1" applyFill="1" applyBorder="1" applyAlignment="1">
      <alignment horizontal="right" vertical="center"/>
    </xf>
    <xf numFmtId="184" fontId="128" fillId="0" borderId="13" xfId="5" applyNumberFormat="1" applyFont="1" applyFill="1" applyBorder="1" applyAlignment="1">
      <alignment horizontal="right" vertical="center"/>
    </xf>
    <xf numFmtId="0" fontId="101" fillId="0" borderId="0" xfId="5" applyFill="1">
      <alignment vertical="center"/>
    </xf>
    <xf numFmtId="0" fontId="129" fillId="0" borderId="0" xfId="5" applyFont="1">
      <alignment vertical="center"/>
    </xf>
    <xf numFmtId="0" fontId="127" fillId="0" borderId="1" xfId="5" applyFont="1" applyFill="1" applyBorder="1" applyAlignment="1">
      <alignment vertical="center"/>
    </xf>
    <xf numFmtId="0" fontId="130" fillId="0" borderId="0" xfId="5" applyFont="1">
      <alignment vertical="center"/>
    </xf>
    <xf numFmtId="0" fontId="130" fillId="0" borderId="1" xfId="5" applyFont="1" applyBorder="1">
      <alignment vertical="center"/>
    </xf>
    <xf numFmtId="0" fontId="102" fillId="0" borderId="1" xfId="5" applyFont="1" applyBorder="1">
      <alignment vertical="center"/>
    </xf>
    <xf numFmtId="184" fontId="128" fillId="0" borderId="1" xfId="5" applyNumberFormat="1" applyFont="1" applyFill="1" applyBorder="1" applyAlignment="1">
      <alignment horizontal="right" vertical="center"/>
    </xf>
    <xf numFmtId="14" fontId="101" fillId="0" borderId="0" xfId="5" applyNumberFormat="1">
      <alignment vertical="center"/>
    </xf>
    <xf numFmtId="0" fontId="64" fillId="6" borderId="1" xfId="1" applyNumberFormat="1" applyFont="1" applyFill="1" applyBorder="1" applyAlignment="1" applyProtection="1"/>
    <xf numFmtId="0" fontId="52" fillId="6" borderId="1" xfId="1" applyNumberFormat="1" applyFont="1" applyFill="1" applyBorder="1" applyAlignment="1" applyProtection="1">
      <alignment horizontal="center" vertical="center"/>
    </xf>
    <xf numFmtId="0" fontId="58" fillId="6" borderId="1" xfId="1" applyNumberFormat="1" applyFont="1" applyFill="1" applyBorder="1" applyAlignment="1" applyProtection="1">
      <alignment horizontal="center"/>
    </xf>
    <xf numFmtId="0" fontId="58" fillId="6" borderId="1" xfId="0" applyNumberFormat="1" applyFont="1" applyFill="1" applyBorder="1" applyProtection="1">
      <alignment vertical="center"/>
    </xf>
    <xf numFmtId="0" fontId="59" fillId="6" borderId="1" xfId="1" applyNumberFormat="1" applyFont="1" applyFill="1" applyBorder="1" applyAlignment="1" applyProtection="1">
      <alignment horizontal="center"/>
    </xf>
    <xf numFmtId="0" fontId="66" fillId="6" borderId="78" xfId="0" applyFont="1" applyFill="1" applyBorder="1" applyAlignment="1" applyProtection="1">
      <alignment horizontal="right" vertical="center" shrinkToFit="1"/>
    </xf>
    <xf numFmtId="0" fontId="66" fillId="6" borderId="78" xfId="0" applyNumberFormat="1" applyFont="1" applyFill="1" applyBorder="1" applyAlignment="1" applyProtection="1">
      <alignment horizontal="right" vertical="center" shrinkToFit="1"/>
    </xf>
    <xf numFmtId="0" fontId="66" fillId="0" borderId="0" xfId="0" applyFont="1" applyFill="1" applyBorder="1" applyAlignment="1" applyProtection="1">
      <alignment vertical="center"/>
      <protection locked="0"/>
    </xf>
    <xf numFmtId="0" fontId="50" fillId="0" borderId="2" xfId="7" applyFont="1" applyFill="1" applyBorder="1" applyAlignment="1" applyProtection="1">
      <alignment horizontal="center" vertical="center" wrapText="1"/>
    </xf>
    <xf numFmtId="0" fontId="50" fillId="0" borderId="1" xfId="7" applyFont="1" applyFill="1" applyBorder="1" applyAlignment="1" applyProtection="1">
      <alignment horizontal="center" vertical="center" wrapText="1"/>
    </xf>
    <xf numFmtId="0" fontId="66" fillId="0" borderId="1" xfId="7" applyFont="1" applyFill="1" applyBorder="1" applyAlignment="1" applyProtection="1">
      <alignment horizontal="center" vertical="center" wrapText="1"/>
    </xf>
    <xf numFmtId="0" fontId="50" fillId="0" borderId="3" xfId="7"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xf>
    <xf numFmtId="0" fontId="49" fillId="6" borderId="24" xfId="0" applyFont="1" applyFill="1" applyBorder="1" applyAlignment="1" applyProtection="1">
      <alignment horizontal="center" vertical="center"/>
    </xf>
    <xf numFmtId="184" fontId="52" fillId="0" borderId="1" xfId="0" applyNumberFormat="1" applyFont="1" applyFill="1" applyBorder="1" applyAlignment="1" applyProtection="1">
      <alignment horizontal="center" vertical="center" shrinkToFit="1"/>
      <protection locked="0"/>
    </xf>
    <xf numFmtId="184" fontId="52" fillId="6" borderId="1" xfId="0" applyNumberFormat="1" applyFont="1" applyFill="1" applyBorder="1" applyAlignment="1" applyProtection="1">
      <alignment horizontal="center" vertical="center"/>
    </xf>
    <xf numFmtId="179" fontId="66" fillId="6" borderId="1" xfId="0" applyNumberFormat="1" applyFont="1" applyFill="1" applyBorder="1" applyAlignment="1" applyProtection="1">
      <alignment horizontal="center" vertical="center" wrapText="1"/>
    </xf>
    <xf numFmtId="177" fontId="66" fillId="5" borderId="1" xfId="1" applyNumberFormat="1" applyFont="1" applyFill="1" applyBorder="1" applyAlignment="1" applyProtection="1">
      <alignment horizontal="center" vertical="center"/>
      <protection locked="0"/>
    </xf>
    <xf numFmtId="177" fontId="52" fillId="6" borderId="23" xfId="1" applyNumberFormat="1" applyFont="1" applyFill="1" applyBorder="1" applyAlignment="1" applyProtection="1">
      <alignment horizontal="center" vertical="center"/>
    </xf>
    <xf numFmtId="0" fontId="66" fillId="0" borderId="3" xfId="7" applyFont="1" applyFill="1" applyBorder="1" applyAlignment="1" applyProtection="1">
      <alignment horizontal="center" vertical="center" wrapText="1"/>
    </xf>
    <xf numFmtId="0" fontId="66" fillId="0" borderId="78" xfId="7" applyFont="1" applyFill="1" applyBorder="1" applyAlignment="1" applyProtection="1">
      <alignment horizontal="center" vertical="center" wrapText="1"/>
    </xf>
    <xf numFmtId="0" fontId="66" fillId="6" borderId="1" xfId="0" applyFont="1" applyFill="1" applyBorder="1" applyAlignment="1" applyProtection="1">
      <alignment horizontal="center" vertical="center" wrapText="1"/>
    </xf>
    <xf numFmtId="181" fontId="49" fillId="6" borderId="8" xfId="0" applyNumberFormat="1" applyFont="1" applyFill="1" applyBorder="1" applyProtection="1">
      <alignment vertical="center"/>
    </xf>
    <xf numFmtId="181" fontId="57" fillId="6" borderId="59" xfId="0" applyNumberFormat="1" applyFont="1" applyFill="1" applyBorder="1" applyAlignment="1" applyProtection="1">
      <alignment horizontal="center" vertical="center"/>
    </xf>
    <xf numFmtId="0" fontId="131" fillId="6" borderId="0" xfId="0" applyFont="1" applyFill="1" applyAlignment="1" applyProtection="1">
      <alignment horizontal="center" vertical="center"/>
    </xf>
    <xf numFmtId="184" fontId="128" fillId="0" borderId="1" xfId="0" applyNumberFormat="1" applyFont="1" applyFill="1" applyBorder="1" applyAlignment="1">
      <alignment horizontal="right" vertical="center"/>
    </xf>
    <xf numFmtId="0" fontId="119" fillId="6" borderId="40" xfId="0" applyFont="1" applyFill="1" applyBorder="1" applyAlignment="1" applyProtection="1">
      <alignment vertical="center" wrapText="1"/>
    </xf>
    <xf numFmtId="0" fontId="119" fillId="6" borderId="13" xfId="0" applyFont="1" applyFill="1" applyBorder="1" applyAlignment="1" applyProtection="1">
      <alignment horizontal="center" vertical="center"/>
    </xf>
    <xf numFmtId="0" fontId="119" fillId="6" borderId="29" xfId="0" applyFont="1" applyFill="1" applyBorder="1" applyAlignment="1" applyProtection="1">
      <alignment horizontal="center" vertical="center"/>
    </xf>
    <xf numFmtId="10" fontId="107" fillId="0" borderId="9" xfId="0" applyNumberFormat="1" applyFont="1" applyBorder="1" applyAlignment="1">
      <alignment horizontal="center" vertical="center" wrapText="1"/>
    </xf>
    <xf numFmtId="10" fontId="107" fillId="0" borderId="10" xfId="0" applyNumberFormat="1" applyFont="1" applyBorder="1" applyAlignment="1">
      <alignment horizontal="center" vertical="center" wrapText="1"/>
    </xf>
    <xf numFmtId="10" fontId="107" fillId="0" borderId="1" xfId="0" applyNumberFormat="1" applyFont="1" applyBorder="1" applyAlignment="1">
      <alignment horizontal="center" vertical="center" wrapText="1"/>
    </xf>
    <xf numFmtId="10" fontId="107" fillId="0" borderId="24" xfId="0" applyNumberFormat="1" applyFont="1" applyBorder="1" applyAlignment="1">
      <alignment horizontal="center" vertical="center" wrapText="1"/>
    </xf>
    <xf numFmtId="10" fontId="107" fillId="0" borderId="32" xfId="0" applyNumberFormat="1" applyFont="1" applyBorder="1" applyAlignment="1">
      <alignment horizontal="center" vertical="center" wrapText="1"/>
    </xf>
    <xf numFmtId="10" fontId="107" fillId="0" borderId="49" xfId="0" applyNumberFormat="1" applyFont="1" applyBorder="1" applyAlignment="1">
      <alignment horizontal="center" vertical="center" wrapText="1"/>
    </xf>
    <xf numFmtId="0" fontId="118" fillId="6" borderId="13" xfId="0" applyFont="1" applyFill="1" applyBorder="1" applyAlignment="1" applyProtection="1">
      <alignment horizontal="center" vertical="center" wrapText="1"/>
    </xf>
    <xf numFmtId="10" fontId="107" fillId="0" borderId="13" xfId="0" applyNumberFormat="1" applyFont="1" applyBorder="1" applyAlignment="1">
      <alignment horizontal="center" vertical="center" wrapText="1"/>
    </xf>
    <xf numFmtId="0" fontId="118" fillId="6" borderId="84" xfId="0" applyFont="1" applyFill="1" applyBorder="1" applyAlignment="1" applyProtection="1">
      <alignment horizontal="center" vertical="center" wrapText="1"/>
    </xf>
    <xf numFmtId="10" fontId="107" fillId="0" borderId="67" xfId="0" applyNumberFormat="1" applyFont="1" applyBorder="1" applyAlignment="1">
      <alignment horizontal="center" vertical="center" wrapText="1"/>
    </xf>
    <xf numFmtId="0" fontId="118" fillId="6" borderId="14" xfId="0" applyFont="1" applyFill="1" applyBorder="1" applyAlignment="1" applyProtection="1">
      <alignment vertical="center" wrapText="1"/>
    </xf>
    <xf numFmtId="10" fontId="107"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6" fillId="6" borderId="28" xfId="0" applyNumberFormat="1" applyFont="1" applyFill="1" applyBorder="1" applyProtection="1">
      <alignment vertical="center"/>
    </xf>
    <xf numFmtId="0" fontId="106" fillId="6" borderId="5" xfId="0" applyNumberFormat="1" applyFont="1" applyFill="1" applyBorder="1" applyProtection="1">
      <alignment vertical="center"/>
    </xf>
    <xf numFmtId="0" fontId="106" fillId="6" borderId="33" xfId="0" applyNumberFormat="1" applyFont="1" applyFill="1" applyBorder="1" applyProtection="1">
      <alignment vertical="center"/>
    </xf>
    <xf numFmtId="10" fontId="58" fillId="6" borderId="1" xfId="0" applyNumberFormat="1" applyFont="1" applyFill="1" applyBorder="1" applyAlignment="1" applyProtection="1">
      <alignment vertical="center" wrapText="1"/>
    </xf>
    <xf numFmtId="0" fontId="63" fillId="6" borderId="41" xfId="0" applyFont="1" applyFill="1" applyBorder="1" applyAlignment="1" applyProtection="1">
      <alignment horizontal="center" vertical="center"/>
    </xf>
    <xf numFmtId="0" fontId="63" fillId="0" borderId="2" xfId="0" applyFont="1" applyBorder="1" applyAlignment="1" applyProtection="1">
      <alignment horizontal="center" vertical="center"/>
      <protection locked="0"/>
    </xf>
    <xf numFmtId="0" fontId="63" fillId="0" borderId="4" xfId="0" applyFont="1" applyBorder="1" applyAlignment="1" applyProtection="1">
      <alignment horizontal="center" vertical="center"/>
      <protection locked="0"/>
    </xf>
    <xf numFmtId="0" fontId="63" fillId="0" borderId="94" xfId="0" applyFont="1" applyFill="1" applyBorder="1" applyAlignment="1" applyProtection="1">
      <alignment horizontal="center" vertical="center"/>
      <protection locked="0"/>
    </xf>
    <xf numFmtId="0" fontId="63" fillId="0" borderId="8" xfId="0" applyFont="1" applyBorder="1" applyAlignment="1" applyProtection="1">
      <alignment horizontal="center" vertical="center"/>
      <protection locked="0"/>
    </xf>
    <xf numFmtId="187" fontId="63" fillId="6" borderId="8" xfId="0" applyNumberFormat="1" applyFont="1" applyFill="1" applyBorder="1" applyAlignment="1" applyProtection="1">
      <alignment horizontal="center" vertical="center"/>
    </xf>
    <xf numFmtId="0" fontId="63" fillId="6" borderId="23" xfId="0" applyFont="1" applyFill="1" applyBorder="1" applyAlignment="1" applyProtection="1">
      <alignment horizontal="center" vertical="center"/>
    </xf>
    <xf numFmtId="0" fontId="63" fillId="0" borderId="1" xfId="0" applyFont="1" applyBorder="1" applyAlignment="1" applyProtection="1">
      <alignment horizontal="center" vertical="center"/>
      <protection locked="0"/>
    </xf>
    <xf numFmtId="0" fontId="63" fillId="0" borderId="5" xfId="0" applyFont="1" applyBorder="1" applyAlignment="1" applyProtection="1">
      <alignment horizontal="center" vertical="center"/>
      <protection locked="0"/>
    </xf>
    <xf numFmtId="0" fontId="63" fillId="0" borderId="93" xfId="0" applyFont="1" applyFill="1" applyBorder="1" applyAlignment="1" applyProtection="1">
      <alignment horizontal="center" vertical="center"/>
      <protection locked="0"/>
    </xf>
    <xf numFmtId="0" fontId="63" fillId="0" borderId="24" xfId="0" applyFont="1" applyBorder="1" applyAlignment="1" applyProtection="1">
      <alignment horizontal="center" vertical="center"/>
      <protection locked="0"/>
    </xf>
    <xf numFmtId="0" fontId="63" fillId="6" borderId="24" xfId="0" applyFont="1" applyFill="1" applyBorder="1" applyAlignment="1" applyProtection="1">
      <alignment horizontal="center" vertical="center"/>
    </xf>
    <xf numFmtId="178" fontId="63" fillId="6" borderId="24" xfId="0" applyNumberFormat="1" applyFont="1" applyFill="1" applyBorder="1" applyAlignment="1" applyProtection="1">
      <alignment horizontal="center" vertical="center"/>
    </xf>
    <xf numFmtId="178" fontId="63" fillId="0" borderId="24" xfId="0" applyNumberFormat="1" applyFont="1" applyBorder="1" applyAlignment="1" applyProtection="1">
      <alignment horizontal="center" vertical="center"/>
      <protection locked="0"/>
    </xf>
    <xf numFmtId="0" fontId="106" fillId="0" borderId="93" xfId="0" applyFont="1" applyFill="1" applyBorder="1" applyAlignment="1" applyProtection="1">
      <alignment horizontal="center" vertical="center"/>
      <protection locked="0"/>
    </xf>
    <xf numFmtId="0" fontId="63" fillId="6" borderId="32" xfId="0" applyFont="1" applyFill="1" applyBorder="1" applyAlignment="1" applyProtection="1">
      <alignment horizontal="center" vertical="center"/>
    </xf>
    <xf numFmtId="0" fontId="63" fillId="6" borderId="47" xfId="0" applyFont="1" applyFill="1" applyBorder="1" applyAlignment="1" applyProtection="1">
      <alignment horizontal="center" vertical="center"/>
    </xf>
    <xf numFmtId="0" fontId="63" fillId="0" borderId="32" xfId="0" applyFont="1" applyBorder="1" applyAlignment="1" applyProtection="1">
      <alignment horizontal="center" vertical="center"/>
      <protection locked="0"/>
    </xf>
    <xf numFmtId="178" fontId="63" fillId="6" borderId="49" xfId="0" applyNumberFormat="1" applyFont="1" applyFill="1" applyBorder="1" applyAlignment="1" applyProtection="1">
      <alignment horizontal="center" vertical="center"/>
    </xf>
    <xf numFmtId="177" fontId="58" fillId="6" borderId="5" xfId="1" applyNumberFormat="1" applyFont="1" applyFill="1" applyBorder="1" applyAlignment="1" applyProtection="1">
      <alignment horizontal="center"/>
    </xf>
    <xf numFmtId="0" fontId="77" fillId="6" borderId="1" xfId="0" applyFont="1" applyFill="1" applyBorder="1" applyAlignment="1" applyProtection="1">
      <alignment horizontal="center" vertical="center"/>
    </xf>
    <xf numFmtId="189" fontId="56" fillId="6" borderId="0" xfId="0" applyNumberFormat="1" applyFont="1" applyFill="1" applyAlignment="1" applyProtection="1">
      <alignment horizontal="center" vertical="center"/>
      <protection locked="0"/>
    </xf>
    <xf numFmtId="181" fontId="56" fillId="6" borderId="0" xfId="0" applyNumberFormat="1" applyFont="1" applyFill="1" applyAlignment="1" applyProtection="1">
      <alignment horizontal="center" vertical="center"/>
      <protection locked="0"/>
    </xf>
    <xf numFmtId="0" fontId="56" fillId="6" borderId="28" xfId="0" applyFont="1" applyFill="1" applyBorder="1" applyAlignment="1" applyProtection="1">
      <alignment horizontal="center" vertical="center"/>
    </xf>
    <xf numFmtId="0" fontId="107" fillId="6" borderId="24" xfId="0" applyFont="1" applyFill="1" applyBorder="1" applyAlignment="1" applyProtection="1">
      <alignment horizontal="center" vertical="center"/>
    </xf>
    <xf numFmtId="0" fontId="77" fillId="5" borderId="23" xfId="0" applyFont="1" applyFill="1" applyBorder="1" applyAlignment="1" applyProtection="1">
      <alignment horizontal="center" vertical="center"/>
      <protection locked="0"/>
    </xf>
    <xf numFmtId="0" fontId="107" fillId="6" borderId="49" xfId="0" applyFont="1" applyFill="1" applyBorder="1" applyAlignment="1" applyProtection="1">
      <alignment horizontal="center" vertical="center"/>
    </xf>
    <xf numFmtId="0" fontId="107" fillId="6" borderId="86" xfId="0" applyFont="1" applyFill="1" applyBorder="1" applyAlignment="1" applyProtection="1">
      <alignment horizontal="center" vertical="center"/>
    </xf>
    <xf numFmtId="0" fontId="107" fillId="0" borderId="86" xfId="0" applyFont="1" applyFill="1" applyBorder="1" applyAlignment="1" applyProtection="1">
      <alignment horizontal="center" vertical="center"/>
      <protection locked="0"/>
    </xf>
    <xf numFmtId="0" fontId="107" fillId="0" borderId="97" xfId="0" applyFont="1" applyFill="1" applyBorder="1" applyAlignment="1" applyProtection="1">
      <alignment horizontal="center" vertical="center"/>
      <protection locked="0"/>
    </xf>
    <xf numFmtId="0" fontId="77" fillId="6" borderId="32" xfId="0" applyFont="1" applyFill="1" applyBorder="1" applyAlignment="1" applyProtection="1">
      <alignment horizontal="center" vertical="center"/>
    </xf>
    <xf numFmtId="0" fontId="52" fillId="0" borderId="2" xfId="0" applyNumberFormat="1" applyFont="1" applyFill="1" applyBorder="1" applyAlignment="1" applyProtection="1">
      <alignment horizontal="center" vertical="center" wrapText="1"/>
      <protection locked="0"/>
    </xf>
    <xf numFmtId="0" fontId="52" fillId="6" borderId="98" xfId="0" applyNumberFormat="1" applyFont="1" applyFill="1" applyBorder="1" applyAlignment="1" applyProtection="1">
      <alignment horizontal="center" vertical="center" wrapText="1"/>
    </xf>
    <xf numFmtId="0" fontId="58" fillId="0" borderId="99" xfId="0" applyNumberFormat="1" applyFont="1" applyFill="1" applyBorder="1" applyAlignment="1" applyProtection="1">
      <alignment horizontal="center" vertical="center" wrapText="1"/>
      <protection locked="0"/>
    </xf>
    <xf numFmtId="0" fontId="58" fillId="6" borderId="100" xfId="0" applyNumberFormat="1" applyFont="1" applyFill="1" applyBorder="1" applyAlignment="1" applyProtection="1">
      <alignment horizontal="center" vertical="center" wrapText="1"/>
    </xf>
    <xf numFmtId="0" fontId="58" fillId="6" borderId="99" xfId="0" applyNumberFormat="1" applyFont="1" applyFill="1" applyBorder="1" applyAlignment="1" applyProtection="1">
      <alignment horizontal="center" vertical="center" wrapText="1"/>
    </xf>
    <xf numFmtId="0" fontId="52" fillId="0" borderId="101" xfId="0" applyNumberFormat="1" applyFont="1" applyFill="1" applyBorder="1" applyAlignment="1" applyProtection="1">
      <alignment horizontal="center" vertical="center" wrapText="1"/>
      <protection locked="0"/>
    </xf>
    <xf numFmtId="0" fontId="52" fillId="0" borderId="41" xfId="0" applyNumberFormat="1" applyFont="1" applyFill="1" applyBorder="1" applyAlignment="1" applyProtection="1">
      <alignment horizontal="center" vertical="center" wrapText="1"/>
      <protection locked="0"/>
    </xf>
    <xf numFmtId="0" fontId="52" fillId="6" borderId="101" xfId="0" applyNumberFormat="1" applyFont="1" applyFill="1" applyBorder="1" applyAlignment="1" applyProtection="1">
      <alignment horizontal="center" vertical="center" wrapText="1"/>
    </xf>
    <xf numFmtId="0" fontId="56" fillId="0" borderId="58" xfId="0" applyFont="1" applyFill="1" applyBorder="1" applyAlignment="1" applyProtection="1">
      <alignment horizontal="center" vertical="center"/>
      <protection locked="0"/>
    </xf>
    <xf numFmtId="0" fontId="62"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0" fontId="70" fillId="6" borderId="0" xfId="0" applyFont="1" applyFill="1" applyBorder="1" applyAlignment="1" applyProtection="1">
      <alignment vertical="center"/>
      <protection locked="0"/>
    </xf>
    <xf numFmtId="189" fontId="67" fillId="6" borderId="0" xfId="0" applyNumberFormat="1" applyFont="1" applyFill="1" applyBorder="1" applyAlignment="1" applyProtection="1">
      <alignment horizontal="center" vertical="center"/>
      <protection locked="0"/>
    </xf>
    <xf numFmtId="181" fontId="67" fillId="6" borderId="0" xfId="0" applyNumberFormat="1" applyFont="1" applyFill="1" applyBorder="1" applyAlignment="1" applyProtection="1">
      <alignment vertical="center"/>
      <protection locked="0"/>
    </xf>
    <xf numFmtId="0" fontId="67" fillId="6" borderId="0"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vertical="center" wrapText="1"/>
      <protection locked="0"/>
    </xf>
    <xf numFmtId="0" fontId="56" fillId="6" borderId="0"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72" fillId="6" borderId="0" xfId="0" applyNumberFormat="1" applyFont="1" applyFill="1" applyBorder="1" applyAlignment="1" applyProtection="1">
      <alignment horizontal="center" vertical="center" wrapText="1"/>
      <protection locked="0"/>
    </xf>
    <xf numFmtId="0" fontId="72" fillId="6" borderId="0" xfId="0" applyFont="1" applyFill="1" applyBorder="1" applyAlignment="1" applyProtection="1">
      <alignment horizontal="center" vertical="center"/>
      <protection locked="0"/>
    </xf>
    <xf numFmtId="0" fontId="7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horizontal="center" vertical="center" wrapText="1"/>
      <protection locked="0"/>
    </xf>
    <xf numFmtId="0" fontId="56"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protection locked="0"/>
    </xf>
    <xf numFmtId="0" fontId="54" fillId="6" borderId="35" xfId="0" applyFont="1" applyFill="1" applyBorder="1" applyAlignment="1" applyProtection="1">
      <alignment horizontal="center" vertical="center"/>
      <protection locked="0"/>
    </xf>
    <xf numFmtId="181" fontId="56" fillId="6" borderId="0" xfId="0" applyNumberFormat="1" applyFont="1" applyFill="1" applyBorder="1" applyAlignment="1" applyProtection="1">
      <alignment vertical="center" wrapText="1"/>
      <protection locked="0"/>
    </xf>
    <xf numFmtId="0" fontId="56" fillId="6" borderId="0" xfId="0" applyFont="1" applyFill="1" applyAlignment="1" applyProtection="1">
      <alignment horizontal="center" vertical="center"/>
      <protection locked="0"/>
    </xf>
    <xf numFmtId="0" fontId="73" fillId="6" borderId="0" xfId="0" applyFont="1" applyFill="1" applyAlignment="1" applyProtection="1">
      <alignment horizontal="center" vertical="center"/>
      <protection locked="0"/>
    </xf>
    <xf numFmtId="14" fontId="56" fillId="6" borderId="0" xfId="0" applyNumberFormat="1" applyFont="1" applyFill="1" applyAlignment="1" applyProtection="1">
      <alignment horizontal="center" vertical="center"/>
      <protection locked="0"/>
    </xf>
    <xf numFmtId="9" fontId="56" fillId="6" borderId="0" xfId="0" applyNumberFormat="1" applyFont="1" applyFill="1" applyAlignment="1" applyProtection="1">
      <alignment horizontal="center" vertical="center"/>
      <protection locked="0"/>
    </xf>
    <xf numFmtId="189" fontId="73" fillId="6" borderId="0" xfId="0" applyNumberFormat="1" applyFont="1" applyFill="1" applyAlignment="1" applyProtection="1">
      <alignment horizontal="center" vertical="center"/>
      <protection locked="0"/>
    </xf>
    <xf numFmtId="181" fontId="73" fillId="6" borderId="0" xfId="0" applyNumberFormat="1" applyFont="1" applyFill="1" applyAlignment="1" applyProtection="1">
      <alignment horizontal="center" vertical="center"/>
      <protection locked="0"/>
    </xf>
    <xf numFmtId="176" fontId="56" fillId="6" borderId="0" xfId="0" applyNumberFormat="1" applyFont="1" applyFill="1" applyAlignment="1" applyProtection="1">
      <alignment horizontal="center" vertical="center"/>
      <protection locked="0"/>
    </xf>
    <xf numFmtId="0" fontId="49"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56"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6" fillId="0" borderId="0" xfId="0" applyFont="1" applyFill="1" applyAlignment="1" applyProtection="1">
      <alignment horizontal="center" vertical="center"/>
    </xf>
    <xf numFmtId="189" fontId="56" fillId="0" borderId="0" xfId="0" applyNumberFormat="1" applyFont="1" applyFill="1" applyAlignment="1" applyProtection="1">
      <alignment horizontal="center" vertical="center"/>
    </xf>
    <xf numFmtId="181" fontId="56" fillId="0" borderId="0" xfId="0" applyNumberFormat="1" applyFont="1" applyFill="1" applyAlignment="1" applyProtection="1">
      <alignment horizontal="center" vertical="center"/>
    </xf>
    <xf numFmtId="0" fontId="58" fillId="6" borderId="0" xfId="0" applyFont="1" applyFill="1" applyAlignment="1" applyProtection="1">
      <protection locked="0"/>
    </xf>
    <xf numFmtId="0" fontId="56" fillId="6" borderId="0" xfId="0" applyFont="1" applyFill="1" applyBorder="1" applyAlignment="1" applyProtection="1">
      <protection locked="0"/>
    </xf>
    <xf numFmtId="189" fontId="56" fillId="6" borderId="0" xfId="0" applyNumberFormat="1" applyFont="1" applyFill="1" applyBorder="1" applyAlignment="1" applyProtection="1">
      <alignment horizontal="center"/>
      <protection locked="0"/>
    </xf>
    <xf numFmtId="181" fontId="56" fillId="6" borderId="0" xfId="0" applyNumberFormat="1" applyFont="1" applyFill="1" applyBorder="1" applyAlignment="1" applyProtection="1">
      <protection locked="0"/>
    </xf>
    <xf numFmtId="0" fontId="49" fillId="0" borderId="43" xfId="0" applyNumberFormat="1" applyFont="1" applyFill="1" applyBorder="1" applyAlignment="1" applyProtection="1">
      <alignment horizontal="center" vertical="center" wrapText="1"/>
      <protection locked="0"/>
    </xf>
    <xf numFmtId="0" fontId="77" fillId="6" borderId="1" xfId="0" applyFont="1" applyFill="1" applyBorder="1" applyAlignment="1" applyProtection="1">
      <alignment horizontal="center" vertical="center"/>
      <protection locked="0"/>
    </xf>
    <xf numFmtId="9" fontId="77" fillId="5" borderId="1" xfId="0" applyNumberFormat="1" applyFont="1" applyFill="1" applyBorder="1" applyAlignment="1" applyProtection="1">
      <alignment horizontal="center" vertical="center"/>
      <protection locked="0"/>
    </xf>
    <xf numFmtId="49" fontId="52" fillId="6" borderId="6" xfId="0" applyNumberFormat="1" applyFont="1" applyFill="1" applyBorder="1" applyAlignment="1" applyProtection="1">
      <alignment horizontal="center" vertical="center"/>
      <protection locked="0"/>
    </xf>
    <xf numFmtId="49" fontId="57" fillId="6" borderId="11" xfId="0" applyNumberFormat="1" applyFont="1" applyFill="1" applyBorder="1" applyAlignment="1" applyProtection="1">
      <alignment vertical="center"/>
      <protection locked="0"/>
    </xf>
    <xf numFmtId="0" fontId="57" fillId="6" borderId="13" xfId="0" applyFont="1" applyFill="1" applyBorder="1" applyAlignment="1" applyProtection="1">
      <alignment vertical="center" wrapText="1"/>
      <protection locked="0"/>
    </xf>
    <xf numFmtId="0" fontId="52" fillId="6" borderId="13" xfId="0" applyFont="1" applyFill="1" applyBorder="1" applyAlignment="1" applyProtection="1">
      <alignment vertical="center"/>
      <protection locked="0"/>
    </xf>
    <xf numFmtId="0" fontId="52" fillId="6" borderId="1" xfId="0" applyFont="1" applyFill="1" applyBorder="1" applyAlignment="1" applyProtection="1">
      <alignment horizontal="left" vertical="center"/>
      <protection locked="0"/>
    </xf>
    <xf numFmtId="49" fontId="57" fillId="6" borderId="14" xfId="0" applyNumberFormat="1" applyFont="1" applyFill="1" applyBorder="1" applyAlignment="1" applyProtection="1">
      <alignment vertical="center"/>
      <protection locked="0"/>
    </xf>
    <xf numFmtId="0" fontId="57" fillId="6" borderId="15" xfId="0" applyFont="1" applyFill="1" applyBorder="1" applyAlignment="1" applyProtection="1">
      <alignment vertical="center" wrapText="1"/>
      <protection locked="0"/>
    </xf>
    <xf numFmtId="0" fontId="52" fillId="6" borderId="15" xfId="0" applyFont="1" applyFill="1" applyBorder="1" applyAlignment="1" applyProtection="1">
      <alignment vertical="center"/>
      <protection locked="0"/>
    </xf>
    <xf numFmtId="49" fontId="57" fillId="6" borderId="41" xfId="0" applyNumberFormat="1" applyFont="1" applyFill="1" applyBorder="1" applyAlignment="1" applyProtection="1">
      <alignment vertical="center"/>
      <protection locked="0"/>
    </xf>
    <xf numFmtId="0" fontId="57" fillId="6" borderId="2" xfId="0" applyFont="1" applyFill="1" applyBorder="1" applyAlignment="1" applyProtection="1">
      <alignment vertical="center" wrapText="1"/>
      <protection locked="0"/>
    </xf>
    <xf numFmtId="0" fontId="52" fillId="6" borderId="2" xfId="0" applyFont="1" applyFill="1" applyBorder="1" applyAlignment="1" applyProtection="1">
      <alignment vertical="center"/>
      <protection locked="0"/>
    </xf>
    <xf numFmtId="49" fontId="57" fillId="6" borderId="23" xfId="0" applyNumberFormat="1" applyFont="1" applyFill="1" applyBorder="1" applyAlignment="1" applyProtection="1">
      <alignment horizontal="left" vertical="center"/>
      <protection locked="0"/>
    </xf>
    <xf numFmtId="0" fontId="57" fillId="6" borderId="1" xfId="0" applyFont="1" applyFill="1" applyBorder="1" applyAlignment="1" applyProtection="1">
      <alignment horizontal="left" vertical="center"/>
      <protection locked="0"/>
    </xf>
    <xf numFmtId="0" fontId="57" fillId="6" borderId="1" xfId="0" applyFont="1" applyFill="1" applyBorder="1" applyAlignment="1" applyProtection="1">
      <alignment horizontal="center" vertical="center"/>
      <protection locked="0"/>
    </xf>
    <xf numFmtId="0" fontId="52" fillId="6" borderId="5" xfId="0" applyFont="1" applyFill="1" applyBorder="1" applyAlignment="1" applyProtection="1">
      <alignment horizontal="left" vertical="center"/>
      <protection locked="0"/>
    </xf>
    <xf numFmtId="0" fontId="52" fillId="6" borderId="54" xfId="0" applyFont="1" applyFill="1" applyBorder="1" applyAlignment="1" applyProtection="1">
      <alignment horizontal="center" vertical="center"/>
      <protection locked="0"/>
    </xf>
    <xf numFmtId="0" fontId="52" fillId="6" borderId="48" xfId="0" applyFont="1" applyFill="1" applyBorder="1" applyAlignment="1" applyProtection="1">
      <alignment horizontal="center" vertical="center"/>
      <protection locked="0"/>
    </xf>
    <xf numFmtId="0" fontId="52" fillId="6" borderId="5"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52" fillId="6" borderId="13" xfId="0" applyFont="1" applyFill="1" applyBorder="1" applyAlignment="1" applyProtection="1">
      <alignment horizontal="left" vertical="center" wrapText="1"/>
      <protection locked="0"/>
    </xf>
    <xf numFmtId="0" fontId="52" fillId="6" borderId="2" xfId="0" applyFont="1" applyFill="1" applyBorder="1" applyAlignment="1" applyProtection="1">
      <alignment horizontal="left" vertical="center" wrapText="1"/>
      <protection locked="0"/>
    </xf>
    <xf numFmtId="0" fontId="57" fillId="6" borderId="1" xfId="0" applyFont="1" applyFill="1" applyBorder="1" applyAlignment="1" applyProtection="1">
      <alignment horizontal="left" vertical="center" wrapText="1"/>
      <protection locked="0"/>
    </xf>
    <xf numFmtId="0" fontId="52" fillId="6" borderId="54" xfId="0" applyFont="1" applyFill="1" applyBorder="1" applyAlignment="1" applyProtection="1">
      <alignment horizontal="center" vertical="center" wrapText="1"/>
      <protection locked="0"/>
    </xf>
    <xf numFmtId="0" fontId="52" fillId="6" borderId="48" xfId="0" applyFont="1" applyFill="1" applyBorder="1" applyAlignment="1" applyProtection="1">
      <alignment horizontal="center" vertical="center" wrapText="1"/>
      <protection locked="0"/>
    </xf>
    <xf numFmtId="0" fontId="52" fillId="6" borderId="15" xfId="0" applyFont="1" applyFill="1" applyBorder="1" applyAlignment="1" applyProtection="1">
      <alignment horizontal="left" vertical="center" wrapText="1"/>
      <protection locked="0"/>
    </xf>
    <xf numFmtId="49" fontId="57" fillId="6" borderId="25" xfId="0" applyNumberFormat="1" applyFont="1" applyFill="1" applyBorder="1" applyAlignment="1" applyProtection="1">
      <alignment horizontal="left" vertical="center"/>
      <protection locked="0"/>
    </xf>
    <xf numFmtId="0" fontId="57" fillId="6" borderId="32" xfId="0" applyFont="1" applyFill="1" applyBorder="1" applyAlignment="1" applyProtection="1">
      <alignment horizontal="left" vertical="center"/>
      <protection locked="0"/>
    </xf>
    <xf numFmtId="0" fontId="52" fillId="6" borderId="32" xfId="0" applyFont="1" applyFill="1" applyBorder="1" applyAlignment="1" applyProtection="1">
      <alignment vertical="center"/>
      <protection locked="0"/>
    </xf>
    <xf numFmtId="0" fontId="52" fillId="6" borderId="32" xfId="0" applyFont="1" applyFill="1" applyBorder="1" applyAlignment="1" applyProtection="1">
      <alignment horizontal="left" vertical="center"/>
      <protection locked="0"/>
    </xf>
    <xf numFmtId="49" fontId="57" fillId="6" borderId="55" xfId="0" applyNumberFormat="1" applyFont="1" applyFill="1" applyBorder="1" applyAlignment="1" applyProtection="1">
      <alignment horizontal="left" vertical="center"/>
      <protection locked="0"/>
    </xf>
    <xf numFmtId="49" fontId="57" fillId="6" borderId="18" xfId="0" applyNumberFormat="1" applyFont="1" applyFill="1" applyBorder="1" applyAlignment="1" applyProtection="1">
      <alignment horizontal="center" vertical="center"/>
      <protection locked="0"/>
    </xf>
    <xf numFmtId="49" fontId="57" fillId="6" borderId="18" xfId="0" applyNumberFormat="1" applyFont="1" applyFill="1" applyBorder="1" applyAlignment="1" applyProtection="1">
      <alignment horizontal="left" vertical="center"/>
      <protection locked="0"/>
    </xf>
    <xf numFmtId="0" fontId="52" fillId="6" borderId="17" xfId="0" applyFont="1" applyFill="1" applyBorder="1" applyAlignment="1" applyProtection="1">
      <alignment horizontal="center" vertical="center"/>
      <protection locked="0"/>
    </xf>
    <xf numFmtId="0" fontId="57" fillId="6" borderId="58" xfId="0" applyFont="1" applyFill="1" applyBorder="1" applyAlignment="1" applyProtection="1">
      <alignment vertical="center" wrapText="1"/>
      <protection locked="0"/>
    </xf>
    <xf numFmtId="0" fontId="57" fillId="6" borderId="58" xfId="0" applyFont="1" applyFill="1" applyBorder="1" applyAlignment="1" applyProtection="1">
      <alignment horizontal="center" vertical="center"/>
      <protection locked="0"/>
    </xf>
    <xf numFmtId="0" fontId="52" fillId="6" borderId="3" xfId="0" applyFont="1" applyFill="1" applyBorder="1" applyAlignment="1" applyProtection="1">
      <alignment horizontal="left" vertical="center"/>
      <protection locked="0"/>
    </xf>
    <xf numFmtId="49" fontId="52" fillId="6" borderId="23" xfId="0" applyNumberFormat="1" applyFont="1" applyFill="1" applyBorder="1" applyAlignment="1" applyProtection="1">
      <alignment horizontal="left" vertical="center"/>
    </xf>
    <xf numFmtId="0" fontId="137" fillId="0" borderId="1" xfId="5" applyFont="1" applyBorder="1">
      <alignment vertical="center"/>
    </xf>
    <xf numFmtId="184" fontId="137" fillId="0" borderId="1" xfId="0" applyNumberFormat="1" applyFont="1" applyFill="1" applyBorder="1" applyAlignment="1">
      <alignment horizontal="right" vertical="center"/>
    </xf>
    <xf numFmtId="0" fontId="52" fillId="6" borderId="32" xfId="0" applyFont="1" applyFill="1" applyBorder="1" applyAlignment="1" applyProtection="1">
      <alignment horizontal="center" vertical="center"/>
    </xf>
    <xf numFmtId="0" fontId="59" fillId="6" borderId="46" xfId="0" applyNumberFormat="1" applyFont="1" applyFill="1" applyBorder="1" applyAlignment="1" applyProtection="1">
      <alignment vertical="center" wrapText="1"/>
      <protection locked="0"/>
    </xf>
    <xf numFmtId="0" fontId="52" fillId="6" borderId="21" xfId="0" applyNumberFormat="1" applyFont="1" applyFill="1" applyBorder="1" applyAlignment="1" applyProtection="1">
      <alignment horizontal="center" vertical="center" wrapText="1"/>
    </xf>
    <xf numFmtId="0" fontId="65" fillId="6" borderId="58" xfId="0" applyNumberFormat="1" applyFont="1" applyFill="1" applyBorder="1" applyAlignment="1" applyProtection="1">
      <alignment vertical="center" textRotation="255" wrapText="1"/>
      <protection locked="0"/>
    </xf>
    <xf numFmtId="0" fontId="65" fillId="6" borderId="58" xfId="0" applyNumberFormat="1" applyFont="1" applyFill="1" applyBorder="1" applyAlignment="1" applyProtection="1">
      <alignment vertical="center" wrapText="1"/>
      <protection locked="0"/>
    </xf>
    <xf numFmtId="0" fontId="52" fillId="6" borderId="18" xfId="0" applyNumberFormat="1" applyFont="1" applyFill="1" applyBorder="1" applyAlignment="1" applyProtection="1">
      <alignment horizontal="center" vertical="center" wrapText="1"/>
    </xf>
    <xf numFmtId="0" fontId="52" fillId="0" borderId="11" xfId="0" applyNumberFormat="1" applyFont="1" applyFill="1" applyBorder="1" applyAlignment="1" applyProtection="1">
      <alignment horizontal="center" vertical="center" wrapText="1"/>
      <protection locked="0"/>
    </xf>
    <xf numFmtId="0" fontId="58" fillId="0" borderId="13" xfId="0" applyNumberFormat="1" applyFont="1" applyFill="1" applyBorder="1" applyAlignment="1" applyProtection="1">
      <alignment horizontal="center" vertical="center" wrapText="1"/>
      <protection locked="0"/>
    </xf>
    <xf numFmtId="0" fontId="58" fillId="0" borderId="46" xfId="0" applyNumberFormat="1" applyFont="1" applyFill="1" applyBorder="1" applyAlignment="1" applyProtection="1">
      <alignment horizontal="center" vertical="center" wrapText="1"/>
      <protection locked="0"/>
    </xf>
    <xf numFmtId="0" fontId="58" fillId="0" borderId="59" xfId="0" applyNumberFormat="1" applyFont="1" applyFill="1" applyBorder="1" applyAlignment="1" applyProtection="1">
      <alignment horizontal="center" vertical="center" wrapText="1"/>
      <protection locked="0"/>
    </xf>
    <xf numFmtId="0" fontId="58" fillId="6" borderId="56" xfId="0" applyNumberFormat="1" applyFont="1" applyFill="1" applyBorder="1" applyAlignment="1" applyProtection="1">
      <alignment horizontal="center" vertical="center" wrapText="1"/>
    </xf>
    <xf numFmtId="0" fontId="57" fillId="6" borderId="58" xfId="0" applyNumberFormat="1" applyFont="1" applyFill="1" applyBorder="1" applyAlignment="1" applyProtection="1">
      <alignment vertical="center" wrapText="1"/>
      <protection locked="0"/>
    </xf>
    <xf numFmtId="0" fontId="52" fillId="0" borderId="110" xfId="0" applyNumberFormat="1" applyFont="1" applyFill="1" applyBorder="1" applyAlignment="1" applyProtection="1">
      <alignment horizontal="center" vertical="center" wrapText="1"/>
      <protection locked="0"/>
    </xf>
    <xf numFmtId="0" fontId="52" fillId="0" borderId="111" xfId="0" applyNumberFormat="1" applyFont="1" applyFill="1" applyBorder="1" applyAlignment="1" applyProtection="1">
      <alignment horizontal="center" vertical="center" wrapText="1"/>
      <protection locked="0"/>
    </xf>
    <xf numFmtId="0" fontId="52" fillId="0" borderId="112" xfId="0" applyNumberFormat="1" applyFont="1" applyFill="1" applyBorder="1" applyAlignment="1" applyProtection="1">
      <alignment horizontal="center" vertical="center" wrapText="1"/>
      <protection locked="0"/>
    </xf>
    <xf numFmtId="0" fontId="52" fillId="0" borderId="114" xfId="0" applyNumberFormat="1" applyFont="1" applyFill="1" applyBorder="1" applyAlignment="1" applyProtection="1">
      <alignment horizontal="center" vertical="center" wrapText="1"/>
      <protection locked="0"/>
    </xf>
    <xf numFmtId="0" fontId="52" fillId="6" borderId="11" xfId="0" applyNumberFormat="1" applyFont="1" applyFill="1" applyBorder="1" applyAlignment="1" applyProtection="1">
      <alignment horizontal="center" vertical="center" wrapText="1"/>
    </xf>
    <xf numFmtId="0" fontId="58" fillId="6" borderId="13" xfId="0" applyNumberFormat="1" applyFont="1" applyFill="1" applyBorder="1" applyAlignment="1" applyProtection="1">
      <alignment horizontal="center" vertical="center" wrapText="1"/>
    </xf>
    <xf numFmtId="0" fontId="52" fillId="0" borderId="117" xfId="0" applyFont="1" applyFill="1" applyBorder="1" applyAlignment="1" applyProtection="1">
      <alignment horizontal="center" vertical="center"/>
      <protection locked="0"/>
    </xf>
    <xf numFmtId="0" fontId="52" fillId="0" borderId="118" xfId="0" applyNumberFormat="1" applyFont="1" applyFill="1" applyBorder="1" applyAlignment="1" applyProtection="1">
      <alignment horizontal="center" vertical="center" wrapText="1"/>
      <protection locked="0"/>
    </xf>
    <xf numFmtId="0" fontId="52" fillId="0" borderId="118" xfId="0" applyFont="1" applyFill="1" applyBorder="1" applyAlignment="1" applyProtection="1">
      <alignment horizontal="center" vertical="center" wrapText="1"/>
      <protection locked="0"/>
    </xf>
    <xf numFmtId="9" fontId="52" fillId="0" borderId="118" xfId="0" applyNumberFormat="1" applyFont="1" applyFill="1" applyBorder="1" applyAlignment="1" applyProtection="1">
      <alignment horizontal="center" vertical="center" wrapText="1"/>
      <protection locked="0"/>
    </xf>
    <xf numFmtId="0" fontId="52" fillId="0" borderId="118" xfId="0" applyFont="1" applyFill="1" applyBorder="1" applyAlignment="1" applyProtection="1">
      <alignment horizontal="center" vertical="center"/>
      <protection locked="0"/>
    </xf>
    <xf numFmtId="0" fontId="52" fillId="0" borderId="114" xfId="0" applyFont="1" applyFill="1" applyBorder="1" applyAlignment="1" applyProtection="1">
      <alignment horizontal="center" vertical="center"/>
      <protection locked="0"/>
    </xf>
    <xf numFmtId="0" fontId="52" fillId="6" borderId="114" xfId="0" applyNumberFormat="1" applyFont="1" applyFill="1" applyBorder="1" applyAlignment="1" applyProtection="1">
      <alignment horizontal="center" vertical="center" wrapText="1"/>
    </xf>
    <xf numFmtId="0" fontId="58" fillId="0" borderId="115" xfId="0" applyNumberFormat="1" applyFont="1" applyFill="1" applyBorder="1" applyAlignment="1" applyProtection="1">
      <alignment horizontal="center" vertical="center" wrapText="1"/>
      <protection locked="0"/>
    </xf>
    <xf numFmtId="0" fontId="58" fillId="0" borderId="116" xfId="0" applyNumberFormat="1" applyFont="1" applyFill="1" applyBorder="1" applyAlignment="1" applyProtection="1">
      <alignment horizontal="center" vertical="center" wrapText="1"/>
      <protection locked="0"/>
    </xf>
    <xf numFmtId="0" fontId="52" fillId="10" borderId="6" xfId="0" applyNumberFormat="1" applyFont="1" applyFill="1" applyBorder="1" applyAlignment="1" applyProtection="1">
      <alignment horizontal="center" vertical="center" wrapText="1"/>
      <protection locked="0"/>
    </xf>
    <xf numFmtId="0" fontId="52" fillId="10" borderId="9" xfId="0" applyNumberFormat="1" applyFont="1" applyFill="1" applyBorder="1" applyAlignment="1" applyProtection="1">
      <alignment horizontal="center" vertical="center" wrapText="1"/>
      <protection locked="0"/>
    </xf>
    <xf numFmtId="0" fontId="52" fillId="10" borderId="9" xfId="0" applyNumberFormat="1" applyFont="1" applyFill="1" applyBorder="1" applyAlignment="1" applyProtection="1">
      <alignment horizontal="left" vertical="center" wrapText="1"/>
      <protection locked="0"/>
    </xf>
    <xf numFmtId="0" fontId="52" fillId="10" borderId="28" xfId="0" applyNumberFormat="1" applyFont="1" applyFill="1" applyBorder="1" applyAlignment="1" applyProtection="1">
      <alignment horizontal="center" vertical="center" wrapText="1"/>
      <protection locked="0"/>
    </xf>
    <xf numFmtId="0" fontId="52" fillId="10" borderId="29" xfId="0" applyFont="1" applyFill="1" applyBorder="1" applyAlignment="1" applyProtection="1">
      <alignment horizontal="center" vertical="center"/>
      <protection locked="0"/>
    </xf>
    <xf numFmtId="0" fontId="52" fillId="10" borderId="17" xfId="0" applyNumberFormat="1" applyFont="1" applyFill="1" applyBorder="1" applyAlignment="1" applyProtection="1">
      <alignment horizontal="center" vertical="center" wrapText="1"/>
      <protection locked="0"/>
    </xf>
    <xf numFmtId="0" fontId="52" fillId="10" borderId="17" xfId="0" applyFont="1" applyFill="1" applyBorder="1" applyAlignment="1" applyProtection="1">
      <alignment horizontal="center" vertical="center" wrapText="1"/>
      <protection locked="0"/>
    </xf>
    <xf numFmtId="9" fontId="52" fillId="10" borderId="17" xfId="0" applyNumberFormat="1" applyFont="1" applyFill="1" applyBorder="1" applyAlignment="1" applyProtection="1">
      <alignment horizontal="center" vertical="center" wrapText="1"/>
      <protection locked="0"/>
    </xf>
    <xf numFmtId="0" fontId="52" fillId="10" borderId="17" xfId="0" applyFont="1" applyFill="1" applyBorder="1" applyAlignment="1" applyProtection="1">
      <alignment horizontal="center" vertical="center"/>
      <protection locked="0"/>
    </xf>
    <xf numFmtId="0" fontId="52" fillId="10" borderId="31" xfId="0" applyFont="1" applyFill="1" applyBorder="1" applyAlignment="1" applyProtection="1">
      <alignment horizontal="center" vertical="center"/>
      <protection locked="0"/>
    </xf>
    <xf numFmtId="0" fontId="57" fillId="10" borderId="97" xfId="0" applyNumberFormat="1" applyFont="1" applyFill="1" applyBorder="1" applyAlignment="1" applyProtection="1">
      <alignment vertical="center" wrapText="1"/>
      <protection locked="0"/>
    </xf>
    <xf numFmtId="0" fontId="52" fillId="10" borderId="42" xfId="0" applyNumberFormat="1" applyFont="1" applyFill="1" applyBorder="1" applyAlignment="1" applyProtection="1">
      <alignment horizontal="center" vertical="center" wrapText="1"/>
    </xf>
    <xf numFmtId="0" fontId="52" fillId="10" borderId="25" xfId="0" applyNumberFormat="1" applyFont="1" applyFill="1" applyBorder="1" applyAlignment="1" applyProtection="1">
      <alignment horizontal="center" vertical="center" wrapText="1"/>
      <protection locked="0"/>
    </xf>
    <xf numFmtId="0" fontId="58" fillId="10" borderId="32" xfId="0" applyNumberFormat="1" applyFont="1" applyFill="1" applyBorder="1" applyAlignment="1" applyProtection="1">
      <alignment horizontal="center" vertical="center" wrapText="1"/>
      <protection locked="0"/>
    </xf>
    <xf numFmtId="0" fontId="58" fillId="10" borderId="33" xfId="0" applyNumberFormat="1" applyFont="1" applyFill="1" applyBorder="1" applyAlignment="1" applyProtection="1">
      <alignment horizontal="center" vertical="center" wrapText="1"/>
      <protection locked="0"/>
    </xf>
    <xf numFmtId="0" fontId="58" fillId="10" borderId="68" xfId="0" applyNumberFormat="1" applyFont="1" applyFill="1" applyBorder="1" applyAlignment="1" applyProtection="1">
      <alignment horizontal="center" vertical="center" wrapText="1"/>
      <protection locked="0"/>
    </xf>
    <xf numFmtId="0" fontId="49" fillId="6" borderId="1" xfId="0" applyFont="1" applyFill="1" applyBorder="1" applyProtection="1">
      <alignment vertical="center"/>
    </xf>
    <xf numFmtId="176" fontId="49" fillId="6" borderId="1" xfId="0" applyNumberFormat="1" applyFont="1" applyFill="1" applyBorder="1" applyProtection="1">
      <alignment vertical="center"/>
    </xf>
    <xf numFmtId="0" fontId="49" fillId="6" borderId="1" xfId="0" applyFont="1" applyFill="1" applyBorder="1" applyAlignment="1" applyProtection="1">
      <alignment horizontal="right" vertical="center" wrapText="1"/>
    </xf>
    <xf numFmtId="181" fontId="54" fillId="6" borderId="1" xfId="0" applyNumberFormat="1" applyFont="1" applyFill="1" applyBorder="1" applyAlignment="1" applyProtection="1">
      <alignment horizontal="center" vertical="center"/>
      <protection locked="0"/>
    </xf>
    <xf numFmtId="179" fontId="52" fillId="6" borderId="23" xfId="1" applyNumberFormat="1" applyFont="1" applyFill="1" applyBorder="1" applyAlignment="1" applyProtection="1">
      <alignment horizontal="center"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9" fontId="49" fillId="6" borderId="5" xfId="0" applyNumberFormat="1" applyFont="1" applyFill="1" applyBorder="1" applyAlignment="1" applyProtection="1">
      <alignment horizontal="center" vertical="center"/>
    </xf>
    <xf numFmtId="179" fontId="49" fillId="6" borderId="25" xfId="1" applyNumberFormat="1" applyFont="1" applyFill="1" applyBorder="1" applyAlignment="1" applyProtection="1">
      <alignment horizontal="center" vertical="center"/>
    </xf>
    <xf numFmtId="181" fontId="49" fillId="6" borderId="1" xfId="0" applyNumberFormat="1" applyFont="1" applyFill="1" applyBorder="1" applyAlignment="1" applyProtection="1">
      <alignment vertical="center"/>
    </xf>
    <xf numFmtId="181" fontId="49" fillId="6" borderId="5" xfId="0" applyNumberFormat="1" applyFont="1" applyFill="1" applyBorder="1" applyAlignment="1" applyProtection="1">
      <alignment vertical="center"/>
    </xf>
    <xf numFmtId="181" fontId="49" fillId="6" borderId="24" xfId="0" applyNumberFormat="1" applyFont="1" applyFill="1" applyBorder="1" applyAlignment="1" applyProtection="1">
      <alignment vertical="center"/>
    </xf>
    <xf numFmtId="0" fontId="49" fillId="6" borderId="3" xfId="0" applyFont="1" applyFill="1" applyBorder="1" applyAlignment="1" applyProtection="1">
      <alignment vertical="center"/>
    </xf>
    <xf numFmtId="181" fontId="49" fillId="6" borderId="1" xfId="0" applyNumberFormat="1" applyFont="1" applyFill="1" applyBorder="1" applyAlignment="1" applyProtection="1">
      <alignment horizontal="center" vertical="center"/>
    </xf>
    <xf numFmtId="181" fontId="49" fillId="6" borderId="5" xfId="0" applyNumberFormat="1" applyFont="1" applyFill="1" applyBorder="1" applyAlignment="1" applyProtection="1">
      <alignment horizontal="center" vertical="center"/>
    </xf>
    <xf numFmtId="0" fontId="49" fillId="6" borderId="23" xfId="0" applyFont="1" applyFill="1" applyBorder="1" applyAlignment="1" applyProtection="1">
      <alignment horizontal="center" vertical="center"/>
    </xf>
    <xf numFmtId="10" fontId="49" fillId="6" borderId="1" xfId="0" applyNumberFormat="1" applyFont="1" applyFill="1" applyBorder="1" applyAlignment="1" applyProtection="1">
      <alignment horizontal="center" vertical="center"/>
    </xf>
    <xf numFmtId="183" fontId="49" fillId="6" borderId="1"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14" fontId="49" fillId="6" borderId="67" xfId="0" applyNumberFormat="1" applyFont="1" applyFill="1" applyBorder="1" applyAlignment="1" applyProtection="1">
      <alignment horizontal="center" vertical="center"/>
    </xf>
    <xf numFmtId="0" fontId="49" fillId="6" borderId="6" xfId="0" applyFont="1" applyFill="1" applyBorder="1" applyAlignment="1" applyProtection="1">
      <alignment horizontal="center" vertical="center" wrapText="1"/>
    </xf>
    <xf numFmtId="0" fontId="49" fillId="6" borderId="9" xfId="0" applyFont="1" applyFill="1" applyBorder="1" applyAlignment="1" applyProtection="1">
      <alignment horizontal="center" vertical="center" wrapText="1"/>
    </xf>
    <xf numFmtId="0" fontId="52" fillId="6" borderId="46" xfId="0" applyFont="1" applyFill="1" applyBorder="1" applyAlignment="1" applyProtection="1">
      <alignment horizontal="center" vertical="center" wrapText="1"/>
    </xf>
    <xf numFmtId="0" fontId="107" fillId="6" borderId="1" xfId="0" applyFont="1" applyFill="1" applyBorder="1" applyAlignment="1" applyProtection="1">
      <alignment horizontal="left" vertical="center" wrapText="1"/>
      <protection locked="0"/>
    </xf>
    <xf numFmtId="0" fontId="52" fillId="3" borderId="5" xfId="0" applyFont="1" applyFill="1" applyBorder="1" applyAlignment="1" applyProtection="1">
      <alignment horizontal="center" vertical="center" wrapText="1"/>
      <protection locked="0"/>
    </xf>
    <xf numFmtId="0" fontId="52" fillId="0" borderId="1" xfId="0" applyFont="1" applyBorder="1" applyAlignment="1" applyProtection="1">
      <alignment horizontal="center" vertical="center" wrapText="1"/>
      <protection locked="0"/>
    </xf>
    <xf numFmtId="176" fontId="52" fillId="0" borderId="1" xfId="0" applyNumberFormat="1" applyFont="1" applyFill="1" applyBorder="1" applyAlignment="1" applyProtection="1">
      <alignment horizontal="center" vertical="center" wrapText="1"/>
      <protection locked="0"/>
    </xf>
    <xf numFmtId="179" fontId="49" fillId="6" borderId="2" xfId="0" applyNumberFormat="1" applyFont="1" applyFill="1" applyBorder="1" applyProtection="1">
      <alignment vertical="center"/>
    </xf>
    <xf numFmtId="181" fontId="57" fillId="0" borderId="24" xfId="0" applyNumberFormat="1" applyFont="1" applyFill="1" applyBorder="1" applyAlignment="1" applyProtection="1">
      <alignment horizontal="center" vertical="center"/>
      <protection locked="0"/>
    </xf>
    <xf numFmtId="0" fontId="52" fillId="6" borderId="46" xfId="0" applyFont="1" applyFill="1" applyBorder="1" applyAlignment="1" applyProtection="1">
      <alignment vertical="center"/>
      <protection locked="0"/>
    </xf>
    <xf numFmtId="0" fontId="52" fillId="6" borderId="7" xfId="0" applyFont="1" applyFill="1" applyBorder="1" applyAlignment="1" applyProtection="1">
      <alignment horizontal="left" vertical="center"/>
      <protection locked="0"/>
    </xf>
    <xf numFmtId="0" fontId="57" fillId="6" borderId="8" xfId="0" applyFont="1" applyFill="1" applyBorder="1" applyAlignment="1" applyProtection="1">
      <alignment horizontal="center" vertical="center"/>
    </xf>
    <xf numFmtId="0" fontId="52" fillId="6" borderId="29" xfId="0" applyFont="1" applyFill="1" applyBorder="1" applyAlignment="1" applyProtection="1">
      <alignment horizontal="right" vertical="center"/>
      <protection locked="0"/>
    </xf>
    <xf numFmtId="0" fontId="52" fillId="6" borderId="31" xfId="0" applyFont="1" applyFill="1" applyBorder="1" applyAlignment="1" applyProtection="1">
      <alignment horizontal="center" vertical="center"/>
      <protection locked="0"/>
    </xf>
    <xf numFmtId="0" fontId="59" fillId="7" borderId="24"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xf>
    <xf numFmtId="0" fontId="63" fillId="6" borderId="0" xfId="0" applyNumberFormat="1" applyFont="1" applyFill="1" applyBorder="1" applyAlignment="1" applyProtection="1">
      <alignment horizontal="center"/>
    </xf>
    <xf numFmtId="10" fontId="106" fillId="0" borderId="1" xfId="0" applyNumberFormat="1" applyFont="1" applyBorder="1" applyAlignment="1" applyProtection="1">
      <alignment horizontal="center" vertical="center"/>
      <protection locked="0"/>
    </xf>
    <xf numFmtId="10" fontId="56" fillId="6" borderId="1" xfId="0" applyNumberFormat="1" applyFont="1" applyFill="1" applyBorder="1" applyAlignment="1" applyProtection="1">
      <alignment horizontal="center" vertical="center" wrapText="1"/>
    </xf>
    <xf numFmtId="10" fontId="107" fillId="6" borderId="1" xfId="0" applyNumberFormat="1" applyFont="1" applyFill="1" applyBorder="1" applyAlignment="1" applyProtection="1">
      <alignment horizontal="center" vertical="center" wrapText="1"/>
    </xf>
    <xf numFmtId="179" fontId="122" fillId="6" borderId="15" xfId="0" applyNumberFormat="1" applyFont="1" applyFill="1" applyBorder="1" applyAlignment="1" applyProtection="1">
      <alignment horizontal="center" vertical="center" wrapText="1"/>
    </xf>
    <xf numFmtId="10" fontId="106" fillId="6" borderId="1" xfId="0" applyNumberFormat="1" applyFont="1" applyFill="1" applyBorder="1" applyAlignment="1" applyProtection="1">
      <alignment horizontal="center" vertical="center"/>
    </xf>
    <xf numFmtId="0" fontId="14" fillId="6" borderId="24" xfId="0" applyFont="1" applyFill="1" applyBorder="1" applyAlignment="1" applyProtection="1">
      <alignment vertical="center"/>
    </xf>
    <xf numFmtId="0" fontId="57" fillId="6" borderId="4" xfId="0" applyFont="1" applyFill="1" applyBorder="1" applyAlignment="1" applyProtection="1">
      <alignment horizontal="center" vertical="center"/>
    </xf>
    <xf numFmtId="49" fontId="52" fillId="6" borderId="11" xfId="0" applyNumberFormat="1" applyFont="1" applyFill="1" applyBorder="1" applyAlignment="1" applyProtection="1">
      <alignment horizontal="left" vertical="center"/>
    </xf>
    <xf numFmtId="0" fontId="52" fillId="6" borderId="15" xfId="0" applyFont="1" applyFill="1" applyBorder="1" applyAlignment="1" applyProtection="1">
      <alignment horizontal="center" vertical="center"/>
    </xf>
    <xf numFmtId="0" fontId="52" fillId="6" borderId="4" xfId="0" applyFont="1" applyFill="1" applyBorder="1" applyAlignment="1" applyProtection="1">
      <alignment horizontal="right" vertical="center"/>
    </xf>
    <xf numFmtId="0" fontId="52" fillId="6" borderId="71" xfId="0" applyFont="1" applyFill="1" applyBorder="1" applyAlignment="1" applyProtection="1">
      <alignment horizontal="center" vertical="center"/>
    </xf>
    <xf numFmtId="49" fontId="52" fillId="6" borderId="35" xfId="0" applyNumberFormat="1" applyFont="1" applyFill="1" applyBorder="1" applyAlignment="1" applyProtection="1">
      <alignment horizontal="left" vertical="center"/>
    </xf>
    <xf numFmtId="0" fontId="57" fillId="6" borderId="22"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2" fillId="6" borderId="3" xfId="0" applyFont="1" applyFill="1" applyBorder="1" applyAlignment="1" applyProtection="1">
      <alignment horizontal="left" vertical="center"/>
    </xf>
    <xf numFmtId="49" fontId="57" fillId="6" borderId="69" xfId="0" applyNumberFormat="1" applyFont="1" applyFill="1" applyBorder="1" applyAlignment="1" applyProtection="1">
      <alignment vertical="center"/>
    </xf>
    <xf numFmtId="10" fontId="52" fillId="6" borderId="61" xfId="0" applyNumberFormat="1" applyFont="1" applyFill="1" applyBorder="1" applyAlignment="1" applyProtection="1">
      <alignment horizontal="center" vertical="center"/>
    </xf>
    <xf numFmtId="0" fontId="21" fillId="0" borderId="1" xfId="0" applyFont="1" applyFill="1" applyBorder="1" applyAlignment="1">
      <alignment horizontal="center" vertical="center"/>
    </xf>
    <xf numFmtId="177" fontId="21" fillId="0" borderId="24" xfId="0" applyNumberFormat="1" applyFont="1" applyFill="1" applyBorder="1" applyAlignment="1">
      <alignment horizontal="center" vertical="center"/>
    </xf>
    <xf numFmtId="0" fontId="132" fillId="0" borderId="1" xfId="0" applyFont="1" applyFill="1" applyBorder="1" applyAlignment="1">
      <alignment horizontal="center" vertical="center"/>
    </xf>
    <xf numFmtId="9" fontId="21" fillId="0" borderId="1" xfId="0" applyNumberFormat="1" applyFont="1" applyFill="1" applyBorder="1" applyAlignment="1">
      <alignment horizontal="center" vertical="center"/>
    </xf>
    <xf numFmtId="177" fontId="21" fillId="0" borderId="1" xfId="0" applyNumberFormat="1" applyFont="1" applyFill="1" applyBorder="1" applyAlignment="1">
      <alignment horizontal="center" vertical="center"/>
    </xf>
    <xf numFmtId="0" fontId="21" fillId="0" borderId="24" xfId="0" applyFont="1" applyFill="1" applyBorder="1" applyAlignment="1">
      <alignment horizontal="center" vertical="center"/>
    </xf>
    <xf numFmtId="0" fontId="147" fillId="0" borderId="1" xfId="0" applyFont="1" applyFill="1" applyBorder="1" applyAlignment="1">
      <alignment horizontal="center" vertical="center"/>
    </xf>
    <xf numFmtId="9" fontId="86" fillId="0" borderId="1" xfId="0" applyNumberFormat="1" applyFont="1" applyFill="1" applyBorder="1" applyAlignment="1">
      <alignment horizontal="center" vertical="center"/>
    </xf>
    <xf numFmtId="177" fontId="86" fillId="0" borderId="1" xfId="0" applyNumberFormat="1" applyFont="1" applyFill="1" applyBorder="1" applyAlignment="1">
      <alignment horizontal="center" vertical="center"/>
    </xf>
    <xf numFmtId="0" fontId="86" fillId="0" borderId="24" xfId="0" applyFont="1" applyFill="1" applyBorder="1" applyAlignment="1">
      <alignment horizontal="center" vertical="center"/>
    </xf>
    <xf numFmtId="0" fontId="39" fillId="0" borderId="1" xfId="0" applyFont="1" applyFill="1" applyBorder="1" applyAlignment="1">
      <alignment horizontal="center" vertical="center"/>
    </xf>
    <xf numFmtId="0" fontId="0" fillId="0" borderId="1" xfId="0" applyFill="1" applyBorder="1" applyAlignment="1">
      <alignment vertical="center"/>
    </xf>
    <xf numFmtId="0" fontId="147" fillId="0" borderId="24" xfId="0" applyFont="1" applyFill="1" applyBorder="1" applyAlignment="1">
      <alignment horizontal="center" vertical="center"/>
    </xf>
    <xf numFmtId="0" fontId="132" fillId="0" borderId="1" xfId="0" applyFont="1" applyFill="1" applyBorder="1" applyAlignment="1">
      <alignment horizontal="center" vertical="center" wrapText="1"/>
    </xf>
    <xf numFmtId="0" fontId="39" fillId="0" borderId="1" xfId="0" applyFont="1" applyFill="1" applyBorder="1" applyAlignment="1">
      <alignment vertical="center"/>
    </xf>
    <xf numFmtId="0" fontId="132" fillId="0" borderId="24" xfId="0" applyFont="1" applyFill="1" applyBorder="1" applyAlignment="1">
      <alignment horizontal="center" vertical="center"/>
    </xf>
    <xf numFmtId="0" fontId="132" fillId="0" borderId="1" xfId="0" applyFont="1" applyBorder="1" applyAlignment="1">
      <alignment horizontal="center" vertical="center"/>
    </xf>
    <xf numFmtId="9" fontId="132" fillId="0" borderId="1" xfId="0" applyNumberFormat="1" applyFont="1" applyBorder="1" applyAlignment="1">
      <alignment horizontal="center" vertical="center"/>
    </xf>
    <xf numFmtId="0" fontId="147" fillId="0" borderId="32" xfId="0" applyFont="1" applyFill="1" applyBorder="1" applyAlignment="1">
      <alignment horizontal="center" vertical="center"/>
    </xf>
    <xf numFmtId="9" fontId="147" fillId="0" borderId="32" xfId="0" applyNumberFormat="1" applyFont="1" applyFill="1" applyBorder="1" applyAlignment="1">
      <alignment horizontal="center" vertical="center"/>
    </xf>
    <xf numFmtId="177" fontId="147" fillId="0" borderId="32" xfId="0" applyNumberFormat="1" applyFont="1" applyFill="1" applyBorder="1" applyAlignment="1">
      <alignment horizontal="center" vertical="center"/>
    </xf>
    <xf numFmtId="0" fontId="86" fillId="0" borderId="49" xfId="0" applyFont="1" applyFill="1" applyBorder="1" applyAlignment="1">
      <alignment horizontal="center" vertical="center"/>
    </xf>
    <xf numFmtId="0" fontId="147" fillId="11" borderId="1" xfId="0" applyFont="1" applyFill="1" applyBorder="1" applyAlignment="1">
      <alignment vertical="center"/>
    </xf>
    <xf numFmtId="0" fontId="21" fillId="0" borderId="1" xfId="0" applyFont="1" applyBorder="1" applyAlignment="1">
      <alignment horizontal="center"/>
    </xf>
    <xf numFmtId="0" fontId="21" fillId="0" borderId="1" xfId="0" applyFont="1" applyBorder="1" applyAlignment="1"/>
    <xf numFmtId="49" fontId="21" fillId="0" borderId="1" xfId="0" applyNumberFormat="1" applyFont="1" applyBorder="1" applyAlignment="1">
      <alignment horizontal="center"/>
    </xf>
    <xf numFmtId="9" fontId="21" fillId="0" borderId="1" xfId="0" applyNumberFormat="1" applyFont="1" applyBorder="1" applyAlignment="1"/>
    <xf numFmtId="0" fontId="21" fillId="0" borderId="1" xfId="0" applyFont="1" applyFill="1" applyBorder="1" applyAlignment="1">
      <alignment horizontal="center"/>
    </xf>
    <xf numFmtId="49" fontId="57" fillId="6" borderId="41" xfId="0" applyNumberFormat="1"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2" fillId="6" borderId="15" xfId="0" applyFont="1" applyFill="1" applyBorder="1" applyAlignment="1" applyProtection="1">
      <alignment horizontal="left" vertical="center"/>
    </xf>
    <xf numFmtId="181" fontId="52" fillId="6" borderId="53" xfId="0" applyNumberFormat="1" applyFont="1" applyFill="1" applyBorder="1" applyAlignment="1" applyProtection="1">
      <alignment horizontal="center" vertical="center"/>
    </xf>
    <xf numFmtId="49" fontId="52" fillId="6" borderId="91" xfId="0" applyNumberFormat="1" applyFont="1" applyFill="1" applyBorder="1" applyAlignment="1" applyProtection="1">
      <alignment vertical="center"/>
    </xf>
    <xf numFmtId="0" fontId="57" fillId="0" borderId="78" xfId="0" applyFont="1" applyFill="1" applyBorder="1" applyAlignment="1" applyProtection="1">
      <alignment horizontal="center" vertical="center"/>
      <protection locked="0"/>
    </xf>
    <xf numFmtId="0" fontId="52" fillId="6" borderId="78" xfId="0" applyFont="1" applyFill="1" applyBorder="1" applyAlignment="1" applyProtection="1">
      <alignment vertical="center"/>
    </xf>
    <xf numFmtId="181" fontId="57" fillId="6" borderId="79" xfId="0" applyNumberFormat="1" applyFont="1" applyFill="1" applyBorder="1" applyAlignment="1" applyProtection="1">
      <alignment horizontal="center" vertical="center"/>
    </xf>
    <xf numFmtId="0" fontId="52" fillId="6" borderId="4" xfId="0" applyFont="1" applyFill="1" applyBorder="1" applyAlignment="1" applyProtection="1">
      <alignment horizontal="left" vertical="center"/>
    </xf>
    <xf numFmtId="0" fontId="52" fillId="6" borderId="60" xfId="0" applyFont="1" applyFill="1" applyBorder="1" applyAlignment="1" applyProtection="1">
      <alignment horizontal="center" vertical="center"/>
    </xf>
    <xf numFmtId="49" fontId="52" fillId="6" borderId="91" xfId="0" applyNumberFormat="1" applyFont="1" applyFill="1" applyBorder="1" applyAlignment="1" applyProtection="1">
      <alignment horizontal="left" vertical="center"/>
    </xf>
    <xf numFmtId="0" fontId="52" fillId="6" borderId="78" xfId="0" applyFont="1" applyFill="1" applyBorder="1" applyAlignment="1" applyProtection="1">
      <alignment horizontal="left" vertical="center"/>
    </xf>
    <xf numFmtId="0" fontId="52" fillId="6" borderId="78" xfId="0" applyFont="1" applyFill="1" applyBorder="1" applyAlignment="1" applyProtection="1">
      <alignment horizontal="center" vertical="center"/>
    </xf>
    <xf numFmtId="0" fontId="52" fillId="6" borderId="78" xfId="0" applyFont="1" applyFill="1" applyBorder="1" applyAlignment="1" applyProtection="1">
      <alignment horizontal="left" vertical="center" wrapText="1"/>
    </xf>
    <xf numFmtId="181" fontId="52" fillId="6" borderId="79" xfId="0" applyNumberFormat="1" applyFont="1" applyFill="1" applyBorder="1" applyAlignment="1" applyProtection="1">
      <alignment horizontal="center" vertical="center"/>
    </xf>
    <xf numFmtId="0" fontId="57" fillId="6" borderId="2" xfId="0" applyFont="1" applyFill="1" applyBorder="1" applyAlignment="1" applyProtection="1">
      <alignment horizontal="left" vertical="center" wrapText="1"/>
    </xf>
    <xf numFmtId="0" fontId="52" fillId="6" borderId="4" xfId="0" applyFont="1" applyFill="1" applyBorder="1" applyAlignment="1" applyProtection="1">
      <alignment horizontal="left" vertical="center" wrapText="1"/>
    </xf>
    <xf numFmtId="0" fontId="52" fillId="6" borderId="60" xfId="0" applyFont="1" applyFill="1" applyBorder="1" applyAlignment="1" applyProtection="1">
      <alignment horizontal="center" vertical="center" wrapText="1"/>
    </xf>
    <xf numFmtId="0" fontId="52" fillId="6" borderId="71" xfId="0" applyFont="1" applyFill="1" applyBorder="1" applyAlignment="1" applyProtection="1">
      <alignment horizontal="center" vertical="center" wrapText="1"/>
    </xf>
    <xf numFmtId="0" fontId="52" fillId="6" borderId="85" xfId="0" applyFont="1" applyFill="1" applyBorder="1" applyAlignment="1" applyProtection="1">
      <alignment vertical="center"/>
    </xf>
    <xf numFmtId="181" fontId="57" fillId="6" borderId="78" xfId="0" applyNumberFormat="1" applyFont="1" applyFill="1" applyBorder="1" applyAlignment="1" applyProtection="1">
      <alignment horizontal="center" vertical="center"/>
    </xf>
    <xf numFmtId="0" fontId="52" fillId="6" borderId="85" xfId="0" applyFont="1" applyFill="1" applyBorder="1" applyAlignment="1" applyProtection="1">
      <alignment horizontal="left" vertical="center"/>
    </xf>
    <xf numFmtId="0" fontId="52" fillId="6" borderId="7" xfId="0" applyFont="1" applyFill="1" applyBorder="1" applyAlignment="1" applyProtection="1">
      <alignment vertical="center"/>
    </xf>
    <xf numFmtId="49" fontId="52" fillId="6" borderId="41" xfId="0" applyNumberFormat="1" applyFont="1" applyFill="1" applyBorder="1" applyAlignment="1" applyProtection="1">
      <alignment horizontal="left" vertical="center"/>
    </xf>
    <xf numFmtId="49" fontId="52" fillId="6" borderId="7" xfId="0" applyNumberFormat="1" applyFont="1" applyFill="1" applyBorder="1" applyAlignment="1" applyProtection="1">
      <alignment vertical="center"/>
    </xf>
    <xf numFmtId="178" fontId="59" fillId="6" borderId="1" xfId="0" applyNumberFormat="1" applyFont="1" applyFill="1" applyBorder="1" applyAlignment="1" applyProtection="1">
      <alignment horizontal="center" vertical="center"/>
    </xf>
    <xf numFmtId="178" fontId="58" fillId="6" borderId="1" xfId="0" applyNumberFormat="1" applyFont="1" applyFill="1" applyBorder="1" applyAlignment="1" applyProtection="1">
      <alignment horizontal="center" vertical="center"/>
    </xf>
    <xf numFmtId="177" fontId="51" fillId="6" borderId="0" xfId="0" applyNumberFormat="1" applyFont="1" applyFill="1" applyBorder="1" applyAlignment="1" applyProtection="1">
      <alignment horizontal="center" vertical="center"/>
    </xf>
    <xf numFmtId="187" fontId="52" fillId="6" borderId="3" xfId="0" applyNumberFormat="1" applyFont="1" applyFill="1" applyBorder="1" applyAlignment="1" applyProtection="1">
      <alignment horizontal="center" vertical="center"/>
    </xf>
    <xf numFmtId="177" fontId="52" fillId="6" borderId="0" xfId="0" applyNumberFormat="1" applyFont="1" applyFill="1" applyBorder="1" applyAlignment="1" applyProtection="1">
      <alignment horizontal="center" vertical="center"/>
    </xf>
    <xf numFmtId="0" fontId="51" fillId="6" borderId="39" xfId="0" applyNumberFormat="1" applyFont="1" applyFill="1" applyBorder="1" applyAlignment="1" applyProtection="1">
      <alignment vertical="center"/>
    </xf>
    <xf numFmtId="49" fontId="52" fillId="6" borderId="18" xfId="0" applyNumberFormat="1" applyFont="1" applyFill="1" applyBorder="1" applyAlignment="1" applyProtection="1">
      <alignment horizontal="center" vertical="center"/>
      <protection locked="0"/>
    </xf>
    <xf numFmtId="49" fontId="57" fillId="6" borderId="37" xfId="0" applyNumberFormat="1" applyFont="1" applyFill="1" applyBorder="1" applyAlignment="1" applyProtection="1">
      <alignment horizontal="left" vertical="center"/>
      <protection locked="0"/>
    </xf>
    <xf numFmtId="0" fontId="52" fillId="6" borderId="5" xfId="0" applyFont="1" applyFill="1" applyBorder="1" applyAlignment="1" applyProtection="1">
      <alignment horizontal="center" vertical="center"/>
      <protection locked="0"/>
    </xf>
    <xf numFmtId="0" fontId="52" fillId="6" borderId="5" xfId="0" applyFont="1" applyFill="1" applyBorder="1" applyAlignment="1" applyProtection="1">
      <alignment horizontal="right" vertical="center"/>
      <protection locked="0"/>
    </xf>
    <xf numFmtId="0" fontId="57" fillId="6" borderId="46" xfId="0" applyFont="1" applyFill="1" applyBorder="1" applyAlignment="1" applyProtection="1">
      <alignment horizontal="center" vertical="center"/>
    </xf>
    <xf numFmtId="0" fontId="62" fillId="6" borderId="0" xfId="0" applyFont="1" applyFill="1" applyBorder="1" applyAlignment="1" applyProtection="1">
      <alignment vertical="center"/>
    </xf>
    <xf numFmtId="181" fontId="57" fillId="5" borderId="61" xfId="0" applyNumberFormat="1" applyFont="1" applyFill="1" applyBorder="1" applyAlignment="1" applyProtection="1">
      <alignment horizontal="center" vertical="center"/>
      <protection locked="0"/>
    </xf>
    <xf numFmtId="0" fontId="52" fillId="6" borderId="17" xfId="0" applyFont="1" applyFill="1" applyBorder="1" applyAlignment="1" applyProtection="1">
      <alignment horizontal="center" vertical="center"/>
    </xf>
    <xf numFmtId="0" fontId="57" fillId="6" borderId="58" xfId="0" applyFont="1" applyFill="1" applyBorder="1" applyAlignment="1" applyProtection="1">
      <alignment horizontal="center" vertical="center"/>
    </xf>
    <xf numFmtId="9" fontId="58" fillId="6" borderId="24" xfId="0" applyNumberFormat="1" applyFont="1" applyFill="1" applyBorder="1" applyAlignment="1" applyProtection="1">
      <alignment horizontal="center" vertical="center" wrapText="1"/>
    </xf>
    <xf numFmtId="0" fontId="58" fillId="7" borderId="0" xfId="0" applyFont="1" applyFill="1" applyAlignment="1" applyProtection="1">
      <alignment vertical="center" wrapText="1"/>
      <protection locked="0"/>
    </xf>
    <xf numFmtId="0" fontId="58" fillId="7" borderId="0" xfId="0" applyFont="1" applyFill="1" applyAlignment="1" applyProtection="1">
      <alignment horizontal="center" vertical="center" wrapText="1"/>
      <protection locked="0"/>
    </xf>
    <xf numFmtId="0" fontId="58" fillId="7" borderId="0" xfId="0" applyFont="1" applyFill="1" applyAlignment="1" applyProtection="1">
      <alignment horizontal="center" vertical="center" wrapText="1"/>
    </xf>
    <xf numFmtId="10" fontId="58" fillId="6" borderId="49" xfId="0" applyNumberFormat="1" applyFont="1" applyFill="1" applyBorder="1" applyAlignment="1" applyProtection="1">
      <alignment horizontal="center" vertical="center" wrapText="1"/>
    </xf>
    <xf numFmtId="0" fontId="58" fillId="7" borderId="0" xfId="0" applyNumberFormat="1" applyFont="1" applyFill="1" applyAlignment="1" applyProtection="1">
      <alignment horizontal="center" vertical="center" wrapText="1"/>
      <protection locked="0"/>
    </xf>
    <xf numFmtId="14" fontId="58" fillId="7" borderId="0" xfId="0" applyNumberFormat="1" applyFont="1" applyFill="1" applyAlignment="1" applyProtection="1">
      <alignment horizontal="center" vertical="center" wrapText="1"/>
      <protection locked="0"/>
    </xf>
    <xf numFmtId="10" fontId="58" fillId="7" borderId="0" xfId="0" applyNumberFormat="1" applyFont="1" applyFill="1" applyAlignment="1" applyProtection="1">
      <alignment horizontal="center" vertical="center" wrapText="1"/>
      <protection locked="0"/>
    </xf>
    <xf numFmtId="0" fontId="56" fillId="7" borderId="0" xfId="0" applyFont="1" applyFill="1" applyAlignment="1" applyProtection="1">
      <alignment vertical="center" wrapText="1"/>
      <protection locked="0"/>
    </xf>
    <xf numFmtId="0" fontId="56" fillId="7" borderId="0" xfId="0" applyFont="1" applyFill="1" applyAlignment="1" applyProtection="1">
      <alignment vertical="center" wrapText="1"/>
    </xf>
    <xf numFmtId="49" fontId="62" fillId="6" borderId="0" xfId="1" applyNumberFormat="1" applyFont="1" applyFill="1" applyBorder="1" applyAlignment="1" applyProtection="1">
      <alignment horizontal="right" vertical="center"/>
    </xf>
    <xf numFmtId="0" fontId="59" fillId="6" borderId="1" xfId="0" applyNumberFormat="1" applyFont="1" applyFill="1" applyBorder="1" applyAlignment="1" applyProtection="1">
      <alignment horizontal="center" vertical="center"/>
    </xf>
    <xf numFmtId="0" fontId="58" fillId="6" borderId="1" xfId="0" applyNumberFormat="1" applyFont="1" applyFill="1" applyBorder="1" applyAlignment="1" applyProtection="1">
      <alignment horizontal="center" vertical="center"/>
    </xf>
    <xf numFmtId="0" fontId="56" fillId="6" borderId="45" xfId="0" applyNumberFormat="1" applyFont="1" applyFill="1" applyBorder="1" applyAlignment="1" applyProtection="1">
      <alignment horizontal="center" vertical="center" wrapText="1"/>
    </xf>
    <xf numFmtId="0" fontId="63" fillId="6" borderId="14" xfId="0" applyNumberFormat="1"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9" fillId="0" borderId="5" xfId="0" applyFont="1" applyFill="1" applyBorder="1" applyAlignment="1" applyProtection="1">
      <alignment horizontal="center" vertical="center" wrapText="1"/>
      <protection locked="0"/>
    </xf>
    <xf numFmtId="0" fontId="56" fillId="0" borderId="5" xfId="0" applyFont="1" applyFill="1" applyBorder="1" applyAlignment="1" applyProtection="1">
      <alignment horizontal="center" vertical="center"/>
      <protection locked="0"/>
    </xf>
    <xf numFmtId="0" fontId="54" fillId="0" borderId="33" xfId="0" applyFont="1" applyFill="1" applyBorder="1" applyAlignment="1" applyProtection="1">
      <alignment horizontal="center" vertical="center"/>
      <protection locked="0"/>
    </xf>
    <xf numFmtId="0" fontId="56" fillId="6" borderId="37" xfId="0" applyNumberFormat="1" applyFont="1" applyFill="1" applyBorder="1" applyAlignment="1" applyProtection="1">
      <alignment horizontal="center" vertical="center" wrapText="1"/>
    </xf>
    <xf numFmtId="0" fontId="150" fillId="3" borderId="3" xfId="0" applyFont="1" applyFill="1" applyBorder="1" applyAlignment="1" applyProtection="1">
      <alignment vertical="center"/>
      <protection locked="0"/>
    </xf>
    <xf numFmtId="0" fontId="49" fillId="6" borderId="23" xfId="0" applyFont="1" applyFill="1" applyBorder="1" applyProtection="1">
      <alignment vertical="center"/>
    </xf>
    <xf numFmtId="0" fontId="49" fillId="6" borderId="0" xfId="0" applyFont="1" applyFill="1" applyProtection="1">
      <alignment vertical="center"/>
      <protection locked="0"/>
    </xf>
    <xf numFmtId="176" fontId="51" fillId="6" borderId="1" xfId="0" applyNumberFormat="1" applyFont="1" applyFill="1" applyBorder="1" applyAlignment="1" applyProtection="1">
      <alignment vertical="center"/>
    </xf>
    <xf numFmtId="176" fontId="51" fillId="6" borderId="1" xfId="0" applyNumberFormat="1" applyFont="1" applyFill="1" applyBorder="1" applyAlignment="1" applyProtection="1">
      <alignment horizontal="center" vertical="center"/>
    </xf>
    <xf numFmtId="176" fontId="51" fillId="6" borderId="24" xfId="0" applyNumberFormat="1" applyFont="1" applyFill="1" applyBorder="1" applyAlignment="1" applyProtection="1">
      <alignment vertical="center"/>
    </xf>
    <xf numFmtId="176" fontId="51" fillId="6" borderId="25" xfId="0" applyNumberFormat="1" applyFont="1" applyFill="1" applyBorder="1" applyAlignment="1" applyProtection="1">
      <alignment vertical="center"/>
    </xf>
    <xf numFmtId="176" fontId="51" fillId="6" borderId="76" xfId="0" applyNumberFormat="1" applyFont="1" applyFill="1" applyBorder="1" applyAlignment="1" applyProtection="1">
      <alignment vertical="center"/>
    </xf>
    <xf numFmtId="0" fontId="49" fillId="6" borderId="11" xfId="0" applyFont="1" applyFill="1" applyBorder="1" applyProtection="1">
      <alignment vertical="center"/>
    </xf>
    <xf numFmtId="0" fontId="49" fillId="6" borderId="13" xfId="0" applyFont="1" applyFill="1" applyBorder="1" applyProtection="1">
      <alignment vertical="center"/>
    </xf>
    <xf numFmtId="0" fontId="51" fillId="6" borderId="25" xfId="0" applyFont="1" applyFill="1" applyBorder="1" applyProtection="1">
      <alignment vertical="center"/>
    </xf>
    <xf numFmtId="0" fontId="51" fillId="6" borderId="32" xfId="0" applyFont="1" applyFill="1" applyBorder="1" applyProtection="1">
      <alignment vertical="center"/>
    </xf>
    <xf numFmtId="0" fontId="49" fillId="6" borderId="49" xfId="0" applyFont="1" applyFill="1" applyBorder="1" applyProtection="1">
      <alignment vertical="center"/>
    </xf>
    <xf numFmtId="0" fontId="49" fillId="6" borderId="24" xfId="0" applyFont="1" applyFill="1" applyBorder="1" applyProtection="1">
      <alignment vertical="center"/>
    </xf>
    <xf numFmtId="0" fontId="51" fillId="6" borderId="49" xfId="0" applyFont="1" applyFill="1" applyBorder="1" applyProtection="1">
      <alignment vertical="center"/>
    </xf>
    <xf numFmtId="49" fontId="57" fillId="6" borderId="22" xfId="0" applyNumberFormat="1" applyFont="1" applyFill="1" applyBorder="1" applyAlignment="1" applyProtection="1">
      <alignment horizontal="left" vertical="center"/>
      <protection locked="0"/>
    </xf>
    <xf numFmtId="49" fontId="57" fillId="6" borderId="41" xfId="0" applyNumberFormat="1" applyFont="1" applyFill="1" applyBorder="1" applyAlignment="1" applyProtection="1">
      <alignment horizontal="left" vertical="center"/>
      <protection locked="0"/>
    </xf>
    <xf numFmtId="0" fontId="55" fillId="6" borderId="51" xfId="0" applyNumberFormat="1" applyFont="1" applyFill="1" applyBorder="1" applyAlignment="1" applyProtection="1">
      <alignment horizontal="right" vertical="center" wrapText="1"/>
    </xf>
    <xf numFmtId="0" fontId="55" fillId="6" borderId="21" xfId="0" applyNumberFormat="1" applyFont="1" applyFill="1" applyBorder="1" applyAlignment="1" applyProtection="1">
      <alignment vertical="center" wrapText="1"/>
    </xf>
    <xf numFmtId="0" fontId="75" fillId="3" borderId="20" xfId="0" applyNumberFormat="1" applyFont="1" applyFill="1" applyBorder="1" applyAlignment="1" applyProtection="1">
      <alignment vertical="center" wrapText="1"/>
      <protection locked="0"/>
    </xf>
    <xf numFmtId="0" fontId="75" fillId="6" borderId="20" xfId="0" applyNumberFormat="1" applyFont="1" applyFill="1" applyBorder="1" applyAlignment="1" applyProtection="1">
      <alignment vertical="center" wrapText="1"/>
    </xf>
    <xf numFmtId="0" fontId="75" fillId="3" borderId="51" xfId="0" applyNumberFormat="1" applyFont="1" applyFill="1" applyBorder="1" applyAlignment="1" applyProtection="1">
      <alignment vertical="center" wrapText="1"/>
      <protection locked="0"/>
    </xf>
    <xf numFmtId="0" fontId="75" fillId="6" borderId="21" xfId="0" applyNumberFormat="1" applyFont="1" applyFill="1" applyBorder="1" applyAlignment="1" applyProtection="1">
      <alignment vertical="center" wrapText="1"/>
    </xf>
    <xf numFmtId="0" fontId="55" fillId="6" borderId="38" xfId="0" applyNumberFormat="1" applyFont="1" applyFill="1" applyBorder="1" applyAlignment="1" applyProtection="1">
      <alignment vertical="center" wrapText="1"/>
    </xf>
    <xf numFmtId="0" fontId="55" fillId="6" borderId="68" xfId="0" applyNumberFormat="1" applyFont="1" applyFill="1" applyBorder="1" applyAlignment="1" applyProtection="1">
      <alignment vertical="center" wrapText="1"/>
    </xf>
    <xf numFmtId="0" fontId="55" fillId="6" borderId="52" xfId="0" applyNumberFormat="1" applyFont="1" applyFill="1" applyBorder="1" applyAlignment="1" applyProtection="1">
      <alignment vertical="center" wrapText="1"/>
    </xf>
    <xf numFmtId="0" fontId="55" fillId="6" borderId="47" xfId="0" applyNumberFormat="1" applyFont="1" applyFill="1" applyBorder="1" applyAlignment="1" applyProtection="1">
      <alignment vertical="center" wrapText="1"/>
      <protection locked="0"/>
    </xf>
    <xf numFmtId="0" fontId="55" fillId="6" borderId="47" xfId="0" applyNumberFormat="1" applyFont="1" applyFill="1" applyBorder="1" applyAlignment="1" applyProtection="1">
      <alignment vertical="center" wrapText="1"/>
    </xf>
    <xf numFmtId="0" fontId="62" fillId="6" borderId="2" xfId="0" applyFont="1" applyFill="1" applyBorder="1" applyAlignment="1" applyProtection="1">
      <alignment horizontal="right" vertical="center"/>
    </xf>
    <xf numFmtId="0" fontId="67" fillId="6" borderId="58" xfId="0" applyFont="1" applyFill="1" applyBorder="1" applyAlignment="1" applyProtection="1">
      <alignment horizontal="center" vertical="center"/>
    </xf>
    <xf numFmtId="0" fontId="56" fillId="6" borderId="58" xfId="0" applyFont="1" applyFill="1" applyBorder="1" applyAlignment="1" applyProtection="1">
      <alignment horizontal="center" vertical="center"/>
      <protection locked="0"/>
    </xf>
    <xf numFmtId="0" fontId="73" fillId="6" borderId="58" xfId="0" applyFont="1" applyFill="1" applyBorder="1" applyAlignment="1" applyProtection="1">
      <alignment horizontal="center" vertical="center"/>
      <protection locked="0"/>
    </xf>
    <xf numFmtId="0" fontId="56" fillId="6" borderId="58" xfId="0" applyFont="1" applyFill="1" applyBorder="1" applyAlignment="1" applyProtection="1">
      <protection locked="0"/>
    </xf>
    <xf numFmtId="9" fontId="49" fillId="6" borderId="0" xfId="0" applyNumberFormat="1" applyFont="1" applyFill="1" applyBorder="1" applyAlignment="1" applyProtection="1">
      <alignment horizontal="center" vertical="center" wrapText="1"/>
      <protection locked="0"/>
    </xf>
    <xf numFmtId="0" fontId="61" fillId="6" borderId="0" xfId="0" applyFont="1" applyFill="1" applyBorder="1" applyAlignment="1" applyProtection="1">
      <protection locked="0"/>
    </xf>
    <xf numFmtId="0" fontId="56" fillId="6" borderId="0" xfId="0" applyFont="1" applyFill="1" applyBorder="1" applyAlignment="1" applyProtection="1">
      <alignment horizontal="center"/>
      <protection locked="0"/>
    </xf>
    <xf numFmtId="0" fontId="106" fillId="6" borderId="58" xfId="0" applyFont="1" applyFill="1" applyBorder="1" applyAlignment="1" applyProtection="1">
      <alignment vertical="center"/>
      <protection locked="0"/>
    </xf>
    <xf numFmtId="0" fontId="49" fillId="6" borderId="0" xfId="0" applyFont="1" applyFill="1" applyAlignment="1" applyProtection="1">
      <alignment horizontal="center" vertical="center"/>
      <protection locked="0"/>
    </xf>
    <xf numFmtId="9" fontId="49" fillId="6" borderId="58" xfId="0" applyNumberFormat="1" applyFont="1" applyFill="1" applyBorder="1" applyAlignment="1" applyProtection="1">
      <alignment horizontal="center" vertical="center" wrapText="1"/>
      <protection locked="0"/>
    </xf>
    <xf numFmtId="0" fontId="49" fillId="6" borderId="58" xfId="0" applyFont="1" applyFill="1" applyBorder="1" applyAlignment="1" applyProtection="1">
      <alignment horizontal="center"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0" fontId="54" fillId="6" borderId="0" xfId="0" applyFont="1" applyFill="1" applyAlignment="1" applyProtection="1">
      <alignment horizontal="center" vertical="center"/>
      <protection locked="0"/>
    </xf>
    <xf numFmtId="0" fontId="54" fillId="6" borderId="58" xfId="0" applyFont="1" applyFill="1" applyBorder="1" applyAlignment="1" applyProtection="1">
      <alignment horizontal="center" vertical="center"/>
      <protection locked="0"/>
    </xf>
    <xf numFmtId="9" fontId="54" fillId="6" borderId="0" xfId="0" applyNumberFormat="1" applyFont="1" applyFill="1" applyBorder="1" applyAlignment="1" applyProtection="1">
      <alignment horizontal="center" vertical="center"/>
      <protection locked="0"/>
    </xf>
    <xf numFmtId="0" fontId="49" fillId="6" borderId="58" xfId="0" applyFont="1" applyFill="1" applyBorder="1" applyAlignment="1" applyProtection="1">
      <alignment vertical="center" wrapText="1"/>
      <protection locked="0"/>
    </xf>
    <xf numFmtId="0" fontId="56" fillId="6" borderId="58" xfId="0" applyFont="1" applyFill="1" applyBorder="1" applyAlignment="1" applyProtection="1">
      <alignment horizontal="center" vertical="center" wrapText="1"/>
      <protection locked="0"/>
    </xf>
    <xf numFmtId="9" fontId="56" fillId="6" borderId="0"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protection locked="0"/>
    </xf>
    <xf numFmtId="49" fontId="49" fillId="6" borderId="0" xfId="0" applyNumberFormat="1" applyFont="1" applyFill="1" applyAlignment="1" applyProtection="1">
      <alignment horizontal="center" vertical="center"/>
      <protection locked="0"/>
    </xf>
    <xf numFmtId="0" fontId="62" fillId="6" borderId="5" xfId="1" applyFont="1" applyFill="1" applyBorder="1" applyAlignment="1" applyProtection="1">
      <alignment horizontal="right" vertical="center"/>
    </xf>
    <xf numFmtId="0" fontId="51" fillId="6" borderId="33" xfId="0" applyFont="1" applyFill="1" applyBorder="1" applyAlignment="1" applyProtection="1">
      <alignment horizontal="center" vertical="center"/>
    </xf>
    <xf numFmtId="181" fontId="49" fillId="6" borderId="49" xfId="0" applyNumberFormat="1" applyFont="1" applyFill="1" applyBorder="1" applyProtection="1">
      <alignment vertical="center"/>
    </xf>
    <xf numFmtId="0" fontId="49" fillId="6" borderId="24" xfId="1" applyNumberFormat="1" applyFont="1" applyFill="1" applyBorder="1" applyAlignment="1" applyProtection="1">
      <alignment horizontal="center" vertical="center"/>
    </xf>
    <xf numFmtId="0" fontId="66" fillId="6" borderId="78" xfId="0" applyFont="1" applyFill="1" applyBorder="1" applyAlignment="1" applyProtection="1">
      <alignment horizontal="center" vertical="center" wrapText="1"/>
    </xf>
    <xf numFmtId="0" fontId="110" fillId="0" borderId="0" xfId="9" applyFont="1">
      <alignment vertical="center"/>
    </xf>
    <xf numFmtId="0" fontId="110" fillId="0" borderId="0" xfId="9" applyFont="1" applyAlignment="1">
      <alignment horizontal="center" vertical="center"/>
    </xf>
    <xf numFmtId="0" fontId="110" fillId="0" borderId="120" xfId="9" applyFont="1" applyBorder="1">
      <alignment vertical="center"/>
    </xf>
    <xf numFmtId="0" fontId="104" fillId="6" borderId="120" xfId="10" applyFont="1" applyFill="1" applyBorder="1" applyAlignment="1" applyProtection="1">
      <alignment horizontal="center" vertical="center"/>
    </xf>
    <xf numFmtId="0" fontId="24" fillId="6" borderId="120" xfId="10" applyFont="1" applyFill="1" applyBorder="1" applyAlignment="1" applyProtection="1">
      <alignment horizontal="center" vertical="center"/>
    </xf>
    <xf numFmtId="0" fontId="110" fillId="0" borderId="121" xfId="9" applyFont="1" applyBorder="1" applyAlignment="1">
      <alignment vertical="center"/>
    </xf>
    <xf numFmtId="0" fontId="110" fillId="0" borderId="120" xfId="9" applyFont="1" applyBorder="1" applyAlignment="1">
      <alignment vertical="center"/>
    </xf>
    <xf numFmtId="0" fontId="110" fillId="0" borderId="120" xfId="9" applyFont="1" applyBorder="1" applyAlignment="1">
      <alignment horizontal="center" vertical="center"/>
    </xf>
    <xf numFmtId="0" fontId="110" fillId="0" borderId="0" xfId="9" applyFont="1" applyFill="1">
      <alignment vertical="center"/>
    </xf>
    <xf numFmtId="0" fontId="106" fillId="0" borderId="0" xfId="10" applyFont="1" applyFill="1" applyAlignment="1" applyProtection="1">
      <alignment horizontal="center" vertical="center"/>
    </xf>
    <xf numFmtId="0" fontId="24" fillId="0" borderId="0" xfId="10" applyFont="1" applyFill="1" applyAlignment="1" applyProtection="1">
      <alignment horizontal="center" vertical="center"/>
    </xf>
    <xf numFmtId="0" fontId="110" fillId="0" borderId="122" xfId="9" applyFont="1" applyFill="1" applyBorder="1" applyAlignment="1">
      <alignment horizontal="center" vertical="center"/>
    </xf>
    <xf numFmtId="0" fontId="110" fillId="0" borderId="0" xfId="9" applyFont="1" applyFill="1" applyBorder="1" applyAlignment="1">
      <alignment horizontal="center" vertical="center"/>
    </xf>
    <xf numFmtId="0" fontId="110" fillId="0" borderId="0" xfId="9" applyFont="1" applyFill="1" applyAlignment="1">
      <alignment horizontal="center" vertical="center"/>
    </xf>
    <xf numFmtId="0" fontId="107" fillId="0" borderId="0" xfId="9" applyFont="1" applyAlignment="1">
      <alignment horizontal="center" vertical="center"/>
    </xf>
    <xf numFmtId="10" fontId="107" fillId="0" borderId="0" xfId="9" applyNumberFormat="1" applyFont="1" applyAlignment="1">
      <alignment horizontal="center" vertical="center"/>
    </xf>
    <xf numFmtId="49" fontId="58" fillId="6" borderId="1" xfId="9" applyNumberFormat="1" applyFont="1" applyFill="1" applyBorder="1" applyAlignment="1" applyProtection="1">
      <alignment horizontal="center" vertical="center" wrapText="1"/>
    </xf>
    <xf numFmtId="0" fontId="154" fillId="12" borderId="124" xfId="9" applyFont="1" applyFill="1" applyBorder="1" applyAlignment="1" applyProtection="1">
      <alignment horizontal="center" vertical="center" wrapText="1"/>
    </xf>
    <xf numFmtId="0" fontId="154" fillId="12" borderId="125" xfId="9" applyFont="1" applyFill="1" applyBorder="1" applyAlignment="1" applyProtection="1">
      <alignment horizontal="center" vertical="center" wrapText="1"/>
    </xf>
    <xf numFmtId="0" fontId="154" fillId="13" borderId="127" xfId="9" applyFont="1" applyFill="1" applyBorder="1" applyAlignment="1" applyProtection="1">
      <alignment horizontal="center" vertical="center" wrapText="1"/>
    </xf>
    <xf numFmtId="0" fontId="154" fillId="12" borderId="127" xfId="9" applyFont="1" applyFill="1" applyBorder="1" applyAlignment="1" applyProtection="1">
      <alignment horizontal="center" vertical="center" wrapText="1"/>
    </xf>
    <xf numFmtId="0" fontId="155" fillId="14" borderId="0" xfId="9" applyFont="1" applyFill="1">
      <alignment vertical="center"/>
    </xf>
    <xf numFmtId="10" fontId="155" fillId="14" borderId="129" xfId="9" applyNumberFormat="1" applyFont="1" applyFill="1" applyBorder="1" applyAlignment="1">
      <alignment vertical="center"/>
    </xf>
    <xf numFmtId="10" fontId="107" fillId="14" borderId="0" xfId="9" applyNumberFormat="1" applyFont="1" applyFill="1" applyAlignment="1">
      <alignment horizontal="center" vertical="center"/>
    </xf>
    <xf numFmtId="186" fontId="110" fillId="12" borderId="124" xfId="9" applyNumberFormat="1" applyFont="1" applyFill="1" applyBorder="1" applyAlignment="1">
      <alignment horizontal="center" vertical="center" wrapText="1"/>
    </xf>
    <xf numFmtId="186" fontId="110" fillId="12" borderId="130" xfId="9" applyNumberFormat="1" applyFont="1" applyFill="1" applyBorder="1" applyAlignment="1">
      <alignment horizontal="center" vertical="center" wrapText="1"/>
    </xf>
    <xf numFmtId="0" fontId="107" fillId="0" borderId="0" xfId="9" applyFont="1">
      <alignment vertical="center"/>
    </xf>
    <xf numFmtId="10" fontId="107" fillId="0" borderId="122" xfId="9" applyNumberFormat="1" applyFont="1" applyBorder="1">
      <alignment vertical="center"/>
    </xf>
    <xf numFmtId="10" fontId="107" fillId="0" borderId="0" xfId="9" applyNumberFormat="1" applyFont="1">
      <alignment vertical="center"/>
    </xf>
    <xf numFmtId="177" fontId="107" fillId="0" borderId="0" xfId="9" applyNumberFormat="1" applyFont="1">
      <alignment vertical="center"/>
    </xf>
    <xf numFmtId="181" fontId="107" fillId="0" borderId="122" xfId="9" applyNumberFormat="1" applyFont="1" applyBorder="1">
      <alignment vertical="center"/>
    </xf>
    <xf numFmtId="181" fontId="107" fillId="0" borderId="0" xfId="9" applyNumberFormat="1" applyFont="1">
      <alignment vertical="center"/>
    </xf>
    <xf numFmtId="186" fontId="107" fillId="0" borderId="0" xfId="9" applyNumberFormat="1" applyFont="1" applyAlignment="1">
      <alignment horizontal="center" vertical="center"/>
    </xf>
    <xf numFmtId="0" fontId="154" fillId="13" borderId="131" xfId="9" applyFont="1" applyFill="1" applyBorder="1" applyAlignment="1" applyProtection="1">
      <alignment horizontal="center" vertical="center" wrapText="1"/>
    </xf>
    <xf numFmtId="0" fontId="154" fillId="12" borderId="131" xfId="9" applyFont="1" applyFill="1" applyBorder="1" applyAlignment="1" applyProtection="1">
      <alignment horizontal="center" vertical="center" wrapText="1"/>
    </xf>
    <xf numFmtId="10" fontId="107" fillId="0" borderId="129" xfId="9" applyNumberFormat="1" applyFont="1" applyBorder="1">
      <alignment vertical="center"/>
    </xf>
    <xf numFmtId="10" fontId="107" fillId="0" borderId="60" xfId="9" applyNumberFormat="1" applyFont="1" applyBorder="1">
      <alignment vertical="center"/>
    </xf>
    <xf numFmtId="0" fontId="154" fillId="12" borderId="133" xfId="9" applyFont="1" applyFill="1" applyBorder="1" applyAlignment="1" applyProtection="1">
      <alignment horizontal="center" vertical="center" wrapText="1"/>
    </xf>
    <xf numFmtId="0" fontId="154" fillId="12" borderId="134" xfId="9" applyFont="1" applyFill="1" applyBorder="1" applyAlignment="1" applyProtection="1">
      <alignment horizontal="center" vertical="center" wrapText="1"/>
    </xf>
    <xf numFmtId="10" fontId="107" fillId="0" borderId="135" xfId="9" applyNumberFormat="1" applyFont="1" applyBorder="1">
      <alignment vertical="center"/>
    </xf>
    <xf numFmtId="10" fontId="107" fillId="0" borderId="36" xfId="9" applyNumberFormat="1" applyFont="1" applyBorder="1">
      <alignment vertical="center"/>
    </xf>
    <xf numFmtId="0" fontId="107" fillId="0" borderId="122" xfId="9" applyFont="1" applyBorder="1">
      <alignment vertical="center"/>
    </xf>
    <xf numFmtId="0" fontId="154" fillId="13" borderId="124" xfId="9" applyFont="1" applyFill="1" applyBorder="1" applyAlignment="1" applyProtection="1">
      <alignment horizontal="center" vertical="center" wrapText="1"/>
    </xf>
    <xf numFmtId="0" fontId="154" fillId="13" borderId="125" xfId="9" applyFont="1" applyFill="1" applyBorder="1" applyAlignment="1" applyProtection="1">
      <alignment horizontal="center" vertical="center" wrapText="1"/>
    </xf>
    <xf numFmtId="10" fontId="107" fillId="0" borderId="0" xfId="9" applyNumberFormat="1" applyFont="1" applyBorder="1">
      <alignment vertical="center"/>
    </xf>
    <xf numFmtId="186" fontId="110" fillId="12" borderId="127" xfId="9" applyNumberFormat="1" applyFont="1" applyFill="1" applyBorder="1" applyAlignment="1">
      <alignment horizontal="center" vertical="center" wrapText="1"/>
    </xf>
    <xf numFmtId="186" fontId="110" fillId="12" borderId="136" xfId="9" applyNumberFormat="1" applyFont="1" applyFill="1" applyBorder="1" applyAlignment="1">
      <alignment horizontal="center" vertical="center" wrapText="1"/>
    </xf>
    <xf numFmtId="0" fontId="107" fillId="13" borderId="124" xfId="9" applyFont="1" applyFill="1" applyBorder="1" applyAlignment="1" applyProtection="1">
      <alignment horizontal="center" vertical="center" wrapText="1"/>
    </xf>
    <xf numFmtId="0" fontId="107" fillId="13" borderId="125" xfId="9" applyFont="1" applyFill="1" applyBorder="1" applyAlignment="1" applyProtection="1">
      <alignment horizontal="center" vertical="center" wrapText="1"/>
    </xf>
    <xf numFmtId="49" fontId="58" fillId="5" borderId="1" xfId="9" applyNumberFormat="1" applyFont="1" applyFill="1" applyBorder="1" applyAlignment="1" applyProtection="1">
      <alignment horizontal="center" vertical="center" wrapText="1"/>
    </xf>
    <xf numFmtId="186" fontId="107" fillId="5" borderId="0" xfId="9" applyNumberFormat="1" applyFont="1" applyFill="1" applyAlignment="1">
      <alignment horizontal="center" vertical="center"/>
    </xf>
    <xf numFmtId="0" fontId="107" fillId="5" borderId="127" xfId="9" applyFont="1" applyFill="1" applyBorder="1" applyAlignment="1" applyProtection="1">
      <alignment horizontal="center" vertical="center" wrapText="1"/>
    </xf>
    <xf numFmtId="0" fontId="107" fillId="5" borderId="131" xfId="9" applyFont="1" applyFill="1" applyBorder="1" applyAlignment="1" applyProtection="1">
      <alignment horizontal="center" vertical="center" wrapText="1"/>
    </xf>
    <xf numFmtId="0" fontId="107" fillId="5" borderId="0" xfId="9" applyFont="1" applyFill="1">
      <alignment vertical="center"/>
    </xf>
    <xf numFmtId="10" fontId="107" fillId="5" borderId="122" xfId="9" applyNumberFormat="1" applyFont="1" applyFill="1" applyBorder="1">
      <alignment vertical="center"/>
    </xf>
    <xf numFmtId="10" fontId="107" fillId="5" borderId="0" xfId="9" applyNumberFormat="1" applyFont="1" applyFill="1">
      <alignment vertical="center"/>
    </xf>
    <xf numFmtId="177" fontId="107" fillId="5" borderId="0" xfId="9" applyNumberFormat="1" applyFont="1" applyFill="1">
      <alignment vertical="center"/>
    </xf>
    <xf numFmtId="10" fontId="107" fillId="5" borderId="129" xfId="9" applyNumberFormat="1" applyFont="1" applyFill="1" applyBorder="1">
      <alignment vertical="center"/>
    </xf>
    <xf numFmtId="10" fontId="107" fillId="5" borderId="60" xfId="9" applyNumberFormat="1" applyFont="1" applyFill="1" applyBorder="1">
      <alignment vertical="center"/>
    </xf>
    <xf numFmtId="0" fontId="132" fillId="5" borderId="0" xfId="9" applyFont="1" applyFill="1">
      <alignment vertical="center"/>
    </xf>
    <xf numFmtId="0" fontId="107" fillId="5" borderId="0" xfId="9" applyNumberFormat="1" applyFont="1" applyFill="1" applyAlignment="1">
      <alignment horizontal="center" vertical="center"/>
    </xf>
    <xf numFmtId="0" fontId="107" fillId="12" borderId="133" xfId="9" applyFont="1" applyFill="1" applyBorder="1" applyAlignment="1" applyProtection="1">
      <alignment horizontal="center" vertical="center" wrapText="1"/>
    </xf>
    <xf numFmtId="0" fontId="107" fillId="12" borderId="134" xfId="9" applyFont="1" applyFill="1" applyBorder="1" applyAlignment="1" applyProtection="1">
      <alignment horizontal="center" vertical="center" wrapText="1"/>
    </xf>
    <xf numFmtId="14" fontId="107" fillId="0" borderId="0" xfId="9" applyNumberFormat="1" applyFont="1">
      <alignment vertical="center"/>
    </xf>
    <xf numFmtId="0" fontId="132" fillId="0" borderId="0" xfId="9" applyFont="1">
      <alignment vertical="center"/>
    </xf>
    <xf numFmtId="0" fontId="107" fillId="0" borderId="0" xfId="9" applyNumberFormat="1" applyFont="1" applyAlignment="1">
      <alignment horizontal="center" vertical="center"/>
    </xf>
    <xf numFmtId="186" fontId="110" fillId="12" borderId="133" xfId="9" applyNumberFormat="1" applyFont="1" applyFill="1" applyBorder="1" applyAlignment="1">
      <alignment horizontal="center" vertical="center" wrapText="1"/>
    </xf>
    <xf numFmtId="186" fontId="110" fillId="12" borderId="137" xfId="9" applyNumberFormat="1" applyFont="1" applyFill="1" applyBorder="1" applyAlignment="1">
      <alignment horizontal="center" vertical="center" wrapText="1"/>
    </xf>
    <xf numFmtId="186" fontId="107" fillId="14" borderId="0" xfId="9" applyNumberFormat="1" applyFont="1" applyFill="1" applyAlignment="1">
      <alignment horizontal="center" vertical="center"/>
    </xf>
    <xf numFmtId="186" fontId="107" fillId="0" borderId="47" xfId="9" applyNumberFormat="1" applyFont="1" applyBorder="1" applyAlignment="1">
      <alignment horizontal="center" vertical="center"/>
    </xf>
    <xf numFmtId="0" fontId="154" fillId="13" borderId="138" xfId="9" applyFont="1" applyFill="1" applyBorder="1" applyAlignment="1" applyProtection="1">
      <alignment horizontal="center" vertical="center" wrapText="1"/>
    </xf>
    <xf numFmtId="0" fontId="154" fillId="13" borderId="139" xfId="9" applyFont="1" applyFill="1" applyBorder="1" applyAlignment="1" applyProtection="1">
      <alignment horizontal="center" vertical="center" wrapText="1"/>
    </xf>
    <xf numFmtId="0" fontId="107" fillId="0" borderId="47" xfId="9" applyFont="1" applyBorder="1">
      <alignment vertical="center"/>
    </xf>
    <xf numFmtId="10" fontId="107" fillId="0" borderId="140" xfId="9" applyNumberFormat="1" applyFont="1" applyBorder="1">
      <alignment vertical="center"/>
    </xf>
    <xf numFmtId="10" fontId="107" fillId="0" borderId="47" xfId="9" applyNumberFormat="1" applyFont="1" applyBorder="1">
      <alignment vertical="center"/>
    </xf>
    <xf numFmtId="177" fontId="107" fillId="0" borderId="47" xfId="9" applyNumberFormat="1" applyFont="1" applyBorder="1">
      <alignment vertical="center"/>
    </xf>
    <xf numFmtId="10" fontId="107" fillId="0" borderId="47" xfId="9" applyNumberFormat="1" applyFont="1" applyBorder="1" applyAlignment="1">
      <alignment horizontal="center" vertical="center"/>
    </xf>
    <xf numFmtId="0" fontId="154" fillId="12" borderId="141" xfId="9" applyFont="1" applyFill="1" applyBorder="1" applyAlignment="1" applyProtection="1">
      <alignment horizontal="center" vertical="center" wrapText="1"/>
    </xf>
    <xf numFmtId="0" fontId="154" fillId="12" borderId="142" xfId="9" applyFont="1" applyFill="1" applyBorder="1" applyAlignment="1" applyProtection="1">
      <alignment horizontal="center" vertical="center" wrapText="1"/>
    </xf>
    <xf numFmtId="10" fontId="107" fillId="15" borderId="122" xfId="9" applyNumberFormat="1" applyFont="1" applyFill="1" applyBorder="1">
      <alignment vertical="center"/>
    </xf>
    <xf numFmtId="10" fontId="107" fillId="15" borderId="0" xfId="9" applyNumberFormat="1" applyFont="1" applyFill="1">
      <alignment vertical="center"/>
    </xf>
    <xf numFmtId="178" fontId="107" fillId="0" borderId="0" xfId="9" applyNumberFormat="1" applyFont="1" applyAlignment="1">
      <alignment horizontal="center" vertical="center"/>
    </xf>
    <xf numFmtId="10" fontId="107" fillId="15" borderId="129" xfId="9" applyNumberFormat="1" applyFont="1" applyFill="1" applyBorder="1">
      <alignment vertical="center"/>
    </xf>
    <xf numFmtId="10" fontId="107" fillId="15" borderId="60" xfId="9" applyNumberFormat="1" applyFont="1" applyFill="1" applyBorder="1">
      <alignment vertical="center"/>
    </xf>
    <xf numFmtId="10" fontId="107" fillId="15" borderId="140" xfId="9" applyNumberFormat="1" applyFont="1" applyFill="1" applyBorder="1">
      <alignment vertical="center"/>
    </xf>
    <xf numFmtId="10" fontId="107" fillId="15" borderId="47" xfId="9" applyNumberFormat="1" applyFont="1" applyFill="1" applyBorder="1">
      <alignment vertical="center"/>
    </xf>
    <xf numFmtId="178" fontId="107" fillId="0" borderId="47" xfId="9" applyNumberFormat="1" applyFont="1" applyBorder="1" applyAlignment="1">
      <alignment horizontal="center" vertical="center"/>
    </xf>
    <xf numFmtId="0" fontId="110" fillId="13" borderId="143" xfId="9" applyFont="1" applyFill="1" applyBorder="1" applyAlignment="1">
      <alignment horizontal="center" vertical="center" wrapText="1"/>
    </xf>
    <xf numFmtId="0" fontId="110" fillId="13" borderId="144" xfId="9" applyFont="1" applyFill="1" applyBorder="1" applyAlignment="1">
      <alignment horizontal="center" vertical="center" wrapText="1"/>
    </xf>
    <xf numFmtId="180" fontId="107" fillId="0" borderId="0" xfId="9" applyNumberFormat="1" applyFont="1" applyAlignment="1">
      <alignment horizontal="center" vertical="center"/>
    </xf>
    <xf numFmtId="180" fontId="107" fillId="0" borderId="122" xfId="9" applyNumberFormat="1" applyFont="1" applyBorder="1" applyAlignment="1">
      <alignment horizontal="center" vertical="center"/>
    </xf>
    <xf numFmtId="177" fontId="107" fillId="15" borderId="0" xfId="9" applyNumberFormat="1" applyFont="1" applyFill="1" applyAlignment="1">
      <alignment horizontal="center" vertical="center"/>
    </xf>
    <xf numFmtId="0" fontId="154" fillId="13" borderId="133" xfId="9" applyFont="1" applyFill="1" applyBorder="1" applyAlignment="1" applyProtection="1">
      <alignment horizontal="center" vertical="center" wrapText="1"/>
    </xf>
    <xf numFmtId="0" fontId="110" fillId="12" borderId="133" xfId="9" applyFont="1" applyFill="1" applyBorder="1" applyAlignment="1">
      <alignment horizontal="center" vertical="center" wrapText="1"/>
    </xf>
    <xf numFmtId="0" fontId="110" fillId="12" borderId="137" xfId="9" applyFont="1" applyFill="1" applyBorder="1" applyAlignment="1">
      <alignment horizontal="center" vertical="center" wrapText="1"/>
    </xf>
    <xf numFmtId="177" fontId="107" fillId="5" borderId="0" xfId="9" applyNumberFormat="1" applyFont="1" applyFill="1" applyAlignment="1">
      <alignment horizontal="center" vertical="center"/>
    </xf>
    <xf numFmtId="0" fontId="154" fillId="5" borderId="127" xfId="9" applyFont="1" applyFill="1" applyBorder="1" applyAlignment="1" applyProtection="1">
      <alignment horizontal="center" vertical="center" wrapText="1"/>
    </xf>
    <xf numFmtId="180" fontId="107" fillId="5" borderId="0" xfId="9" applyNumberFormat="1" applyFont="1" applyFill="1" applyAlignment="1">
      <alignment horizontal="center" vertical="center"/>
    </xf>
    <xf numFmtId="0" fontId="107" fillId="5" borderId="122" xfId="9" applyFont="1" applyFill="1" applyBorder="1">
      <alignment vertical="center"/>
    </xf>
    <xf numFmtId="178" fontId="107" fillId="5" borderId="0" xfId="9" applyNumberFormat="1" applyFont="1" applyFill="1" applyAlignment="1">
      <alignment horizontal="center" vertical="center"/>
    </xf>
    <xf numFmtId="0" fontId="110" fillId="12" borderId="145" xfId="9" applyFont="1" applyFill="1" applyBorder="1" applyAlignment="1">
      <alignment horizontal="center" vertical="center" wrapText="1"/>
    </xf>
    <xf numFmtId="0" fontId="110" fillId="12" borderId="146" xfId="9" applyFont="1" applyFill="1" applyBorder="1" applyAlignment="1">
      <alignment horizontal="center" vertical="center" wrapText="1"/>
    </xf>
    <xf numFmtId="0" fontId="110" fillId="12" borderId="147" xfId="9" applyFont="1" applyFill="1" applyBorder="1" applyAlignment="1">
      <alignment horizontal="center" vertical="center" wrapText="1"/>
    </xf>
    <xf numFmtId="0" fontId="140" fillId="0" borderId="0" xfId="9" applyFont="1">
      <alignment vertical="center"/>
    </xf>
    <xf numFmtId="0" fontId="122" fillId="0" borderId="0" xfId="9" applyFont="1">
      <alignment vertical="center"/>
    </xf>
    <xf numFmtId="0" fontId="122" fillId="0" borderId="122" xfId="9" applyFont="1" applyBorder="1">
      <alignment vertical="center"/>
    </xf>
    <xf numFmtId="180" fontId="122" fillId="0" borderId="0" xfId="9" applyNumberFormat="1" applyFont="1" applyAlignment="1">
      <alignment horizontal="center" vertical="center"/>
    </xf>
    <xf numFmtId="180" fontId="122" fillId="0" borderId="122" xfId="9" applyNumberFormat="1" applyFont="1" applyBorder="1" applyAlignment="1">
      <alignment horizontal="center" vertical="center"/>
    </xf>
    <xf numFmtId="0" fontId="154" fillId="13" borderId="148" xfId="9" applyFont="1" applyFill="1" applyBorder="1" applyAlignment="1">
      <alignment horizontal="center" vertical="center" wrapText="1"/>
    </xf>
    <xf numFmtId="0" fontId="154" fillId="13" borderId="124" xfId="9" applyFont="1" applyFill="1" applyBorder="1" applyAlignment="1">
      <alignment horizontal="center" vertical="center" wrapText="1"/>
    </xf>
    <xf numFmtId="0" fontId="154" fillId="12" borderId="149" xfId="9" applyFont="1" applyFill="1" applyBorder="1" applyAlignment="1">
      <alignment horizontal="center" vertical="center" wrapText="1"/>
    </xf>
    <xf numFmtId="0" fontId="154" fillId="12" borderId="127" xfId="9" applyFont="1" applyFill="1" applyBorder="1" applyAlignment="1">
      <alignment horizontal="center" vertical="center" wrapText="1"/>
    </xf>
    <xf numFmtId="0" fontId="154" fillId="13" borderId="149" xfId="9" applyFont="1" applyFill="1" applyBorder="1" applyAlignment="1">
      <alignment horizontal="center" vertical="center" wrapText="1"/>
    </xf>
    <xf numFmtId="0" fontId="154" fillId="13" borderId="127" xfId="9" applyFont="1" applyFill="1" applyBorder="1" applyAlignment="1">
      <alignment horizontal="center" vertical="center" wrapText="1"/>
    </xf>
    <xf numFmtId="0" fontId="154" fillId="12" borderId="150" xfId="9" applyFont="1" applyFill="1" applyBorder="1" applyAlignment="1">
      <alignment horizontal="center" vertical="center" wrapText="1"/>
    </xf>
    <xf numFmtId="0" fontId="154" fillId="12" borderId="133" xfId="9" applyFont="1" applyFill="1" applyBorder="1" applyAlignment="1">
      <alignment horizontal="center" vertical="center" wrapText="1"/>
    </xf>
    <xf numFmtId="10" fontId="56" fillId="0" borderId="3" xfId="8" applyNumberFormat="1" applyFont="1" applyFill="1" applyBorder="1" applyAlignment="1" applyProtection="1">
      <alignment horizontal="center" vertical="center" wrapText="1"/>
      <protection locked="0"/>
    </xf>
    <xf numFmtId="10" fontId="58" fillId="6" borderId="24" xfId="8" applyNumberFormat="1" applyFont="1" applyFill="1" applyBorder="1" applyAlignment="1" applyProtection="1">
      <alignment horizontal="center" vertical="center" wrapText="1"/>
    </xf>
    <xf numFmtId="10" fontId="56" fillId="0" borderId="66" xfId="8" applyNumberFormat="1" applyFont="1" applyFill="1" applyBorder="1" applyAlignment="1" applyProtection="1">
      <alignment horizontal="center" vertical="center" wrapText="1"/>
      <protection locked="0"/>
    </xf>
    <xf numFmtId="10" fontId="58" fillId="6" borderId="49" xfId="8" applyNumberFormat="1" applyFont="1" applyFill="1" applyBorder="1" applyAlignment="1" applyProtection="1">
      <alignment horizontal="center" vertical="center" wrapText="1"/>
    </xf>
    <xf numFmtId="0" fontId="56" fillId="6" borderId="47" xfId="8" applyFont="1" applyFill="1" applyBorder="1" applyAlignment="1" applyProtection="1">
      <alignment vertical="center" wrapText="1"/>
      <protection locked="0"/>
    </xf>
    <xf numFmtId="0" fontId="49" fillId="6" borderId="22" xfId="0" applyNumberFormat="1" applyFont="1" applyFill="1" applyBorder="1" applyAlignment="1" applyProtection="1">
      <alignment horizontal="center" vertical="center" wrapText="1"/>
      <protection locked="0"/>
    </xf>
    <xf numFmtId="0" fontId="49" fillId="0" borderId="5" xfId="0" applyNumberFormat="1" applyFont="1" applyFill="1" applyBorder="1" applyAlignment="1" applyProtection="1">
      <alignment horizontal="center" vertical="center" wrapText="1"/>
      <protection locked="0"/>
    </xf>
    <xf numFmtId="0" fontId="49" fillId="0" borderId="48" xfId="0" applyNumberFormat="1" applyFont="1" applyFill="1" applyBorder="1" applyAlignment="1" applyProtection="1">
      <alignment horizontal="center" vertical="center" wrapText="1"/>
      <protection locked="0"/>
    </xf>
    <xf numFmtId="0" fontId="49" fillId="0" borderId="24" xfId="0" applyNumberFormat="1" applyFont="1" applyFill="1" applyBorder="1" applyAlignment="1" applyProtection="1">
      <alignment horizontal="center" vertical="center" wrapText="1"/>
      <protection locked="0"/>
    </xf>
    <xf numFmtId="49" fontId="49" fillId="0" borderId="18" xfId="0" applyNumberFormat="1" applyFont="1" applyFill="1" applyBorder="1" applyAlignment="1" applyProtection="1">
      <alignment horizontal="center" vertical="center"/>
      <protection locked="0"/>
    </xf>
    <xf numFmtId="49" fontId="49" fillId="0" borderId="58" xfId="0" applyNumberFormat="1" applyFont="1" applyFill="1" applyBorder="1" applyAlignment="1" applyProtection="1">
      <alignment horizontal="center" vertical="center"/>
      <protection locked="0"/>
    </xf>
    <xf numFmtId="0" fontId="49" fillId="6" borderId="30"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protection locked="0"/>
    </xf>
    <xf numFmtId="190" fontId="49" fillId="6" borderId="30" xfId="0" applyNumberFormat="1" applyFont="1" applyFill="1" applyBorder="1" applyAlignment="1" applyProtection="1">
      <alignment horizontal="center" vertical="center" wrapText="1"/>
    </xf>
    <xf numFmtId="190" fontId="49" fillId="6" borderId="9" xfId="0" applyNumberFormat="1" applyFont="1" applyFill="1" applyBorder="1" applyAlignment="1" applyProtection="1">
      <alignment horizontal="center" vertical="center" wrapText="1"/>
    </xf>
    <xf numFmtId="190" fontId="49" fillId="6" borderId="39" xfId="0" applyNumberFormat="1" applyFont="1" applyFill="1" applyBorder="1" applyAlignment="1" applyProtection="1">
      <alignment horizontal="center" vertical="center" wrapText="1"/>
    </xf>
    <xf numFmtId="0" fontId="52" fillId="0" borderId="54" xfId="0" applyFont="1" applyFill="1" applyBorder="1" applyAlignment="1" applyProtection="1">
      <alignment vertical="center"/>
      <protection locked="0"/>
    </xf>
    <xf numFmtId="0" fontId="52" fillId="6" borderId="36" xfId="0" applyFont="1" applyFill="1" applyBorder="1" applyAlignment="1" applyProtection="1">
      <alignment vertical="center"/>
    </xf>
    <xf numFmtId="0" fontId="52" fillId="6" borderId="60" xfId="0" applyFont="1" applyFill="1" applyBorder="1" applyAlignment="1" applyProtection="1">
      <alignment horizontal="left" vertical="center"/>
    </xf>
    <xf numFmtId="0" fontId="50" fillId="5" borderId="3" xfId="1" applyFont="1" applyFill="1" applyBorder="1" applyAlignment="1" applyProtection="1">
      <alignment vertical="center"/>
    </xf>
    <xf numFmtId="0" fontId="52" fillId="6" borderId="0" xfId="0" applyFont="1" applyFill="1" applyAlignment="1" applyProtection="1">
      <alignment vertical="center"/>
      <protection locked="0"/>
    </xf>
    <xf numFmtId="0" fontId="50" fillId="5" borderId="5" xfId="1" applyFont="1" applyFill="1" applyBorder="1" applyAlignment="1" applyProtection="1">
      <alignment horizontal="left" vertical="center"/>
      <protection locked="0"/>
    </xf>
    <xf numFmtId="0" fontId="67" fillId="0" borderId="32" xfId="0" applyFont="1" applyFill="1" applyBorder="1" applyAlignment="1" applyProtection="1">
      <alignment vertical="center"/>
      <protection locked="0"/>
    </xf>
    <xf numFmtId="0" fontId="158" fillId="0" borderId="0" xfId="11" applyFont="1" applyBorder="1" applyAlignment="1" applyProtection="1">
      <alignment vertical="center" wrapText="1"/>
    </xf>
    <xf numFmtId="0" fontId="134" fillId="0" borderId="78" xfId="0" applyFont="1" applyBorder="1" applyAlignment="1" applyProtection="1">
      <alignment horizontal="left" vertical="center"/>
    </xf>
    <xf numFmtId="0" fontId="158" fillId="0" borderId="78" xfId="11" applyFont="1" applyBorder="1" applyAlignment="1" applyProtection="1">
      <alignment horizontal="left" vertical="center" wrapText="1"/>
    </xf>
    <xf numFmtId="0" fontId="158" fillId="0" borderId="87" xfId="0" applyFont="1" applyBorder="1" applyProtection="1">
      <alignment vertical="center"/>
    </xf>
    <xf numFmtId="0" fontId="158" fillId="0" borderId="44" xfId="11" applyFont="1" applyBorder="1" applyAlignment="1" applyProtection="1">
      <alignment vertical="center" wrapText="1"/>
    </xf>
    <xf numFmtId="0" fontId="158" fillId="0" borderId="44" xfId="0" applyFont="1" applyBorder="1" applyAlignment="1" applyProtection="1">
      <alignment horizontal="left" vertical="center"/>
    </xf>
    <xf numFmtId="0" fontId="158" fillId="0" borderId="83" xfId="0" applyFont="1" applyBorder="1" applyProtection="1">
      <alignment vertical="center"/>
    </xf>
    <xf numFmtId="0" fontId="158" fillId="0" borderId="1" xfId="11" applyFont="1" applyBorder="1" applyAlignment="1" applyProtection="1">
      <alignment vertical="center" wrapText="1"/>
    </xf>
    <xf numFmtId="0" fontId="158" fillId="0" borderId="1" xfId="0" applyFont="1" applyBorder="1" applyAlignment="1" applyProtection="1">
      <alignment horizontal="left" vertical="center"/>
    </xf>
    <xf numFmtId="0" fontId="158" fillId="0" borderId="0" xfId="0" applyFont="1" applyBorder="1" applyProtection="1">
      <alignment vertical="center"/>
    </xf>
    <xf numFmtId="0" fontId="158" fillId="0" borderId="78" xfId="11" applyFont="1" applyBorder="1" applyAlignment="1" applyProtection="1">
      <alignment vertical="center" wrapText="1"/>
    </xf>
    <xf numFmtId="0" fontId="158" fillId="0" borderId="78" xfId="0" applyFont="1" applyBorder="1" applyAlignment="1" applyProtection="1">
      <alignment horizontal="left" vertical="center"/>
    </xf>
    <xf numFmtId="194" fontId="158" fillId="0" borderId="78" xfId="0" applyNumberFormat="1" applyFont="1" applyBorder="1" applyAlignment="1" applyProtection="1">
      <alignment horizontal="left" vertical="center"/>
    </xf>
    <xf numFmtId="0" fontId="158" fillId="0" borderId="2" xfId="11" applyFont="1" applyBorder="1" applyAlignment="1" applyProtection="1">
      <alignment vertical="center" wrapText="1"/>
    </xf>
    <xf numFmtId="14" fontId="158" fillId="0" borderId="2" xfId="0" applyNumberFormat="1" applyFont="1" applyBorder="1" applyAlignment="1" applyProtection="1">
      <alignment horizontal="left" vertical="center"/>
    </xf>
    <xf numFmtId="0" fontId="158" fillId="0" borderId="0" xfId="0" applyFont="1" applyProtection="1">
      <alignment vertical="center"/>
    </xf>
    <xf numFmtId="14" fontId="158" fillId="0" borderId="1" xfId="0" applyNumberFormat="1" applyFont="1" applyBorder="1" applyAlignment="1" applyProtection="1">
      <alignment horizontal="left" vertical="center"/>
    </xf>
    <xf numFmtId="0" fontId="158" fillId="0" borderId="0" xfId="0" applyFont="1" applyAlignment="1" applyProtection="1">
      <alignment horizontal="left" vertical="center"/>
    </xf>
    <xf numFmtId="0" fontId="63" fillId="6" borderId="1" xfId="8" applyFont="1" applyFill="1" applyBorder="1" applyAlignment="1" applyProtection="1">
      <alignment horizontal="center" vertical="center" wrapText="1"/>
    </xf>
    <xf numFmtId="0" fontId="63" fillId="0" borderId="1" xfId="8" applyFont="1" applyFill="1" applyBorder="1" applyAlignment="1" applyProtection="1">
      <alignment horizontal="center" vertical="center" wrapText="1"/>
      <protection locked="0"/>
    </xf>
    <xf numFmtId="0" fontId="58" fillId="6" borderId="1" xfId="8" applyFont="1" applyFill="1" applyBorder="1" applyAlignment="1" applyProtection="1">
      <alignment horizontal="center" vertical="center" wrapText="1"/>
      <protection locked="0"/>
    </xf>
    <xf numFmtId="179" fontId="58" fillId="6" borderId="1" xfId="8" applyNumberFormat="1" applyFont="1" applyFill="1" applyBorder="1" applyAlignment="1" applyProtection="1">
      <alignment horizontal="center" vertical="center" wrapText="1"/>
      <protection locked="0"/>
    </xf>
    <xf numFmtId="0" fontId="58" fillId="6" borderId="0" xfId="8" applyFont="1" applyFill="1" applyAlignment="1" applyProtection="1">
      <alignment vertical="center" wrapText="1"/>
      <protection locked="0"/>
    </xf>
    <xf numFmtId="0" fontId="58" fillId="6" borderId="0" xfId="8" applyFont="1" applyFill="1" applyAlignment="1" applyProtection="1">
      <alignment horizontal="center" vertical="center" wrapText="1"/>
      <protection locked="0"/>
    </xf>
    <xf numFmtId="0" fontId="58" fillId="7" borderId="0" xfId="8" applyFont="1" applyFill="1" applyAlignment="1" applyProtection="1">
      <alignment horizontal="center" vertical="center" wrapText="1"/>
    </xf>
    <xf numFmtId="0" fontId="58" fillId="0" borderId="0" xfId="8" applyFont="1" applyAlignment="1" applyProtection="1">
      <alignment horizontal="center" vertical="center" wrapText="1"/>
    </xf>
    <xf numFmtId="0" fontId="107" fillId="6" borderId="1" xfId="8" applyFont="1" applyFill="1" applyBorder="1" applyAlignment="1" applyProtection="1">
      <alignment horizontal="center" vertical="center"/>
    </xf>
    <xf numFmtId="186" fontId="107" fillId="6" borderId="1" xfId="8" applyNumberFormat="1" applyFont="1" applyFill="1" applyBorder="1" applyAlignment="1" applyProtection="1">
      <alignment horizontal="center" vertical="center"/>
    </xf>
    <xf numFmtId="177" fontId="122" fillId="6" borderId="1" xfId="8" applyNumberFormat="1" applyFont="1" applyFill="1" applyBorder="1" applyAlignment="1" applyProtection="1">
      <alignment horizontal="center" vertical="center"/>
    </xf>
    <xf numFmtId="187" fontId="122" fillId="6" borderId="1" xfId="8" applyNumberFormat="1" applyFont="1" applyFill="1" applyBorder="1" applyAlignment="1" applyProtection="1">
      <alignment horizontal="center" vertical="center" wrapText="1"/>
    </xf>
    <xf numFmtId="0" fontId="58" fillId="6" borderId="1" xfId="8" applyFont="1" applyFill="1" applyBorder="1" applyAlignment="1" applyProtection="1">
      <alignment horizontal="center" vertical="center" wrapText="1"/>
    </xf>
    <xf numFmtId="0" fontId="58" fillId="6" borderId="1" xfId="8" applyNumberFormat="1" applyFont="1" applyFill="1" applyBorder="1" applyAlignment="1" applyProtection="1">
      <alignment horizontal="center" vertical="center" wrapText="1"/>
    </xf>
    <xf numFmtId="0" fontId="107" fillId="6" borderId="1" xfId="8" applyFont="1" applyFill="1" applyBorder="1" applyAlignment="1" applyProtection="1">
      <alignment vertical="center" wrapText="1"/>
    </xf>
    <xf numFmtId="0" fontId="62" fillId="6" borderId="2" xfId="1" applyFont="1" applyFill="1" applyBorder="1" applyAlignment="1" applyProtection="1">
      <alignment vertical="center"/>
    </xf>
    <xf numFmtId="0" fontId="109" fillId="6" borderId="85" xfId="0" applyFont="1" applyFill="1" applyBorder="1" applyAlignment="1" applyProtection="1">
      <alignment vertical="center"/>
    </xf>
    <xf numFmtId="0" fontId="67" fillId="2" borderId="88" xfId="0" applyFont="1" applyFill="1" applyBorder="1" applyAlignment="1" applyProtection="1">
      <alignment horizontal="right" vertical="center"/>
      <protection locked="0"/>
    </xf>
    <xf numFmtId="0" fontId="67" fillId="6" borderId="87" xfId="0" applyFont="1" applyFill="1" applyBorder="1" applyAlignment="1" applyProtection="1">
      <alignment horizontal="center" vertical="center"/>
    </xf>
    <xf numFmtId="0" fontId="67" fillId="2"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0" fontId="70" fillId="6" borderId="88" xfId="0" applyFont="1" applyFill="1" applyBorder="1" applyAlignment="1" applyProtection="1">
      <alignment vertical="center"/>
      <protection locked="0"/>
    </xf>
    <xf numFmtId="189" fontId="67" fillId="6" borderId="88" xfId="0" applyNumberFormat="1" applyFont="1" applyFill="1" applyBorder="1" applyAlignment="1" applyProtection="1">
      <alignment horizontal="center" vertical="center"/>
      <protection locked="0"/>
    </xf>
    <xf numFmtId="181" fontId="67" fillId="6" borderId="88" xfId="0" applyNumberFormat="1" applyFont="1" applyFill="1" applyBorder="1" applyAlignment="1" applyProtection="1">
      <alignment vertical="center"/>
      <protection locked="0"/>
    </xf>
    <xf numFmtId="0" fontId="67" fillId="6" borderId="88" xfId="0" applyFont="1" applyFill="1" applyBorder="1" applyAlignment="1" applyProtection="1">
      <alignment horizontal="center" vertical="center"/>
      <protection locked="0"/>
    </xf>
    <xf numFmtId="0" fontId="67" fillId="6" borderId="104" xfId="0" applyFont="1" applyFill="1" applyBorder="1" applyAlignment="1" applyProtection="1">
      <alignment horizontal="center" vertical="center"/>
    </xf>
    <xf numFmtId="0" fontId="68" fillId="6" borderId="87" xfId="0" applyFont="1" applyFill="1" applyBorder="1" applyAlignment="1" applyProtection="1">
      <alignment horizontal="center" vertical="center"/>
    </xf>
    <xf numFmtId="0" fontId="68" fillId="0" borderId="87" xfId="0" applyFont="1" applyFill="1" applyBorder="1" applyAlignment="1" applyProtection="1">
      <alignment horizontal="center" vertical="center"/>
      <protection locked="0"/>
    </xf>
    <xf numFmtId="0" fontId="67" fillId="6" borderId="88" xfId="0" applyFont="1" applyFill="1" applyBorder="1" applyAlignment="1" applyProtection="1">
      <alignment vertical="center"/>
    </xf>
    <xf numFmtId="0" fontId="70" fillId="6" borderId="88" xfId="0" applyFont="1" applyFill="1" applyBorder="1" applyAlignment="1" applyProtection="1">
      <alignment vertical="center"/>
    </xf>
    <xf numFmtId="189" fontId="67" fillId="6" borderId="88" xfId="0" applyNumberFormat="1" applyFont="1" applyFill="1" applyBorder="1" applyAlignment="1" applyProtection="1">
      <alignment horizontal="center" vertical="center"/>
    </xf>
    <xf numFmtId="181" fontId="67" fillId="6" borderId="88" xfId="0" applyNumberFormat="1" applyFont="1" applyFill="1" applyBorder="1" applyAlignment="1" applyProtection="1">
      <alignment vertical="center"/>
    </xf>
    <xf numFmtId="0" fontId="67" fillId="6" borderId="88" xfId="0" applyFont="1" applyFill="1" applyBorder="1" applyAlignment="1" applyProtection="1">
      <alignment horizontal="center" vertical="center"/>
    </xf>
    <xf numFmtId="0" fontId="0" fillId="0" borderId="0" xfId="0" applyAlignment="1"/>
    <xf numFmtId="0" fontId="102" fillId="6" borderId="0" xfId="0" applyFont="1" applyFill="1" applyAlignment="1"/>
    <xf numFmtId="0" fontId="86" fillId="6" borderId="0" xfId="2" applyFont="1" applyFill="1"/>
    <xf numFmtId="0" fontId="21" fillId="6" borderId="0" xfId="2" applyFont="1" applyFill="1"/>
    <xf numFmtId="0" fontId="21" fillId="6" borderId="6" xfId="2" applyFont="1" applyFill="1" applyBorder="1"/>
    <xf numFmtId="0" fontId="132" fillId="6" borderId="9" xfId="2" applyFont="1" applyFill="1" applyBorder="1" applyAlignment="1">
      <alignment horizontal="center" vertical="center" wrapText="1"/>
    </xf>
    <xf numFmtId="0" fontId="21" fillId="6" borderId="10" xfId="2" applyFont="1" applyFill="1" applyBorder="1" applyAlignment="1">
      <alignment horizontal="center"/>
    </xf>
    <xf numFmtId="0" fontId="132" fillId="6" borderId="6" xfId="2" applyFont="1" applyFill="1" applyBorder="1" applyAlignment="1">
      <alignment horizontal="center" vertical="center" wrapText="1"/>
    </xf>
    <xf numFmtId="0" fontId="21" fillId="6" borderId="9" xfId="2" applyNumberFormat="1" applyFont="1" applyFill="1" applyBorder="1" applyAlignment="1">
      <alignment horizontal="center"/>
    </xf>
    <xf numFmtId="0" fontId="21" fillId="0" borderId="0" xfId="2" applyFont="1"/>
    <xf numFmtId="0" fontId="21" fillId="6" borderId="23" xfId="2" applyFont="1" applyFill="1" applyBorder="1"/>
    <xf numFmtId="0" fontId="132" fillId="6" borderId="1" xfId="2" applyFont="1" applyFill="1" applyBorder="1" applyAlignment="1">
      <alignment horizontal="center" vertical="center" wrapText="1"/>
    </xf>
    <xf numFmtId="0" fontId="21" fillId="6" borderId="24" xfId="2" applyFont="1" applyFill="1" applyBorder="1" applyAlignment="1">
      <alignment horizontal="center"/>
    </xf>
    <xf numFmtId="0" fontId="132" fillId="6" borderId="23" xfId="2" applyFont="1" applyFill="1" applyBorder="1" applyAlignment="1">
      <alignment horizontal="center" vertical="center" wrapText="1"/>
    </xf>
    <xf numFmtId="0" fontId="21" fillId="6" borderId="1" xfId="2" applyNumberFormat="1" applyFont="1" applyFill="1" applyBorder="1" applyAlignment="1">
      <alignment horizontal="center"/>
    </xf>
    <xf numFmtId="0" fontId="21" fillId="6" borderId="25" xfId="2" applyFont="1" applyFill="1" applyBorder="1"/>
    <xf numFmtId="0" fontId="132" fillId="6" borderId="32" xfId="2" applyFont="1" applyFill="1" applyBorder="1" applyAlignment="1">
      <alignment horizontal="center" vertical="center" wrapText="1"/>
    </xf>
    <xf numFmtId="0" fontId="21" fillId="6" borderId="49" xfId="2" applyFont="1" applyFill="1" applyBorder="1" applyAlignment="1">
      <alignment horizontal="center"/>
    </xf>
    <xf numFmtId="0" fontId="132" fillId="6" borderId="25" xfId="2" applyFont="1" applyFill="1" applyBorder="1" applyAlignment="1">
      <alignment horizontal="center" vertical="center" wrapText="1"/>
    </xf>
    <xf numFmtId="0" fontId="21" fillId="6" borderId="32" xfId="2" applyNumberFormat="1" applyFont="1" applyFill="1" applyBorder="1" applyAlignment="1">
      <alignment horizontal="center"/>
    </xf>
    <xf numFmtId="0" fontId="21" fillId="6" borderId="0" xfId="2" applyNumberFormat="1" applyFont="1" applyFill="1" applyAlignment="1">
      <alignment horizontal="center"/>
    </xf>
    <xf numFmtId="0" fontId="21" fillId="6" borderId="0" xfId="2" applyFont="1" applyFill="1" applyAlignment="1">
      <alignment horizontal="right"/>
    </xf>
    <xf numFmtId="14" fontId="21" fillId="6" borderId="0" xfId="2" applyNumberFormat="1" applyFont="1" applyFill="1" applyAlignment="1">
      <alignment horizontal="center"/>
    </xf>
    <xf numFmtId="0" fontId="163" fillId="6" borderId="0" xfId="2" applyNumberFormat="1" applyFont="1" applyFill="1" applyAlignment="1">
      <alignment horizontal="center"/>
    </xf>
    <xf numFmtId="0" fontId="164" fillId="6" borderId="0" xfId="2" applyFont="1" applyFill="1" applyAlignment="1">
      <alignment horizontal="left"/>
    </xf>
    <xf numFmtId="14" fontId="163" fillId="6" borderId="0" xfId="2" applyNumberFormat="1" applyFont="1" applyFill="1" applyAlignment="1">
      <alignment horizontal="center"/>
    </xf>
    <xf numFmtId="0" fontId="163" fillId="6" borderId="0" xfId="2" applyFont="1" applyFill="1"/>
    <xf numFmtId="0" fontId="163" fillId="0" borderId="0" xfId="2" applyFont="1"/>
    <xf numFmtId="0" fontId="163" fillId="0" borderId="0" xfId="0" applyFont="1" applyAlignment="1"/>
    <xf numFmtId="0" fontId="165" fillId="6" borderId="0" xfId="2" applyFont="1" applyFill="1"/>
    <xf numFmtId="0" fontId="166" fillId="6" borderId="0" xfId="2" applyFont="1" applyFill="1"/>
    <xf numFmtId="0" fontId="165" fillId="0" borderId="0" xfId="2" applyFont="1"/>
    <xf numFmtId="0" fontId="132" fillId="6" borderId="0" xfId="2" applyFont="1" applyFill="1" applyAlignment="1"/>
    <xf numFmtId="0" fontId="147" fillId="6" borderId="13" xfId="2" applyFont="1" applyFill="1" applyBorder="1" applyAlignment="1">
      <alignment horizontal="center" vertical="center"/>
    </xf>
    <xf numFmtId="0" fontId="147" fillId="6" borderId="13" xfId="2" applyFont="1" applyFill="1" applyBorder="1" applyAlignment="1">
      <alignment vertical="center"/>
    </xf>
    <xf numFmtId="0" fontId="147" fillId="6" borderId="5" xfId="2" applyFont="1" applyFill="1" applyBorder="1" applyAlignment="1">
      <alignment vertical="center"/>
    </xf>
    <xf numFmtId="0" fontId="147" fillId="6" borderId="3" xfId="2" applyFont="1" applyFill="1" applyBorder="1" applyAlignment="1">
      <alignment vertical="center"/>
    </xf>
    <xf numFmtId="0" fontId="147" fillId="6" borderId="54" xfId="2" applyFont="1" applyFill="1" applyBorder="1" applyAlignment="1">
      <alignment vertical="center"/>
    </xf>
    <xf numFmtId="0" fontId="132" fillId="0" borderId="0" xfId="2" applyFont="1" applyAlignment="1"/>
    <xf numFmtId="0" fontId="132" fillId="6" borderId="0" xfId="2" applyFont="1" applyFill="1"/>
    <xf numFmtId="0" fontId="147" fillId="6" borderId="2" xfId="2" applyFont="1" applyFill="1" applyBorder="1" applyAlignment="1">
      <alignment horizontal="center" vertical="center" wrapText="1"/>
    </xf>
    <xf numFmtId="0" fontId="147" fillId="6" borderId="2" xfId="2" applyFont="1" applyFill="1" applyBorder="1" applyAlignment="1">
      <alignment vertical="center" wrapText="1"/>
    </xf>
    <xf numFmtId="0" fontId="21" fillId="6" borderId="1" xfId="2" applyFont="1" applyFill="1" applyBorder="1"/>
    <xf numFmtId="0" fontId="147" fillId="6" borderId="1" xfId="2" applyFont="1" applyFill="1" applyBorder="1" applyAlignment="1">
      <alignment horizontal="center" vertical="center" wrapText="1"/>
    </xf>
    <xf numFmtId="0" fontId="132" fillId="0" borderId="0" xfId="2" applyFont="1"/>
    <xf numFmtId="0" fontId="168" fillId="6" borderId="0" xfId="2" applyFont="1" applyFill="1" applyAlignment="1">
      <alignment vertical="center"/>
    </xf>
    <xf numFmtId="0" fontId="168" fillId="6" borderId="1" xfId="2" applyFont="1" applyFill="1" applyBorder="1" applyAlignment="1">
      <alignment horizontal="left" vertical="center" wrapText="1"/>
    </xf>
    <xf numFmtId="196" fontId="168" fillId="6" borderId="1" xfId="2" applyNumberFormat="1" applyFont="1" applyFill="1" applyBorder="1" applyAlignment="1">
      <alignment horizontal="center" vertical="center" wrapText="1"/>
    </xf>
    <xf numFmtId="0" fontId="168" fillId="6" borderId="1" xfId="2" applyFont="1" applyFill="1" applyBorder="1" applyAlignment="1">
      <alignment horizontal="center" vertical="center" wrapText="1"/>
    </xf>
    <xf numFmtId="14" fontId="168" fillId="6" borderId="1" xfId="2" applyNumberFormat="1" applyFont="1" applyFill="1" applyBorder="1" applyAlignment="1">
      <alignment horizontal="center" vertical="center" wrapText="1"/>
    </xf>
    <xf numFmtId="0" fontId="168" fillId="5" borderId="0" xfId="2" applyFont="1" applyFill="1" applyAlignment="1">
      <alignment vertical="center"/>
    </xf>
    <xf numFmtId="0" fontId="169" fillId="0" borderId="0" xfId="0" applyFont="1" applyAlignment="1"/>
    <xf numFmtId="0" fontId="21" fillId="6" borderId="1" xfId="2" applyFont="1" applyFill="1" applyBorder="1" applyAlignment="1">
      <alignment horizontal="center" wrapText="1"/>
    </xf>
    <xf numFmtId="14" fontId="21" fillId="6" borderId="1" xfId="2" applyNumberFormat="1" applyFont="1" applyFill="1" applyBorder="1" applyAlignment="1">
      <alignment horizontal="center" wrapText="1"/>
    </xf>
    <xf numFmtId="179" fontId="170" fillId="6" borderId="1" xfId="2" applyNumberFormat="1" applyFont="1" applyFill="1" applyBorder="1" applyAlignment="1">
      <alignment horizontal="center"/>
    </xf>
    <xf numFmtId="14" fontId="140" fillId="6" borderId="1" xfId="2" applyNumberFormat="1" applyFont="1" applyFill="1" applyBorder="1" applyAlignment="1">
      <alignment horizontal="center" wrapText="1"/>
    </xf>
    <xf numFmtId="0" fontId="21" fillId="6" borderId="0" xfId="2" applyFont="1" applyFill="1" applyBorder="1" applyAlignment="1">
      <alignment horizontal="center" wrapText="1"/>
    </xf>
    <xf numFmtId="14" fontId="21" fillId="6" borderId="0" xfId="2" applyNumberFormat="1" applyFont="1" applyFill="1" applyBorder="1" applyAlignment="1">
      <alignment horizontal="center" wrapText="1"/>
    </xf>
    <xf numFmtId="0" fontId="149" fillId="6" borderId="87" xfId="2" applyFont="1" applyFill="1" applyBorder="1"/>
    <xf numFmtId="14" fontId="149" fillId="6" borderId="78" xfId="2" applyNumberFormat="1" applyFont="1" applyFill="1" applyBorder="1" applyAlignment="1" applyProtection="1">
      <alignment horizontal="center"/>
    </xf>
    <xf numFmtId="0" fontId="149" fillId="6" borderId="78" xfId="2" applyFont="1" applyFill="1" applyBorder="1" applyAlignment="1" applyProtection="1">
      <alignment horizontal="center"/>
    </xf>
    <xf numFmtId="10" fontId="149" fillId="6" borderId="78" xfId="2" applyNumberFormat="1" applyFont="1" applyFill="1" applyBorder="1" applyAlignment="1">
      <alignment horizontal="center"/>
    </xf>
    <xf numFmtId="0" fontId="149" fillId="0" borderId="87" xfId="2" applyFont="1" applyBorder="1"/>
    <xf numFmtId="0" fontId="116" fillId="0" borderId="87" xfId="0" applyFont="1" applyBorder="1" applyAlignment="1"/>
    <xf numFmtId="0" fontId="116" fillId="0" borderId="0" xfId="0" applyFont="1" applyAlignment="1"/>
    <xf numFmtId="0" fontId="147" fillId="6" borderId="78" xfId="2" applyFont="1" applyFill="1" applyBorder="1" applyAlignment="1">
      <alignment horizontal="center"/>
    </xf>
    <xf numFmtId="177" fontId="147" fillId="6" borderId="87" xfId="2" applyNumberFormat="1" applyFont="1" applyFill="1" applyBorder="1" applyAlignment="1">
      <alignment horizontal="center"/>
    </xf>
    <xf numFmtId="0" fontId="128" fillId="0" borderId="1" xfId="5" applyFont="1" applyFill="1" applyBorder="1">
      <alignment vertical="center"/>
    </xf>
    <xf numFmtId="0" fontId="128" fillId="0" borderId="1" xfId="5" applyFont="1" applyFill="1" applyBorder="1" applyAlignment="1">
      <alignment horizontal="left" vertical="center"/>
    </xf>
    <xf numFmtId="0" fontId="107" fillId="0" borderId="1" xfId="0" applyNumberFormat="1" applyFont="1" applyFill="1" applyBorder="1" applyAlignment="1" applyProtection="1">
      <alignment horizontal="center" vertical="center" wrapText="1"/>
      <protection locked="0"/>
    </xf>
    <xf numFmtId="0" fontId="107" fillId="0" borderId="1" xfId="0" applyNumberFormat="1" applyFont="1" applyFill="1" applyBorder="1" applyAlignment="1" applyProtection="1">
      <alignment horizontal="left" vertical="center" wrapText="1"/>
      <protection locked="0"/>
    </xf>
    <xf numFmtId="0" fontId="107" fillId="0" borderId="5" xfId="0" applyNumberFormat="1" applyFont="1" applyFill="1" applyBorder="1" applyAlignment="1" applyProtection="1">
      <alignment horizontal="center" vertical="center" wrapText="1"/>
      <protection locked="0"/>
    </xf>
    <xf numFmtId="0" fontId="107" fillId="0" borderId="48" xfId="0" applyNumberFormat="1" applyFont="1" applyFill="1" applyBorder="1" applyAlignment="1" applyProtection="1">
      <alignment horizontal="center" vertical="center" wrapText="1"/>
      <protection locked="0"/>
    </xf>
    <xf numFmtId="0" fontId="107" fillId="0" borderId="13" xfId="0" applyNumberFormat="1" applyFont="1" applyFill="1" applyBorder="1" applyAlignment="1" applyProtection="1">
      <alignment horizontal="center" vertical="center" wrapText="1"/>
      <protection locked="0"/>
    </xf>
    <xf numFmtId="0" fontId="107" fillId="0" borderId="46" xfId="0" applyNumberFormat="1" applyFont="1" applyFill="1" applyBorder="1" applyAlignment="1" applyProtection="1">
      <alignment horizontal="center" vertical="center" wrapText="1"/>
      <protection locked="0"/>
    </xf>
    <xf numFmtId="0" fontId="107" fillId="0" borderId="59" xfId="0" applyNumberFormat="1" applyFont="1" applyFill="1" applyBorder="1" applyAlignment="1" applyProtection="1">
      <alignment horizontal="center" vertical="center" wrapText="1"/>
      <protection locked="0"/>
    </xf>
    <xf numFmtId="0" fontId="107" fillId="0" borderId="111" xfId="0" applyNumberFormat="1" applyFont="1" applyFill="1" applyBorder="1" applyAlignment="1" applyProtection="1">
      <alignment horizontal="center" vertical="center" wrapText="1"/>
      <protection locked="0"/>
    </xf>
    <xf numFmtId="0" fontId="107" fillId="0" borderId="111" xfId="0" applyNumberFormat="1" applyFont="1" applyFill="1" applyBorder="1" applyAlignment="1" applyProtection="1">
      <alignment horizontal="left" vertical="center" wrapText="1"/>
      <protection locked="0"/>
    </xf>
    <xf numFmtId="0" fontId="107" fillId="0" borderId="112" xfId="0" applyNumberFormat="1" applyFont="1" applyFill="1" applyBorder="1" applyAlignment="1" applyProtection="1">
      <alignment horizontal="center" vertical="center" wrapText="1"/>
      <protection locked="0"/>
    </xf>
    <xf numFmtId="0" fontId="107" fillId="0" borderId="113" xfId="0" applyNumberFormat="1" applyFont="1" applyFill="1" applyBorder="1" applyAlignment="1" applyProtection="1">
      <alignment horizontal="center" vertical="center" wrapText="1"/>
      <protection locked="0"/>
    </xf>
    <xf numFmtId="0" fontId="107" fillId="6" borderId="99" xfId="0" applyNumberFormat="1" applyFont="1" applyFill="1" applyBorder="1" applyAlignment="1" applyProtection="1">
      <alignment horizontal="center" vertical="center" wrapText="1"/>
    </xf>
    <xf numFmtId="0" fontId="107" fillId="0" borderId="2" xfId="0" applyNumberFormat="1" applyFont="1" applyFill="1" applyBorder="1" applyAlignment="1" applyProtection="1">
      <alignment horizontal="center" vertical="center" wrapText="1"/>
      <protection locked="0"/>
    </xf>
    <xf numFmtId="0" fontId="107" fillId="0" borderId="4" xfId="0" applyNumberFormat="1" applyFont="1" applyFill="1" applyBorder="1" applyAlignment="1" applyProtection="1">
      <alignment horizontal="center" vertical="center" wrapText="1"/>
      <protection locked="0"/>
    </xf>
    <xf numFmtId="0" fontId="107" fillId="0" borderId="58" xfId="0" applyFont="1" applyFill="1" applyBorder="1" applyAlignment="1" applyProtection="1">
      <alignment horizontal="center" vertical="center"/>
      <protection locked="0"/>
    </xf>
    <xf numFmtId="0" fontId="107" fillId="0" borderId="15" xfId="0" applyNumberFormat="1" applyFont="1" applyFill="1" applyBorder="1" applyAlignment="1" applyProtection="1">
      <alignment horizontal="center" vertical="center" wrapText="1"/>
      <protection locked="0"/>
    </xf>
    <xf numFmtId="0" fontId="107" fillId="0" borderId="15" xfId="0" applyFont="1" applyFill="1" applyBorder="1" applyAlignment="1" applyProtection="1">
      <alignment horizontal="center" vertical="center" wrapText="1"/>
      <protection locked="0"/>
    </xf>
    <xf numFmtId="9" fontId="107" fillId="0" borderId="15" xfId="0" applyNumberFormat="1" applyFont="1" applyFill="1" applyBorder="1" applyAlignment="1" applyProtection="1">
      <alignment horizontal="center" vertical="center" wrapText="1"/>
      <protection locked="0"/>
    </xf>
    <xf numFmtId="0" fontId="107" fillId="0" borderId="15" xfId="0" applyFont="1" applyFill="1" applyBorder="1" applyAlignment="1" applyProtection="1">
      <alignment horizontal="center" vertical="center"/>
      <protection locked="0"/>
    </xf>
    <xf numFmtId="0" fontId="107" fillId="0" borderId="56" xfId="0" applyFont="1" applyFill="1" applyBorder="1" applyAlignment="1" applyProtection="1">
      <alignment horizontal="center" vertical="center"/>
      <protection locked="0"/>
    </xf>
    <xf numFmtId="0" fontId="107" fillId="0" borderId="2" xfId="0" applyNumberFormat="1" applyFont="1" applyFill="1" applyBorder="1" applyAlignment="1" applyProtection="1">
      <alignment horizontal="left" vertical="center" wrapText="1"/>
      <protection locked="0"/>
    </xf>
    <xf numFmtId="0" fontId="107" fillId="6" borderId="13" xfId="0" applyNumberFormat="1" applyFont="1" applyFill="1" applyBorder="1" applyAlignment="1" applyProtection="1">
      <alignment horizontal="center" vertical="center" wrapText="1"/>
    </xf>
    <xf numFmtId="0" fontId="107" fillId="14" borderId="0" xfId="9" applyFont="1" applyFill="1" applyAlignment="1">
      <alignment horizontal="center" vertical="center"/>
    </xf>
    <xf numFmtId="10" fontId="107" fillId="5" borderId="0" xfId="9" applyNumberFormat="1" applyFont="1" applyFill="1" applyAlignment="1">
      <alignment horizontal="center" vertical="center"/>
    </xf>
    <xf numFmtId="0" fontId="59" fillId="6" borderId="1" xfId="0" applyNumberFormat="1" applyFont="1" applyFill="1" applyBorder="1" applyAlignment="1" applyProtection="1">
      <alignment horizontal="right" vertical="center"/>
    </xf>
    <xf numFmtId="49" fontId="58" fillId="14" borderId="1" xfId="9" applyNumberFormat="1" applyFont="1" applyFill="1" applyBorder="1" applyAlignment="1" applyProtection="1">
      <alignment horizontal="center" vertical="center" wrapText="1"/>
    </xf>
    <xf numFmtId="0" fontId="154" fillId="14" borderId="127" xfId="9" applyFont="1" applyFill="1" applyBorder="1" applyAlignment="1" applyProtection="1">
      <alignment horizontal="center" vertical="center" wrapText="1"/>
    </xf>
    <xf numFmtId="0" fontId="110" fillId="14" borderId="0" xfId="9" applyFont="1" applyFill="1">
      <alignment vertical="center"/>
    </xf>
    <xf numFmtId="0" fontId="110" fillId="14" borderId="0" xfId="9" applyFont="1" applyFill="1" applyAlignment="1">
      <alignment horizontal="center" vertical="center"/>
    </xf>
    <xf numFmtId="0" fontId="110" fillId="14" borderId="122" xfId="9" applyFont="1" applyFill="1" applyBorder="1" applyAlignment="1">
      <alignment horizontal="center" vertical="center"/>
    </xf>
    <xf numFmtId="0" fontId="63" fillId="6" borderId="10" xfId="0" applyFont="1" applyFill="1" applyBorder="1" applyAlignment="1" applyProtection="1">
      <alignment horizontal="center" vertical="center" wrapText="1"/>
    </xf>
    <xf numFmtId="0" fontId="63" fillId="6" borderId="49" xfId="0" applyFont="1" applyFill="1" applyBorder="1" applyAlignment="1" applyProtection="1">
      <alignment horizontal="center" vertical="center" wrapText="1"/>
    </xf>
    <xf numFmtId="0" fontId="52" fillId="0" borderId="24" xfId="0" applyFont="1" applyBorder="1" applyProtection="1">
      <alignment vertical="center"/>
      <protection locked="0"/>
    </xf>
    <xf numFmtId="0" fontId="171" fillId="0" borderId="0" xfId="0" applyFont="1">
      <alignment vertical="center"/>
    </xf>
    <xf numFmtId="0" fontId="172" fillId="0" borderId="0" xfId="12"/>
    <xf numFmtId="0" fontId="101" fillId="6" borderId="1" xfId="12" applyFont="1" applyFill="1" applyBorder="1"/>
    <xf numFmtId="0" fontId="172" fillId="0" borderId="0" xfId="12" applyBorder="1"/>
    <xf numFmtId="0" fontId="173" fillId="6" borderId="13" xfId="12" applyFont="1" applyFill="1" applyBorder="1" applyAlignment="1">
      <alignment horizontal="center" vertical="center" wrapText="1"/>
    </xf>
    <xf numFmtId="0" fontId="173" fillId="0" borderId="0" xfId="12" applyFont="1" applyBorder="1" applyAlignment="1">
      <alignment horizontal="left" vertical="center" wrapText="1"/>
    </xf>
    <xf numFmtId="0" fontId="173" fillId="6" borderId="1" xfId="12" applyFont="1" applyFill="1" applyBorder="1" applyAlignment="1">
      <alignment horizontal="center" vertical="center" wrapText="1"/>
    </xf>
    <xf numFmtId="14" fontId="173" fillId="6" borderId="1" xfId="12" applyNumberFormat="1" applyFont="1" applyFill="1" applyBorder="1" applyAlignment="1">
      <alignment horizontal="center" vertical="center" wrapText="1"/>
    </xf>
    <xf numFmtId="0" fontId="173" fillId="13" borderId="1" xfId="12" applyFont="1" applyFill="1" applyBorder="1" applyAlignment="1" applyProtection="1">
      <alignment horizontal="center" vertical="center" wrapText="1"/>
      <protection locked="0"/>
    </xf>
    <xf numFmtId="0" fontId="172" fillId="0" borderId="1" xfId="12" applyBorder="1" applyProtection="1">
      <protection locked="0"/>
    </xf>
    <xf numFmtId="0" fontId="173" fillId="0" borderId="1" xfId="12" applyFont="1" applyBorder="1" applyAlignment="1" applyProtection="1">
      <alignment horizontal="left" vertical="center" wrapText="1"/>
      <protection locked="0"/>
    </xf>
    <xf numFmtId="0" fontId="172" fillId="6" borderId="1" xfId="12" applyFill="1" applyBorder="1" applyAlignment="1">
      <alignment vertical="center"/>
    </xf>
    <xf numFmtId="0" fontId="177" fillId="6" borderId="1" xfId="0" applyFont="1" applyFill="1" applyBorder="1" applyAlignment="1">
      <alignment horizontal="left" vertical="center" wrapText="1"/>
    </xf>
    <xf numFmtId="181" fontId="52" fillId="6" borderId="0" xfId="0" applyNumberFormat="1" applyFont="1" applyFill="1" applyProtection="1">
      <alignment vertical="center"/>
    </xf>
    <xf numFmtId="0" fontId="114" fillId="6" borderId="1" xfId="0" applyFont="1" applyFill="1" applyBorder="1" applyAlignment="1" applyProtection="1">
      <alignment horizontal="center" vertical="center" wrapText="1"/>
    </xf>
    <xf numFmtId="10" fontId="114" fillId="6" borderId="1" xfId="0" applyNumberFormat="1" applyFont="1" applyFill="1" applyBorder="1" applyAlignment="1" applyProtection="1">
      <alignment horizontal="center" vertical="center"/>
    </xf>
    <xf numFmtId="9" fontId="114" fillId="6" borderId="1" xfId="0" applyNumberFormat="1" applyFont="1" applyFill="1" applyBorder="1" applyAlignment="1" applyProtection="1">
      <alignment horizontal="center" vertical="center"/>
    </xf>
    <xf numFmtId="0" fontId="114" fillId="6" borderId="13" xfId="0" applyFont="1" applyFill="1" applyBorder="1" applyAlignment="1" applyProtection="1">
      <alignment horizontal="center" vertical="center" wrapText="1"/>
    </xf>
    <xf numFmtId="9" fontId="114" fillId="6" borderId="13" xfId="0" applyNumberFormat="1" applyFont="1" applyFill="1" applyBorder="1" applyAlignment="1" applyProtection="1">
      <alignment horizontal="center" vertical="center"/>
    </xf>
    <xf numFmtId="0" fontId="114" fillId="6" borderId="46" xfId="0" applyFont="1" applyFill="1" applyBorder="1" applyAlignment="1" applyProtection="1">
      <alignment vertical="center" wrapText="1"/>
    </xf>
    <xf numFmtId="0" fontId="114" fillId="6" borderId="36" xfId="0" applyFont="1" applyFill="1" applyBorder="1" applyAlignment="1" applyProtection="1">
      <alignment horizontal="center" vertical="center" wrapText="1"/>
    </xf>
    <xf numFmtId="0" fontId="114" fillId="6" borderId="5" xfId="0" applyFont="1" applyFill="1" applyBorder="1" applyAlignment="1" applyProtection="1">
      <alignment vertical="center" wrapText="1"/>
    </xf>
    <xf numFmtId="0" fontId="114" fillId="6" borderId="58" xfId="0" applyFont="1" applyFill="1" applyBorder="1" applyAlignment="1" applyProtection="1">
      <alignment vertical="center" wrapText="1"/>
    </xf>
    <xf numFmtId="0" fontId="114" fillId="6" borderId="0" xfId="0" applyFont="1" applyFill="1" applyBorder="1" applyAlignment="1" applyProtection="1">
      <alignment horizontal="center" vertical="center" wrapText="1"/>
    </xf>
    <xf numFmtId="0" fontId="114" fillId="6" borderId="4" xfId="0" applyFont="1" applyFill="1" applyBorder="1" applyAlignment="1" applyProtection="1">
      <alignment vertical="center" wrapText="1"/>
    </xf>
    <xf numFmtId="0" fontId="114" fillId="6" borderId="60" xfId="0" applyFont="1" applyFill="1" applyBorder="1" applyAlignment="1" applyProtection="1">
      <alignment horizontal="center" vertical="center" wrapText="1"/>
    </xf>
    <xf numFmtId="0" fontId="107" fillId="6" borderId="0" xfId="0" applyFont="1" applyFill="1" applyAlignment="1" applyProtection="1">
      <alignment vertical="center"/>
      <protection locked="0"/>
    </xf>
    <xf numFmtId="0" fontId="106" fillId="6" borderId="0" xfId="0" applyFont="1" applyFill="1" applyAlignment="1" applyProtection="1">
      <alignment horizontal="left" vertical="center"/>
      <protection locked="0"/>
    </xf>
    <xf numFmtId="9" fontId="179" fillId="0" borderId="1" xfId="0" applyNumberFormat="1" applyFont="1" applyFill="1" applyBorder="1" applyAlignment="1">
      <alignment horizontal="center" vertical="center"/>
    </xf>
    <xf numFmtId="0" fontId="106" fillId="6" borderId="9" xfId="0" applyNumberFormat="1" applyFont="1" applyFill="1" applyBorder="1" applyAlignment="1" applyProtection="1">
      <alignment horizontal="center" vertical="center" wrapText="1"/>
    </xf>
    <xf numFmtId="0" fontId="106" fillId="6" borderId="10" xfId="0" applyNumberFormat="1" applyFont="1" applyFill="1" applyBorder="1" applyAlignment="1" applyProtection="1">
      <alignment horizontal="center" vertical="center" wrapText="1"/>
    </xf>
    <xf numFmtId="10" fontId="58" fillId="6" borderId="17" xfId="0" applyNumberFormat="1" applyFont="1" applyFill="1" applyBorder="1" applyAlignment="1" applyProtection="1">
      <alignment horizontal="center" vertical="center" wrapText="1"/>
    </xf>
    <xf numFmtId="0" fontId="182" fillId="0" borderId="109" xfId="0" applyNumberFormat="1" applyFont="1" applyFill="1" applyBorder="1" applyAlignment="1" applyProtection="1">
      <alignment horizontal="center" vertical="center" wrapText="1"/>
      <protection locked="0"/>
    </xf>
    <xf numFmtId="0" fontId="182" fillId="0" borderId="18" xfId="0" applyNumberFormat="1" applyFont="1" applyFill="1" applyBorder="1" applyAlignment="1" applyProtection="1">
      <alignment horizontal="center" vertical="center" wrapText="1"/>
      <protection locked="0"/>
    </xf>
    <xf numFmtId="0" fontId="49" fillId="6" borderId="0" xfId="0" applyFont="1" applyFill="1" applyAlignment="1" applyProtection="1">
      <alignment horizontal="left" vertical="center"/>
      <protection locked="0"/>
    </xf>
    <xf numFmtId="177" fontId="122" fillId="0" borderId="1" xfId="8" applyNumberFormat="1" applyFont="1" applyFill="1" applyBorder="1" applyAlignment="1" applyProtection="1">
      <alignment horizontal="center" vertical="center"/>
      <protection locked="0"/>
    </xf>
    <xf numFmtId="0" fontId="122" fillId="6" borderId="24" xfId="0" applyFont="1" applyFill="1" applyBorder="1" applyAlignment="1" applyProtection="1">
      <alignment horizontal="left" vertical="center"/>
    </xf>
    <xf numFmtId="0" fontId="186" fillId="0" borderId="1" xfId="0" applyFont="1" applyBorder="1" applyAlignment="1">
      <alignment horizontal="right" vertical="center"/>
    </xf>
    <xf numFmtId="0" fontId="186" fillId="0" borderId="1" xfId="0" applyFont="1" applyBorder="1" applyAlignment="1">
      <alignment horizontal="left" vertical="center" wrapText="1"/>
    </xf>
    <xf numFmtId="0" fontId="186" fillId="0" borderId="1" xfId="0" applyFont="1" applyBorder="1" applyAlignment="1">
      <alignment vertical="center"/>
    </xf>
    <xf numFmtId="0" fontId="186" fillId="0" borderId="1" xfId="0" applyFont="1" applyBorder="1" applyAlignment="1">
      <alignment horizontal="center" vertical="center"/>
    </xf>
    <xf numFmtId="0" fontId="186" fillId="0" borderId="1" xfId="0" applyFont="1" applyBorder="1" applyAlignment="1">
      <alignment vertical="center" wrapText="1"/>
    </xf>
    <xf numFmtId="0" fontId="186" fillId="0" borderId="5" xfId="0" applyFont="1" applyBorder="1" applyAlignment="1">
      <alignment vertical="center"/>
    </xf>
    <xf numFmtId="0" fontId="186" fillId="0" borderId="54" xfId="0" applyFont="1" applyBorder="1" applyAlignment="1">
      <alignment vertical="center"/>
    </xf>
    <xf numFmtId="0" fontId="186" fillId="0" borderId="3" xfId="0" applyFont="1" applyBorder="1" applyAlignment="1">
      <alignment vertical="center"/>
    </xf>
    <xf numFmtId="0" fontId="183" fillId="0" borderId="0" xfId="0" applyFont="1" applyAlignment="1">
      <alignment vertical="center"/>
    </xf>
    <xf numFmtId="0" fontId="184" fillId="0" borderId="0" xfId="0" applyFont="1" applyAlignment="1">
      <alignment vertical="center"/>
    </xf>
    <xf numFmtId="0" fontId="185" fillId="0" borderId="0" xfId="0" applyFont="1" applyAlignment="1">
      <alignment vertical="center"/>
    </xf>
    <xf numFmtId="0" fontId="177" fillId="0" borderId="1" xfId="0" applyFont="1" applyBorder="1" applyAlignment="1">
      <alignment horizontal="right" vertical="center" wrapText="1"/>
    </xf>
    <xf numFmtId="0" fontId="107" fillId="0" borderId="1" xfId="0" applyFont="1" applyBorder="1" applyAlignment="1">
      <alignment horizontal="right" vertical="center"/>
    </xf>
    <xf numFmtId="0" fontId="187" fillId="6" borderId="32" xfId="0" applyFont="1" applyFill="1" applyBorder="1" applyAlignment="1" applyProtection="1">
      <alignment horizontal="center" vertical="center"/>
    </xf>
    <xf numFmtId="0" fontId="107" fillId="0" borderId="0" xfId="9" applyFont="1" applyFill="1" applyAlignment="1">
      <alignment horizontal="center" vertical="center"/>
    </xf>
    <xf numFmtId="10" fontId="107" fillId="0" borderId="0" xfId="9" applyNumberFormat="1" applyFont="1" applyFill="1" applyAlignment="1">
      <alignment horizontal="center" vertical="center"/>
    </xf>
    <xf numFmtId="0" fontId="107" fillId="0" borderId="0" xfId="9" applyFont="1" applyFill="1">
      <alignment vertical="center"/>
    </xf>
    <xf numFmtId="186" fontId="155" fillId="14" borderId="0" xfId="9" applyNumberFormat="1" applyFont="1" applyFill="1" applyAlignment="1">
      <alignment horizontal="center" vertical="center"/>
    </xf>
    <xf numFmtId="0" fontId="52" fillId="6" borderId="19" xfId="0" applyFont="1" applyFill="1" applyBorder="1" applyAlignment="1" applyProtection="1">
      <alignment horizontal="center" vertical="center"/>
      <protection locked="0"/>
    </xf>
    <xf numFmtId="0" fontId="52" fillId="5" borderId="66" xfId="0" applyFont="1" applyFill="1" applyBorder="1" applyAlignment="1" applyProtection="1">
      <alignment horizontal="center" vertical="center"/>
      <protection locked="0"/>
    </xf>
    <xf numFmtId="0" fontId="52" fillId="6" borderId="54" xfId="0" applyFont="1" applyFill="1" applyBorder="1" applyAlignment="1" applyProtection="1">
      <alignment horizontal="left" vertical="center" wrapText="1"/>
    </xf>
    <xf numFmtId="0" fontId="49" fillId="6" borderId="1" xfId="0" applyFont="1" applyFill="1" applyBorder="1" applyAlignment="1" applyProtection="1">
      <alignment horizontal="center" vertical="center" wrapText="1"/>
    </xf>
    <xf numFmtId="10" fontId="52" fillId="6" borderId="5" xfId="0" applyNumberFormat="1" applyFont="1" applyFill="1" applyBorder="1" applyAlignment="1" applyProtection="1">
      <alignment horizontal="left" vertical="center" wrapText="1"/>
    </xf>
    <xf numFmtId="10" fontId="52" fillId="6" borderId="54" xfId="0" applyNumberFormat="1"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10" fontId="52" fillId="6" borderId="48" xfId="0" applyNumberFormat="1" applyFont="1" applyFill="1" applyBorder="1" applyAlignment="1" applyProtection="1">
      <alignment horizontal="left" vertical="center" wrapText="1"/>
    </xf>
    <xf numFmtId="0" fontId="52" fillId="6" borderId="5" xfId="0" applyFont="1" applyFill="1" applyBorder="1" applyAlignment="1" applyProtection="1">
      <alignment horizontal="left" vertical="center" wrapText="1"/>
    </xf>
    <xf numFmtId="0" fontId="59" fillId="6" borderId="9" xfId="0" applyFont="1" applyFill="1" applyBorder="1" applyAlignment="1" applyProtection="1">
      <alignment horizontal="center" vertical="center" wrapText="1"/>
    </xf>
    <xf numFmtId="0" fontId="52" fillId="6" borderId="5" xfId="0" applyFont="1" applyFill="1" applyBorder="1" applyAlignment="1" applyProtection="1">
      <alignment horizontal="center" vertical="center" wrapText="1"/>
    </xf>
    <xf numFmtId="0" fontId="52" fillId="6" borderId="54" xfId="0" applyFont="1" applyFill="1" applyBorder="1" applyAlignment="1" applyProtection="1">
      <alignment horizontal="center" vertical="center" wrapText="1"/>
    </xf>
    <xf numFmtId="0" fontId="49" fillId="0" borderId="1" xfId="0" applyFont="1" applyBorder="1" applyAlignment="1" applyProtection="1">
      <alignment horizontal="center" vertical="center"/>
      <protection locked="0"/>
    </xf>
    <xf numFmtId="0" fontId="52" fillId="6" borderId="48" xfId="0" applyFont="1" applyFill="1" applyBorder="1" applyAlignment="1" applyProtection="1">
      <alignment horizontal="left" vertical="center" wrapText="1"/>
    </xf>
    <xf numFmtId="0" fontId="52" fillId="6" borderId="3" xfId="0" applyFont="1" applyFill="1" applyBorder="1" applyAlignment="1" applyProtection="1">
      <alignment horizontal="center" vertical="center" wrapText="1"/>
    </xf>
    <xf numFmtId="0" fontId="107" fillId="6" borderId="13" xfId="0" applyFont="1" applyFill="1" applyBorder="1" applyAlignment="1" applyProtection="1">
      <alignment horizontal="center" vertical="center" wrapText="1"/>
    </xf>
    <xf numFmtId="0" fontId="107" fillId="6" borderId="2" xfId="0"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6" fillId="6" borderId="1" xfId="0" applyNumberFormat="1" applyFont="1" applyFill="1" applyBorder="1" applyAlignment="1" applyProtection="1">
      <alignment horizontal="center" vertical="center"/>
    </xf>
    <xf numFmtId="0" fontId="56" fillId="6" borderId="5"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8" fillId="6" borderId="3" xfId="8" applyFont="1" applyFill="1" applyBorder="1" applyAlignment="1" applyProtection="1">
      <alignment horizontal="center" vertical="center" wrapText="1"/>
      <protection locked="0"/>
    </xf>
    <xf numFmtId="0" fontId="52" fillId="6" borderId="5" xfId="0" applyFont="1" applyFill="1" applyBorder="1" applyAlignment="1" applyProtection="1">
      <alignment horizontal="center" vertical="center"/>
    </xf>
    <xf numFmtId="0" fontId="52" fillId="6" borderId="54" xfId="0" applyFont="1" applyFill="1" applyBorder="1" applyAlignment="1" applyProtection="1">
      <alignment horizontal="center" vertical="center"/>
    </xf>
    <xf numFmtId="0" fontId="52" fillId="6" borderId="3" xfId="0" applyFont="1" applyFill="1" applyBorder="1" applyAlignment="1" applyProtection="1">
      <alignment horizontal="center" vertical="center"/>
    </xf>
    <xf numFmtId="0" fontId="63" fillId="5" borderId="0" xfId="0" applyFont="1" applyFill="1" applyAlignment="1" applyProtection="1">
      <alignment horizontal="right" vertical="center"/>
      <protection locked="0"/>
    </xf>
    <xf numFmtId="49" fontId="63" fillId="6" borderId="0" xfId="0" applyNumberFormat="1" applyFont="1" applyFill="1" applyBorder="1" applyAlignment="1" applyProtection="1">
      <alignment horizontal="center"/>
    </xf>
    <xf numFmtId="0" fontId="58" fillId="6" borderId="13" xfId="0" applyFont="1" applyFill="1" applyBorder="1" applyAlignment="1" applyProtection="1">
      <alignment vertical="center"/>
    </xf>
    <xf numFmtId="0" fontId="52" fillId="6" borderId="22" xfId="0" applyFont="1" applyFill="1" applyBorder="1" applyAlignment="1" applyProtection="1">
      <alignment vertical="center" wrapText="1"/>
    </xf>
    <xf numFmtId="0" fontId="52" fillId="6" borderId="22" xfId="0" applyFont="1" applyFill="1" applyBorder="1" applyAlignment="1" applyProtection="1">
      <alignment vertical="center"/>
    </xf>
    <xf numFmtId="0" fontId="189" fillId="6" borderId="1" xfId="0" applyFont="1" applyFill="1" applyBorder="1" applyAlignment="1" applyProtection="1">
      <alignment horizontal="right" vertical="center" wrapText="1"/>
    </xf>
    <xf numFmtId="0" fontId="122" fillId="6" borderId="15" xfId="0" applyFont="1" applyFill="1" applyBorder="1" applyAlignment="1" applyProtection="1">
      <alignment vertical="center"/>
    </xf>
    <xf numFmtId="0" fontId="52" fillId="6" borderId="119" xfId="0" applyFont="1" applyFill="1" applyBorder="1" applyAlignment="1" applyProtection="1">
      <alignment vertical="center" wrapText="1"/>
    </xf>
    <xf numFmtId="0" fontId="52" fillId="2" borderId="1" xfId="0" applyFont="1" applyFill="1" applyBorder="1" applyAlignment="1" applyProtection="1">
      <alignment horizontal="left" vertical="center" wrapText="1"/>
      <protection locked="0"/>
    </xf>
    <xf numFmtId="0" fontId="57" fillId="6" borderId="46" xfId="0" applyFont="1" applyFill="1" applyBorder="1" applyAlignment="1" applyProtection="1">
      <alignment vertical="center" wrapText="1"/>
      <protection locked="0"/>
    </xf>
    <xf numFmtId="0" fontId="52" fillId="6" borderId="1" xfId="0" applyFont="1" applyFill="1" applyBorder="1" applyAlignment="1" applyProtection="1">
      <protection locked="0"/>
    </xf>
    <xf numFmtId="0" fontId="52" fillId="6" borderId="3" xfId="0" applyFont="1" applyFill="1" applyBorder="1" applyAlignment="1" applyProtection="1">
      <alignment vertical="center" wrapText="1"/>
    </xf>
    <xf numFmtId="0" fontId="52" fillId="6" borderId="36" xfId="0" applyFont="1" applyFill="1" applyBorder="1" applyAlignment="1" applyProtection="1">
      <alignment horizontal="left" vertical="center"/>
    </xf>
    <xf numFmtId="49" fontId="69" fillId="6" borderId="60" xfId="0" applyNumberFormat="1" applyFont="1" applyFill="1" applyBorder="1" applyAlignment="1" applyProtection="1"/>
    <xf numFmtId="0" fontId="82" fillId="6" borderId="13" xfId="0" applyFont="1" applyFill="1" applyBorder="1" applyAlignment="1" applyProtection="1">
      <alignment vertical="center"/>
    </xf>
    <xf numFmtId="0" fontId="82" fillId="6" borderId="22" xfId="0" applyFont="1" applyFill="1" applyBorder="1" applyAlignment="1" applyProtection="1">
      <alignment vertical="center"/>
    </xf>
    <xf numFmtId="177" fontId="62" fillId="6" borderId="60" xfId="0" applyNumberFormat="1" applyFont="1" applyFill="1" applyBorder="1" applyAlignment="1" applyProtection="1"/>
    <xf numFmtId="49" fontId="62" fillId="2" borderId="27" xfId="0" applyNumberFormat="1" applyFont="1" applyFill="1" applyBorder="1" applyAlignment="1" applyProtection="1">
      <alignment horizontal="right"/>
      <protection locked="0"/>
    </xf>
    <xf numFmtId="0" fontId="58" fillId="6" borderId="0" xfId="0" applyFont="1" applyFill="1" applyAlignment="1" applyProtection="1">
      <alignment horizontal="center" vertical="center"/>
    </xf>
    <xf numFmtId="0" fontId="58" fillId="6" borderId="0" xfId="0" applyFont="1" applyFill="1" applyAlignment="1" applyProtection="1">
      <alignment vertical="center"/>
    </xf>
    <xf numFmtId="49" fontId="59" fillId="6" borderId="0" xfId="0" applyNumberFormat="1" applyFont="1" applyFill="1" applyBorder="1" applyAlignment="1" applyProtection="1">
      <alignment horizontal="center"/>
    </xf>
    <xf numFmtId="49" fontId="59" fillId="6" borderId="0" xfId="0" applyNumberFormat="1" applyFont="1" applyFill="1" applyBorder="1" applyAlignment="1" applyProtection="1">
      <alignment horizontal="left"/>
    </xf>
    <xf numFmtId="0" fontId="58" fillId="7" borderId="0" xfId="0" applyFont="1" applyFill="1" applyAlignment="1" applyProtection="1">
      <alignment vertical="center"/>
      <protection locked="0"/>
    </xf>
    <xf numFmtId="0" fontId="59" fillId="6" borderId="1" xfId="1" applyFont="1" applyFill="1" applyBorder="1" applyAlignment="1" applyProtection="1">
      <alignment vertical="center"/>
    </xf>
    <xf numFmtId="0" fontId="57" fillId="6" borderId="1" xfId="0" applyFont="1" applyFill="1" applyBorder="1" applyAlignment="1" applyProtection="1">
      <alignment horizontal="right" vertical="center"/>
    </xf>
    <xf numFmtId="0" fontId="58" fillId="6" borderId="0" xfId="0" applyFont="1" applyFill="1" applyBorder="1" applyAlignment="1" applyProtection="1">
      <alignment vertical="center"/>
    </xf>
    <xf numFmtId="49" fontId="58" fillId="6" borderId="0" xfId="0" applyNumberFormat="1" applyFont="1" applyFill="1" applyBorder="1" applyAlignment="1" applyProtection="1"/>
    <xf numFmtId="49" fontId="59" fillId="6" borderId="0" xfId="0" applyNumberFormat="1" applyFont="1" applyFill="1" applyBorder="1" applyAlignment="1" applyProtection="1"/>
    <xf numFmtId="177" fontId="59" fillId="7" borderId="0" xfId="0" applyNumberFormat="1" applyFont="1" applyFill="1" applyBorder="1" applyAlignment="1" applyProtection="1"/>
    <xf numFmtId="0" fontId="59" fillId="6" borderId="32" xfId="1" applyFont="1" applyFill="1" applyBorder="1" applyAlignment="1" applyProtection="1">
      <alignment vertical="center"/>
    </xf>
    <xf numFmtId="0" fontId="57" fillId="6" borderId="32" xfId="0" applyFont="1" applyFill="1" applyBorder="1" applyAlignment="1" applyProtection="1">
      <alignment horizontal="right" vertical="center"/>
    </xf>
    <xf numFmtId="0" fontId="58" fillId="7" borderId="0" xfId="0" applyFont="1" applyFill="1" applyAlignment="1" applyProtection="1">
      <alignment vertical="center"/>
    </xf>
    <xf numFmtId="0" fontId="52" fillId="6" borderId="60" xfId="0" applyFont="1" applyFill="1" applyBorder="1" applyAlignment="1" applyProtection="1">
      <alignment vertical="center"/>
    </xf>
    <xf numFmtId="0" fontId="52" fillId="6" borderId="71" xfId="0" applyFont="1" applyFill="1" applyBorder="1" applyAlignment="1" applyProtection="1">
      <alignment vertical="center"/>
    </xf>
    <xf numFmtId="0" fontId="53" fillId="7" borderId="0" xfId="0" applyFont="1" applyFill="1" applyAlignment="1" applyProtection="1">
      <alignment vertical="center"/>
    </xf>
    <xf numFmtId="0" fontId="52" fillId="6" borderId="88" xfId="0" applyFont="1" applyFill="1" applyBorder="1" applyAlignment="1" applyProtection="1">
      <alignment vertical="center"/>
    </xf>
    <xf numFmtId="0" fontId="52" fillId="6" borderId="90" xfId="0" applyFont="1" applyFill="1" applyBorder="1" applyAlignment="1" applyProtection="1">
      <alignment vertical="center"/>
    </xf>
    <xf numFmtId="0" fontId="53" fillId="7"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107" fillId="6" borderId="0" xfId="0" applyFont="1" applyFill="1" applyAlignment="1" applyProtection="1"/>
    <xf numFmtId="0" fontId="59" fillId="6" borderId="0" xfId="0" applyFont="1" applyFill="1" applyBorder="1" applyAlignment="1" applyProtection="1">
      <alignment horizontal="left" vertical="center"/>
      <protection locked="0"/>
    </xf>
    <xf numFmtId="0" fontId="65" fillId="6" borderId="0" xfId="0" applyFont="1" applyFill="1" applyBorder="1" applyAlignment="1" applyProtection="1">
      <alignment horizontal="center" vertical="center"/>
      <protection locked="0"/>
    </xf>
    <xf numFmtId="0" fontId="107" fillId="6" borderId="0" xfId="0" applyFont="1" applyFill="1" applyAlignment="1" applyProtection="1">
      <alignment horizontal="left"/>
    </xf>
    <xf numFmtId="0" fontId="57" fillId="6" borderId="0" xfId="0" applyFont="1" applyFill="1" applyAlignment="1" applyProtection="1">
      <alignment horizontal="left"/>
    </xf>
    <xf numFmtId="0" fontId="57" fillId="6" borderId="0" xfId="0" applyFont="1" applyFill="1" applyAlignment="1" applyProtection="1"/>
    <xf numFmtId="0" fontId="58" fillId="6" borderId="0" xfId="0" applyFont="1" applyFill="1" applyAlignment="1" applyProtection="1">
      <alignment horizontal="left" vertical="center"/>
    </xf>
    <xf numFmtId="0" fontId="52" fillId="7" borderId="0" xfId="0" applyFont="1" applyFill="1" applyAlignment="1" applyProtection="1">
      <protection locked="0"/>
    </xf>
    <xf numFmtId="0" fontId="52" fillId="7" borderId="0" xfId="0" applyFont="1" applyFill="1" applyAlignment="1" applyProtection="1">
      <alignment horizontal="center"/>
      <protection locked="0"/>
    </xf>
    <xf numFmtId="0" fontId="58" fillId="7" borderId="0" xfId="0" applyFont="1" applyFill="1" applyAlignment="1" applyProtection="1">
      <alignment horizontal="left" vertical="center"/>
      <protection locked="0"/>
    </xf>
    <xf numFmtId="0" fontId="150" fillId="6" borderId="0" xfId="0" applyFont="1" applyFill="1" applyAlignment="1" applyProtection="1">
      <alignment vertical="center"/>
    </xf>
    <xf numFmtId="0" fontId="150" fillId="7" borderId="0" xfId="0" applyFont="1" applyFill="1" applyAlignment="1" applyProtection="1">
      <protection locked="0"/>
    </xf>
    <xf numFmtId="0" fontId="58" fillId="6" borderId="16" xfId="0" applyFont="1" applyFill="1" applyBorder="1" applyAlignment="1" applyProtection="1">
      <alignment horizontal="center" vertical="center"/>
    </xf>
    <xf numFmtId="0" fontId="52" fillId="6" borderId="31" xfId="0" applyFont="1" applyFill="1" applyBorder="1" applyAlignment="1" applyProtection="1"/>
    <xf numFmtId="0" fontId="150" fillId="7" borderId="63" xfId="0" applyFont="1" applyFill="1" applyBorder="1" applyAlignment="1" applyProtection="1">
      <alignment vertical="center"/>
      <protection locked="0"/>
    </xf>
    <xf numFmtId="0" fontId="58" fillId="7" borderId="64" xfId="0" applyFont="1" applyFill="1" applyBorder="1" applyAlignment="1" applyProtection="1">
      <alignment vertical="center"/>
      <protection locked="0"/>
    </xf>
    <xf numFmtId="0" fontId="58" fillId="7" borderId="65" xfId="0" applyFont="1" applyFill="1" applyBorder="1" applyAlignment="1" applyProtection="1">
      <alignment horizontal="left" vertical="center"/>
      <protection locked="0"/>
    </xf>
    <xf numFmtId="0" fontId="110" fillId="6" borderId="82" xfId="0" applyFont="1" applyFill="1" applyBorder="1" applyAlignment="1" applyProtection="1">
      <alignment horizontal="center" vertical="center"/>
    </xf>
    <xf numFmtId="0" fontId="107" fillId="6" borderId="82" xfId="0" applyFont="1" applyFill="1" applyBorder="1" applyAlignment="1" applyProtection="1">
      <alignment vertical="center" wrapText="1"/>
    </xf>
    <xf numFmtId="0" fontId="107" fillId="6" borderId="65" xfId="0" applyFont="1" applyFill="1" applyBorder="1" applyAlignment="1" applyProtection="1">
      <alignment vertical="center"/>
    </xf>
    <xf numFmtId="0" fontId="107" fillId="6" borderId="65" xfId="0" applyFont="1" applyFill="1" applyBorder="1" applyAlignment="1" applyProtection="1">
      <alignment vertical="center" wrapText="1"/>
    </xf>
    <xf numFmtId="0" fontId="58" fillId="6" borderId="6" xfId="0" applyFont="1" applyFill="1" applyBorder="1" applyAlignment="1" applyProtection="1">
      <alignment vertical="center"/>
    </xf>
    <xf numFmtId="0" fontId="58" fillId="5" borderId="10" xfId="0" applyFont="1" applyFill="1" applyBorder="1" applyAlignment="1" applyProtection="1">
      <alignment horizontal="center" vertical="center"/>
      <protection locked="0"/>
    </xf>
    <xf numFmtId="0" fontId="58" fillId="6" borderId="6" xfId="0" applyFont="1" applyFill="1" applyBorder="1" applyAlignment="1" applyProtection="1">
      <alignment horizontal="left" vertical="center"/>
      <protection locked="0"/>
    </xf>
    <xf numFmtId="0" fontId="58" fillId="6" borderId="10" xfId="0" applyFont="1" applyFill="1" applyBorder="1" applyAlignment="1" applyProtection="1">
      <alignment horizontal="center" vertical="center"/>
    </xf>
    <xf numFmtId="0" fontId="107" fillId="6" borderId="81" xfId="0" applyFont="1" applyFill="1" applyBorder="1" applyAlignment="1" applyProtection="1">
      <alignment vertical="center" wrapText="1"/>
    </xf>
    <xf numFmtId="0" fontId="107" fillId="6" borderId="43" xfId="0" applyFont="1" applyFill="1" applyBorder="1" applyAlignment="1" applyProtection="1">
      <alignment vertical="center"/>
    </xf>
    <xf numFmtId="0" fontId="107" fillId="6" borderId="43" xfId="0" applyFont="1" applyFill="1" applyBorder="1" applyAlignment="1" applyProtection="1">
      <alignment vertical="center" wrapText="1"/>
    </xf>
    <xf numFmtId="0" fontId="58" fillId="6" borderId="23" xfId="0" applyFont="1" applyFill="1" applyBorder="1" applyAlignment="1" applyProtection="1">
      <alignment vertical="center"/>
    </xf>
    <xf numFmtId="0" fontId="107" fillId="5" borderId="24" xfId="0" applyFont="1" applyFill="1" applyBorder="1" applyAlignment="1" applyProtection="1">
      <alignment horizontal="center"/>
      <protection locked="0"/>
    </xf>
    <xf numFmtId="0" fontId="107" fillId="6" borderId="23" xfId="0" applyFont="1" applyFill="1" applyBorder="1" applyAlignment="1" applyProtection="1">
      <alignment horizontal="left"/>
      <protection locked="0"/>
    </xf>
    <xf numFmtId="0" fontId="58" fillId="6" borderId="24" xfId="0" applyFont="1" applyFill="1" applyBorder="1" applyAlignment="1" applyProtection="1">
      <alignment horizontal="center" vertical="center"/>
    </xf>
    <xf numFmtId="0" fontId="58" fillId="7" borderId="0" xfId="0" applyFont="1" applyFill="1" applyBorder="1" applyAlignment="1" applyProtection="1">
      <alignment vertical="center"/>
      <protection locked="0"/>
    </xf>
    <xf numFmtId="0" fontId="58" fillId="7" borderId="24" xfId="0" applyFont="1" applyFill="1" applyBorder="1" applyAlignment="1" applyProtection="1">
      <alignment horizontal="center" vertical="center"/>
      <protection locked="0"/>
    </xf>
    <xf numFmtId="0" fontId="58" fillId="0" borderId="24" xfId="0" applyFont="1" applyFill="1" applyBorder="1" applyAlignment="1" applyProtection="1">
      <alignment horizontal="center" vertical="center"/>
      <protection locked="0"/>
    </xf>
    <xf numFmtId="0" fontId="107" fillId="6" borderId="81" xfId="0" applyFont="1" applyFill="1" applyBorder="1" applyAlignment="1" applyProtection="1">
      <alignment horizontal="right" vertical="center" wrapText="1"/>
    </xf>
    <xf numFmtId="0" fontId="107" fillId="6" borderId="24" xfId="0" applyFont="1" applyFill="1" applyBorder="1" applyAlignment="1" applyProtection="1">
      <alignment horizontal="center"/>
    </xf>
    <xf numFmtId="0" fontId="58" fillId="7" borderId="35" xfId="0" applyFont="1" applyFill="1" applyBorder="1" applyAlignment="1" applyProtection="1">
      <alignment vertical="center" wrapText="1"/>
      <protection locked="0"/>
    </xf>
    <xf numFmtId="10" fontId="107" fillId="6" borderId="43" xfId="0" applyNumberFormat="1" applyFont="1" applyFill="1" applyBorder="1" applyAlignment="1" applyProtection="1">
      <alignment vertical="center" wrapText="1"/>
    </xf>
    <xf numFmtId="49" fontId="58" fillId="6" borderId="23" xfId="0" applyNumberFormat="1" applyFont="1" applyFill="1" applyBorder="1" applyAlignment="1" applyProtection="1">
      <alignment horizontal="left" vertical="center"/>
    </xf>
    <xf numFmtId="0" fontId="58" fillId="6" borderId="24" xfId="0" applyNumberFormat="1" applyFont="1" applyFill="1" applyBorder="1" applyAlignment="1" applyProtection="1">
      <alignment horizontal="center" vertical="center"/>
    </xf>
    <xf numFmtId="0" fontId="58" fillId="6" borderId="23" xfId="0" applyFont="1" applyFill="1" applyBorder="1" applyAlignment="1" applyProtection="1">
      <alignment vertical="center"/>
      <protection locked="0"/>
    </xf>
    <xf numFmtId="195" fontId="58" fillId="6" borderId="24" xfId="0" applyNumberFormat="1" applyFont="1" applyFill="1" applyBorder="1" applyAlignment="1" applyProtection="1">
      <alignment horizontal="center" vertical="center"/>
    </xf>
    <xf numFmtId="0" fontId="58" fillId="7" borderId="7" xfId="0" applyFont="1" applyFill="1" applyBorder="1" applyAlignment="1" applyProtection="1">
      <alignment vertical="center" wrapText="1"/>
      <protection locked="0"/>
    </xf>
    <xf numFmtId="0" fontId="58" fillId="6" borderId="25" xfId="0" applyFont="1" applyFill="1" applyBorder="1" applyAlignment="1" applyProtection="1">
      <alignment vertical="center"/>
    </xf>
    <xf numFmtId="10" fontId="58" fillId="0" borderId="49" xfId="0" applyNumberFormat="1" applyFont="1" applyFill="1" applyBorder="1" applyAlignment="1" applyProtection="1">
      <alignment horizontal="center" vertical="center"/>
      <protection locked="0"/>
    </xf>
    <xf numFmtId="0" fontId="58" fillId="6" borderId="26" xfId="0" applyFont="1" applyFill="1" applyBorder="1" applyAlignment="1" applyProtection="1">
      <alignment vertical="center" wrapText="1"/>
    </xf>
    <xf numFmtId="0" fontId="58" fillId="6" borderId="84" xfId="0" applyFont="1" applyFill="1" applyBorder="1" applyAlignment="1" applyProtection="1">
      <alignment horizontal="center" vertical="center"/>
    </xf>
    <xf numFmtId="0" fontId="58" fillId="6" borderId="48" xfId="0" applyFont="1" applyFill="1" applyBorder="1" applyAlignment="1" applyProtection="1">
      <alignment vertical="center"/>
      <protection locked="0"/>
    </xf>
    <xf numFmtId="0" fontId="122" fillId="6" borderId="0" xfId="0" applyFont="1" applyFill="1" applyAlignment="1" applyProtection="1">
      <alignment vertical="center"/>
      <protection locked="0"/>
    </xf>
    <xf numFmtId="0" fontId="122" fillId="6" borderId="47" xfId="0" applyFont="1" applyFill="1" applyBorder="1" applyAlignment="1" applyProtection="1">
      <alignment vertical="center" wrapText="1"/>
    </xf>
    <xf numFmtId="0" fontId="59" fillId="6" borderId="51" xfId="0" applyFont="1" applyFill="1" applyBorder="1" applyAlignment="1" applyProtection="1">
      <alignment horizontal="left" vertical="center" wrapText="1"/>
    </xf>
    <xf numFmtId="181" fontId="58" fillId="6" borderId="9" xfId="0" applyNumberFormat="1" applyFont="1" applyFill="1" applyBorder="1" applyAlignment="1" applyProtection="1">
      <alignment horizontal="center" vertical="center"/>
    </xf>
    <xf numFmtId="0" fontId="59" fillId="6" borderId="16" xfId="0" applyFont="1" applyFill="1" applyBorder="1" applyAlignment="1" applyProtection="1">
      <alignment horizontal="center" vertical="center"/>
    </xf>
    <xf numFmtId="0" fontId="58" fillId="5" borderId="21" xfId="0" applyFont="1" applyFill="1" applyBorder="1" applyAlignment="1" applyProtection="1">
      <alignment horizontal="center" vertical="center"/>
      <protection locked="0"/>
    </xf>
    <xf numFmtId="0" fontId="58" fillId="6" borderId="1" xfId="0" applyFont="1" applyFill="1" applyBorder="1" applyAlignment="1" applyProtection="1">
      <alignment vertical="center"/>
      <protection locked="0"/>
    </xf>
    <xf numFmtId="0" fontId="58" fillId="6" borderId="54" xfId="0" applyFont="1" applyFill="1" applyBorder="1" applyAlignment="1" applyProtection="1">
      <alignment vertical="center"/>
      <protection locked="0"/>
    </xf>
    <xf numFmtId="0" fontId="58" fillId="6" borderId="41" xfId="0" applyFont="1" applyFill="1" applyBorder="1" applyAlignment="1" applyProtection="1">
      <alignment vertical="center" wrapText="1"/>
    </xf>
    <xf numFmtId="0" fontId="58" fillId="5" borderId="0" xfId="0" applyFont="1" applyFill="1" applyBorder="1" applyAlignment="1" applyProtection="1">
      <alignment horizontal="center" vertical="center"/>
      <protection locked="0"/>
    </xf>
    <xf numFmtId="0" fontId="58" fillId="6" borderId="18" xfId="0" applyFont="1" applyFill="1" applyBorder="1" applyAlignment="1" applyProtection="1">
      <alignment vertical="center"/>
      <protection locked="0"/>
    </xf>
    <xf numFmtId="0" fontId="58" fillId="6" borderId="4" xfId="0" applyFont="1" applyFill="1" applyBorder="1" applyAlignment="1" applyProtection="1">
      <alignment vertical="center"/>
      <protection locked="0"/>
    </xf>
    <xf numFmtId="0" fontId="58" fillId="6" borderId="60" xfId="0" applyFont="1" applyFill="1" applyBorder="1" applyAlignment="1" applyProtection="1">
      <alignment vertical="center"/>
      <protection locked="0"/>
    </xf>
    <xf numFmtId="0" fontId="58" fillId="6" borderId="71" xfId="0" applyFont="1" applyFill="1" applyBorder="1" applyAlignment="1" applyProtection="1">
      <alignment vertical="center"/>
      <protection locked="0"/>
    </xf>
    <xf numFmtId="0" fontId="58" fillId="6" borderId="23" xfId="0" applyFont="1" applyFill="1" applyBorder="1" applyAlignment="1" applyProtection="1">
      <alignment vertical="center" wrapText="1"/>
    </xf>
    <xf numFmtId="0" fontId="58" fillId="6" borderId="5" xfId="0" applyFont="1" applyFill="1" applyBorder="1" applyAlignment="1" applyProtection="1">
      <alignment horizontal="center" vertical="center"/>
    </xf>
    <xf numFmtId="181" fontId="58" fillId="6" borderId="5" xfId="0" applyNumberFormat="1" applyFont="1" applyFill="1" applyBorder="1" applyAlignment="1" applyProtection="1">
      <alignment horizontal="center" vertical="center"/>
    </xf>
    <xf numFmtId="49" fontId="59" fillId="6" borderId="25" xfId="0" applyNumberFormat="1" applyFont="1" applyFill="1" applyBorder="1" applyAlignment="1" applyProtection="1">
      <alignment horizontal="left" vertical="center"/>
    </xf>
    <xf numFmtId="0" fontId="58" fillId="6" borderId="49" xfId="0" applyFont="1" applyFill="1" applyBorder="1" applyAlignment="1" applyProtection="1">
      <alignment horizontal="center" vertical="center"/>
    </xf>
    <xf numFmtId="0" fontId="59" fillId="6" borderId="25" xfId="0" applyFont="1" applyFill="1" applyBorder="1" applyAlignment="1" applyProtection="1">
      <alignment horizontal="center" vertical="center"/>
    </xf>
    <xf numFmtId="0" fontId="58" fillId="6" borderId="0" xfId="0" applyFont="1" applyFill="1" applyAlignment="1" applyProtection="1">
      <alignment vertical="center"/>
      <protection locked="0"/>
    </xf>
    <xf numFmtId="0" fontId="58" fillId="6" borderId="1" xfId="0" applyFont="1" applyFill="1" applyBorder="1" applyAlignment="1"/>
    <xf numFmtId="0" fontId="58" fillId="6" borderId="1" xfId="0" applyFont="1" applyFill="1" applyBorder="1" applyAlignment="1">
      <alignment horizontal="center"/>
    </xf>
    <xf numFmtId="0" fontId="58" fillId="6" borderId="1" xfId="0" applyFont="1" applyFill="1" applyBorder="1" applyAlignment="1" applyProtection="1">
      <alignment horizontal="center" vertical="center"/>
      <protection locked="0"/>
    </xf>
    <xf numFmtId="9" fontId="58" fillId="6" borderId="1" xfId="0" applyNumberFormat="1" applyFont="1" applyFill="1" applyBorder="1" applyAlignment="1" applyProtection="1">
      <alignment horizontal="center" vertical="center"/>
      <protection locked="0"/>
    </xf>
    <xf numFmtId="195" fontId="107" fillId="6" borderId="43" xfId="0" applyNumberFormat="1" applyFont="1" applyFill="1" applyBorder="1" applyAlignment="1" applyProtection="1">
      <alignment vertical="center" wrapText="1"/>
    </xf>
    <xf numFmtId="0" fontId="177" fillId="6" borderId="43" xfId="0" applyFont="1" applyFill="1" applyBorder="1" applyAlignment="1" applyProtection="1">
      <alignment vertical="center"/>
    </xf>
    <xf numFmtId="0" fontId="58" fillId="0" borderId="0" xfId="0" applyFont="1" applyFill="1" applyAlignment="1" applyProtection="1">
      <alignment horizontal="left" vertical="center"/>
      <protection locked="0"/>
    </xf>
    <xf numFmtId="0" fontId="52" fillId="6" borderId="1" xfId="0" applyFont="1" applyFill="1" applyBorder="1" applyAlignment="1" applyProtection="1">
      <alignment horizontal="center"/>
    </xf>
    <xf numFmtId="49" fontId="67" fillId="2" borderId="27" xfId="0" applyNumberFormat="1" applyFont="1" applyFill="1" applyBorder="1" applyAlignment="1" applyProtection="1">
      <alignment horizontal="right"/>
      <protection locked="0"/>
    </xf>
    <xf numFmtId="0" fontId="59" fillId="6" borderId="0" xfId="0" applyFont="1" applyFill="1" applyBorder="1" applyAlignment="1" applyProtection="1">
      <alignment vertical="center"/>
    </xf>
    <xf numFmtId="0" fontId="52" fillId="6" borderId="0" xfId="0" applyFont="1" applyFill="1" applyAlignment="1" applyProtection="1"/>
    <xf numFmtId="0" fontId="52" fillId="6" borderId="0" xfId="0" applyFont="1" applyFill="1" applyAlignment="1" applyProtection="1">
      <protection locked="0"/>
    </xf>
    <xf numFmtId="0" fontId="189" fillId="6" borderId="3" xfId="0" applyFont="1" applyFill="1" applyBorder="1" applyAlignment="1" applyProtection="1">
      <alignment horizontal="right" vertical="center" wrapText="1"/>
    </xf>
    <xf numFmtId="0" fontId="205" fillId="0" borderId="0" xfId="5" applyFont="1">
      <alignment vertical="center"/>
    </xf>
    <xf numFmtId="0" fontId="101" fillId="0" borderId="0" xfId="0" applyFont="1" applyProtection="1">
      <alignment vertical="center"/>
      <protection locked="0"/>
    </xf>
    <xf numFmtId="0" fontId="214" fillId="0" borderId="0" xfId="0" applyFont="1" applyBorder="1" applyAlignment="1">
      <alignment horizontal="center" vertical="center"/>
    </xf>
    <xf numFmtId="0" fontId="106" fillId="0" borderId="0" xfId="0" applyFont="1">
      <alignment vertical="center"/>
    </xf>
    <xf numFmtId="0" fontId="106" fillId="0" borderId="0" xfId="0" applyFont="1" applyBorder="1">
      <alignment vertical="center"/>
    </xf>
    <xf numFmtId="0" fontId="215" fillId="0" borderId="0" xfId="0" applyFont="1" applyAlignment="1">
      <alignment vertical="center"/>
    </xf>
    <xf numFmtId="0" fontId="141" fillId="0" borderId="0" xfId="0" applyFont="1" applyAlignment="1">
      <alignment vertical="center" wrapText="1"/>
    </xf>
    <xf numFmtId="0" fontId="216" fillId="0" borderId="0" xfId="0" applyFont="1">
      <alignment vertical="center"/>
    </xf>
    <xf numFmtId="0" fontId="217" fillId="0" borderId="0" xfId="0" applyFont="1">
      <alignment vertical="center"/>
    </xf>
    <xf numFmtId="0" fontId="218" fillId="0" borderId="0" xfId="0" applyFont="1" applyAlignment="1" applyProtection="1">
      <alignment vertical="center" wrapText="1"/>
      <protection locked="0"/>
    </xf>
    <xf numFmtId="0" fontId="141" fillId="0" borderId="0" xfId="0" applyFont="1" applyFill="1" applyAlignment="1">
      <alignment vertical="center" wrapText="1"/>
    </xf>
    <xf numFmtId="0" fontId="215" fillId="0" borderId="0" xfId="0" applyFont="1">
      <alignment vertical="center"/>
    </xf>
    <xf numFmtId="184" fontId="141" fillId="0" borderId="0" xfId="0" applyNumberFormat="1" applyFont="1" applyAlignment="1">
      <alignment horizontal="left" vertical="center"/>
    </xf>
    <xf numFmtId="0" fontId="141" fillId="0" borderId="0" xfId="0" applyFont="1">
      <alignment vertical="center"/>
    </xf>
    <xf numFmtId="0" fontId="219" fillId="5" borderId="0" xfId="0" applyFont="1" applyFill="1" applyProtection="1">
      <alignment vertical="center"/>
      <protection locked="0"/>
    </xf>
    <xf numFmtId="0" fontId="106" fillId="0" borderId="0" xfId="0" applyFont="1" applyProtection="1">
      <alignment vertical="center"/>
      <protection locked="0"/>
    </xf>
    <xf numFmtId="0" fontId="215" fillId="0" borderId="0" xfId="7" applyFont="1" applyProtection="1">
      <alignment vertical="center"/>
    </xf>
    <xf numFmtId="0" fontId="106" fillId="0" borderId="0" xfId="7" applyFont="1" applyProtection="1">
      <alignment vertical="center"/>
    </xf>
    <xf numFmtId="0" fontId="106" fillId="0" borderId="0" xfId="7" applyFont="1">
      <alignment vertical="center"/>
    </xf>
    <xf numFmtId="0" fontId="215" fillId="0" borderId="0" xfId="7" applyFont="1" applyAlignment="1" applyProtection="1">
      <alignment horizontal="center" vertical="center"/>
    </xf>
    <xf numFmtId="0" fontId="134" fillId="0" borderId="2" xfId="7" applyFont="1" applyFill="1" applyBorder="1" applyAlignment="1" applyProtection="1">
      <alignment horizontal="left" vertical="center" wrapText="1"/>
    </xf>
    <xf numFmtId="0" fontId="135" fillId="0" borderId="1" xfId="7" applyFont="1" applyFill="1" applyBorder="1" applyAlignment="1" applyProtection="1">
      <alignment horizontal="left" vertical="center" wrapText="1"/>
    </xf>
    <xf numFmtId="0" fontId="222" fillId="0" borderId="1" xfId="7" applyFont="1" applyFill="1" applyBorder="1" applyAlignment="1" applyProtection="1">
      <alignment horizontal="left" vertical="center" wrapText="1"/>
    </xf>
    <xf numFmtId="0" fontId="66" fillId="0" borderId="5" xfId="7" applyFont="1" applyFill="1" applyBorder="1" applyAlignment="1" applyProtection="1">
      <alignment vertical="center" wrapText="1"/>
    </xf>
    <xf numFmtId="0" fontId="112" fillId="0" borderId="1" xfId="7" applyFont="1" applyFill="1" applyBorder="1" applyAlignment="1" applyProtection="1">
      <alignment horizontal="left" vertical="center" wrapText="1"/>
    </xf>
    <xf numFmtId="0" fontId="134" fillId="0" borderId="1" xfId="7" applyFont="1" applyFill="1" applyBorder="1" applyAlignment="1" applyProtection="1">
      <alignment horizontal="left" vertical="center" wrapText="1"/>
    </xf>
    <xf numFmtId="0" fontId="223" fillId="0" borderId="1" xfId="7" applyFont="1" applyBorder="1" applyAlignment="1">
      <alignment horizontal="center" vertical="center"/>
    </xf>
    <xf numFmtId="0" fontId="135" fillId="0" borderId="78" xfId="7" applyFont="1" applyFill="1" applyBorder="1" applyAlignment="1" applyProtection="1">
      <alignment horizontal="left" vertical="center" wrapText="1"/>
    </xf>
    <xf numFmtId="0" fontId="107" fillId="0" borderId="0" xfId="7" applyFont="1" applyProtection="1">
      <alignment vertical="center"/>
    </xf>
    <xf numFmtId="0" fontId="106" fillId="0" borderId="0" xfId="7" applyFont="1" applyProtection="1">
      <alignment vertical="center"/>
      <protection locked="0"/>
    </xf>
    <xf numFmtId="0" fontId="141" fillId="0" borderId="0" xfId="7" applyFont="1" applyProtection="1">
      <alignment vertical="center"/>
      <protection locked="0"/>
    </xf>
    <xf numFmtId="0" fontId="66" fillId="0" borderId="1" xfId="0" applyFont="1" applyFill="1" applyBorder="1" applyAlignment="1" applyProtection="1">
      <alignment horizontal="left" vertical="center" wrapText="1"/>
    </xf>
    <xf numFmtId="0" fontId="141" fillId="0" borderId="0" xfId="0" applyFont="1" applyProtection="1">
      <alignment vertical="center"/>
      <protection locked="0"/>
    </xf>
    <xf numFmtId="0" fontId="101" fillId="0" borderId="0" xfId="0" applyFont="1" applyProtection="1">
      <alignment vertical="center"/>
    </xf>
    <xf numFmtId="0" fontId="212" fillId="0" borderId="0" xfId="0" applyFont="1" applyBorder="1" applyAlignment="1" applyProtection="1">
      <alignment horizontal="left" vertical="center"/>
    </xf>
    <xf numFmtId="0" fontId="230" fillId="0" borderId="0" xfId="0" applyFont="1" applyBorder="1" applyAlignment="1" applyProtection="1">
      <alignment horizontal="center" vertical="center" wrapText="1"/>
    </xf>
    <xf numFmtId="14" fontId="141" fillId="0" borderId="0" xfId="0" applyNumberFormat="1" applyFont="1" applyFill="1" applyBorder="1" applyAlignment="1" applyProtection="1">
      <alignment horizontal="center" vertical="center" wrapText="1"/>
    </xf>
    <xf numFmtId="0" fontId="141" fillId="0" borderId="0" xfId="0" applyFont="1" applyBorder="1" applyAlignment="1" applyProtection="1">
      <alignment horizontal="center" vertical="center" wrapText="1"/>
    </xf>
    <xf numFmtId="0" fontId="230" fillId="0" borderId="60" xfId="0" applyFont="1" applyBorder="1" applyAlignment="1" applyProtection="1">
      <alignment horizontal="justify" vertical="center" wrapText="1"/>
    </xf>
    <xf numFmtId="0" fontId="230" fillId="0" borderId="0" xfId="0" applyFont="1" applyBorder="1" applyAlignment="1" applyProtection="1">
      <alignment horizontal="right" vertical="center" wrapText="1"/>
    </xf>
    <xf numFmtId="0" fontId="230" fillId="0" borderId="54" xfId="0" applyFont="1" applyBorder="1" applyAlignment="1" applyProtection="1">
      <alignment horizontal="justify" vertical="center" wrapText="1"/>
    </xf>
    <xf numFmtId="0" fontId="231" fillId="0" borderId="0" xfId="0" applyFont="1" applyBorder="1" applyAlignment="1" applyProtection="1">
      <alignment horizontal="center" vertical="center" wrapText="1"/>
      <protection locked="0"/>
    </xf>
    <xf numFmtId="0" fontId="215" fillId="0" borderId="0" xfId="0" applyFont="1" applyBorder="1" applyAlignment="1" applyProtection="1">
      <alignment horizontal="left" vertical="center"/>
    </xf>
    <xf numFmtId="0" fontId="106" fillId="0" borderId="0" xfId="0" applyFont="1" applyAlignment="1" applyProtection="1">
      <alignment vertical="center" wrapText="1"/>
      <protection locked="0"/>
    </xf>
    <xf numFmtId="0" fontId="141" fillId="0" borderId="0" xfId="0" applyFont="1" applyAlignment="1">
      <alignment horizontal="right" vertical="center"/>
    </xf>
    <xf numFmtId="0" fontId="101" fillId="0" borderId="0" xfId="0" applyFont="1" applyBorder="1" applyProtection="1">
      <alignment vertical="center"/>
      <protection locked="0"/>
    </xf>
    <xf numFmtId="0" fontId="213" fillId="0" borderId="0" xfId="0" applyFont="1" applyBorder="1" applyProtection="1">
      <alignment vertical="center"/>
      <protection locked="0"/>
    </xf>
    <xf numFmtId="0" fontId="234" fillId="0" borderId="0" xfId="0" applyFont="1" applyProtection="1">
      <alignment vertical="center"/>
    </xf>
    <xf numFmtId="0" fontId="213" fillId="0" borderId="0" xfId="0" applyFont="1" applyProtection="1">
      <alignment vertical="center"/>
    </xf>
    <xf numFmtId="0" fontId="221" fillId="0" borderId="1" xfId="0" applyFont="1" applyBorder="1" applyAlignment="1" applyProtection="1">
      <alignment horizontal="center" vertical="center" wrapText="1"/>
    </xf>
    <xf numFmtId="0" fontId="101" fillId="0" borderId="0" xfId="0" applyFont="1" applyAlignment="1" applyProtection="1">
      <alignment horizontal="left" vertical="center"/>
    </xf>
    <xf numFmtId="0" fontId="221" fillId="0" borderId="0" xfId="0" applyFont="1" applyProtection="1">
      <alignment vertical="center"/>
    </xf>
    <xf numFmtId="0" fontId="221" fillId="2" borderId="1" xfId="0" applyFont="1" applyFill="1" applyBorder="1" applyAlignment="1" applyProtection="1">
      <alignment horizontal="center" vertical="center" wrapText="1"/>
    </xf>
    <xf numFmtId="0" fontId="221" fillId="6" borderId="1" xfId="0" applyFont="1" applyFill="1" applyBorder="1" applyAlignment="1" applyProtection="1">
      <alignment horizontal="center" vertical="center" wrapText="1"/>
    </xf>
    <xf numFmtId="0" fontId="237" fillId="4" borderId="1" xfId="0" applyFont="1" applyFill="1" applyBorder="1" applyAlignment="1" applyProtection="1">
      <alignment horizontal="center" vertical="center"/>
    </xf>
    <xf numFmtId="0" fontId="238" fillId="0" borderId="1" xfId="0" applyFont="1" applyFill="1" applyBorder="1" applyAlignment="1" applyProtection="1">
      <alignment horizontal="center" vertical="center"/>
    </xf>
    <xf numFmtId="0" fontId="236" fillId="0" borderId="0" xfId="0" applyFont="1" applyProtection="1">
      <alignment vertical="center"/>
    </xf>
    <xf numFmtId="0" fontId="126" fillId="0" borderId="1" xfId="0" applyFont="1" applyBorder="1" applyAlignment="1" applyProtection="1">
      <alignment horizontal="center" vertical="center"/>
    </xf>
    <xf numFmtId="0" fontId="101" fillId="0" borderId="1" xfId="0" applyFont="1" applyBorder="1" applyAlignment="1" applyProtection="1">
      <alignment horizontal="left" vertical="center"/>
    </xf>
    <xf numFmtId="0" fontId="101" fillId="8" borderId="5" xfId="0" applyFont="1" applyFill="1" applyBorder="1" applyAlignment="1" applyProtection="1">
      <alignment vertical="center"/>
    </xf>
    <xf numFmtId="0" fontId="101" fillId="7" borderId="54" xfId="0" applyFont="1" applyFill="1" applyBorder="1" applyAlignment="1" applyProtection="1">
      <alignment vertical="center"/>
    </xf>
    <xf numFmtId="0" fontId="101" fillId="7" borderId="3" xfId="0" applyFont="1" applyFill="1" applyBorder="1" applyAlignment="1" applyProtection="1">
      <alignment vertical="center"/>
    </xf>
    <xf numFmtId="0" fontId="239" fillId="0" borderId="0" xfId="0" applyFont="1" applyProtection="1">
      <alignment vertical="center"/>
    </xf>
    <xf numFmtId="0" fontId="236" fillId="0" borderId="0" xfId="0" applyFont="1" applyAlignment="1" applyProtection="1">
      <alignment horizontal="left" vertical="center"/>
    </xf>
    <xf numFmtId="176" fontId="236" fillId="0" borderId="0" xfId="0" applyNumberFormat="1" applyFont="1" applyAlignment="1" applyProtection="1">
      <alignment horizontal="left" vertical="center"/>
    </xf>
    <xf numFmtId="0" fontId="236" fillId="6" borderId="35" xfId="0" applyFont="1" applyFill="1" applyBorder="1" applyAlignment="1" applyProtection="1">
      <alignment horizontal="center" vertical="center" wrapText="1"/>
    </xf>
    <xf numFmtId="0" fontId="101" fillId="6" borderId="15" xfId="0" applyFont="1" applyFill="1" applyBorder="1" applyAlignment="1" applyProtection="1">
      <alignment horizontal="center" vertical="center" wrapText="1"/>
    </xf>
    <xf numFmtId="0" fontId="101" fillId="6" borderId="0" xfId="0" applyFont="1" applyFill="1" applyBorder="1" applyAlignment="1" applyProtection="1">
      <alignment horizontal="center" vertical="center" wrapText="1"/>
    </xf>
    <xf numFmtId="0" fontId="101" fillId="6" borderId="0" xfId="0" applyFont="1" applyFill="1" applyAlignment="1" applyProtection="1">
      <alignment horizontal="center" vertical="center" wrapText="1"/>
    </xf>
    <xf numFmtId="0" fontId="236" fillId="6" borderId="0" xfId="0" applyFont="1" applyFill="1" applyAlignment="1" applyProtection="1">
      <alignment horizontal="center" vertical="center" wrapText="1"/>
    </xf>
    <xf numFmtId="0" fontId="236" fillId="6" borderId="0" xfId="0" applyNumberFormat="1" applyFont="1" applyFill="1" applyBorder="1" applyAlignment="1" applyProtection="1">
      <alignment horizontal="center" vertical="center" wrapText="1"/>
    </xf>
    <xf numFmtId="0" fontId="101" fillId="0" borderId="0" xfId="0" applyFont="1" applyAlignment="1" applyProtection="1">
      <alignment horizontal="center" vertical="center" wrapText="1"/>
    </xf>
    <xf numFmtId="0" fontId="101" fillId="0" borderId="1" xfId="0" applyFont="1" applyBorder="1" applyAlignment="1" applyProtection="1">
      <alignment horizontal="left" vertical="center"/>
      <protection locked="0"/>
    </xf>
    <xf numFmtId="0" fontId="101" fillId="6" borderId="0" xfId="0" applyFont="1" applyFill="1" applyBorder="1" applyAlignment="1" applyProtection="1">
      <alignment horizontal="center" vertical="center"/>
      <protection locked="0"/>
    </xf>
    <xf numFmtId="0" fontId="101" fillId="6" borderId="0" xfId="0" applyFont="1" applyFill="1" applyAlignment="1" applyProtection="1">
      <alignment horizontal="center" vertical="center"/>
    </xf>
    <xf numFmtId="0" fontId="236" fillId="0" borderId="1" xfId="0" applyFont="1" applyBorder="1" applyAlignment="1" applyProtection="1">
      <alignment horizontal="left" vertical="center"/>
      <protection locked="0"/>
    </xf>
    <xf numFmtId="0" fontId="101" fillId="6" borderId="0" xfId="0" applyFont="1" applyFill="1" applyAlignment="1" applyProtection="1">
      <alignment horizontal="center" vertical="center"/>
      <protection locked="0"/>
    </xf>
    <xf numFmtId="0" fontId="101" fillId="6" borderId="0" xfId="0" applyFont="1" applyFill="1" applyProtection="1">
      <alignment vertical="center"/>
    </xf>
    <xf numFmtId="0" fontId="236" fillId="6" borderId="0" xfId="0" applyFont="1" applyFill="1" applyBorder="1" applyAlignment="1" applyProtection="1">
      <alignment horizontal="center" vertical="center"/>
      <protection locked="0"/>
    </xf>
    <xf numFmtId="0" fontId="101" fillId="6" borderId="0" xfId="0" applyFont="1" applyFill="1" applyBorder="1" applyAlignment="1" applyProtection="1">
      <alignment horizontal="left" vertical="center"/>
    </xf>
    <xf numFmtId="0" fontId="101" fillId="6" borderId="0" xfId="0" applyFont="1" applyFill="1" applyAlignment="1" applyProtection="1">
      <alignment horizontal="left" vertical="center"/>
    </xf>
    <xf numFmtId="0" fontId="101" fillId="6" borderId="0" xfId="0" applyFont="1" applyFill="1" applyBorder="1" applyAlignment="1" applyProtection="1">
      <alignment horizontal="center" vertical="center"/>
    </xf>
    <xf numFmtId="0" fontId="101" fillId="0" borderId="0" xfId="0" applyFont="1" applyBorder="1" applyAlignment="1" applyProtection="1">
      <alignment horizontal="center" vertical="center"/>
    </xf>
    <xf numFmtId="0" fontId="66" fillId="6" borderId="26" xfId="0" applyFont="1" applyFill="1" applyBorder="1" applyAlignment="1" applyProtection="1">
      <alignment vertical="center" wrapText="1"/>
    </xf>
    <xf numFmtId="0" fontId="66" fillId="6" borderId="0" xfId="0" applyFont="1" applyFill="1" applyBorder="1" applyAlignment="1" applyProtection="1">
      <alignment vertical="center" wrapText="1"/>
    </xf>
    <xf numFmtId="0" fontId="66"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6" borderId="0" xfId="0" applyFont="1" applyFill="1" applyAlignment="1" applyProtection="1">
      <alignment horizontal="center"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66" fillId="0" borderId="0" xfId="0" applyFont="1" applyFill="1" applyBorder="1" applyAlignment="1" applyProtection="1">
      <alignment vertical="center" wrapText="1"/>
    </xf>
    <xf numFmtId="0" fontId="66" fillId="6" borderId="0" xfId="0" applyFont="1" applyFill="1" applyBorder="1" applyAlignment="1" applyProtection="1">
      <alignment horizontal="center" vertical="center" wrapText="1"/>
    </xf>
    <xf numFmtId="0" fontId="66" fillId="6" borderId="1" xfId="0" applyFont="1" applyFill="1" applyBorder="1" applyAlignment="1" applyProtection="1">
      <alignment horizontal="left" vertical="center"/>
    </xf>
    <xf numFmtId="14" fontId="66" fillId="0" borderId="13" xfId="0" applyNumberFormat="1" applyFont="1" applyFill="1" applyBorder="1" applyAlignment="1" applyProtection="1">
      <alignment horizontal="left" vertical="center"/>
      <protection locked="0"/>
    </xf>
    <xf numFmtId="0" fontId="66" fillId="6" borderId="1" xfId="0" applyFont="1" applyFill="1" applyBorder="1" applyAlignment="1" applyProtection="1">
      <alignment vertical="center" wrapText="1"/>
    </xf>
    <xf numFmtId="0" fontId="66" fillId="6" borderId="78" xfId="0" applyFont="1" applyFill="1" applyBorder="1" applyAlignment="1" applyProtection="1">
      <alignment horizontal="left" vertical="center"/>
    </xf>
    <xf numFmtId="14" fontId="66" fillId="5" borderId="78" xfId="0" applyNumberFormat="1" applyFont="1" applyFill="1" applyBorder="1" applyAlignment="1" applyProtection="1">
      <alignment horizontal="center" vertical="center"/>
      <protection locked="0"/>
    </xf>
    <xf numFmtId="0" fontId="66" fillId="6" borderId="85" xfId="0" applyFont="1" applyFill="1" applyBorder="1" applyAlignment="1" applyProtection="1">
      <alignment vertical="center" wrapText="1"/>
    </xf>
    <xf numFmtId="0" fontId="66" fillId="6" borderId="119" xfId="0" applyFont="1" applyFill="1" applyBorder="1" applyAlignment="1" applyProtection="1">
      <alignment vertical="center" wrapText="1"/>
    </xf>
    <xf numFmtId="0" fontId="66" fillId="6" borderId="0" xfId="0" applyFont="1" applyFill="1" applyAlignment="1" applyProtection="1">
      <alignment vertical="center" wrapText="1"/>
    </xf>
    <xf numFmtId="0" fontId="66" fillId="6" borderId="58" xfId="0" applyNumberFormat="1" applyFont="1" applyFill="1" applyBorder="1" applyAlignment="1" applyProtection="1">
      <alignment horizontal="left" vertical="center"/>
    </xf>
    <xf numFmtId="0" fontId="66" fillId="6" borderId="4" xfId="0" applyFont="1" applyFill="1" applyBorder="1" applyAlignment="1" applyProtection="1">
      <alignment vertical="center" wrapText="1"/>
    </xf>
    <xf numFmtId="0" fontId="66" fillId="7" borderId="151" xfId="0" applyFont="1" applyFill="1" applyBorder="1" applyAlignment="1" applyProtection="1">
      <alignment vertical="center" wrapText="1"/>
      <protection locked="0"/>
    </xf>
    <xf numFmtId="0" fontId="66" fillId="7" borderId="60" xfId="0" applyFont="1" applyFill="1" applyBorder="1" applyAlignment="1" applyProtection="1">
      <alignment vertical="center" wrapText="1"/>
    </xf>
    <xf numFmtId="0" fontId="66" fillId="7" borderId="7" xfId="0" applyFont="1" applyFill="1" applyBorder="1" applyAlignment="1" applyProtection="1">
      <alignment vertical="center" wrapText="1"/>
    </xf>
    <xf numFmtId="0" fontId="66" fillId="6" borderId="46" xfId="0" applyFont="1" applyFill="1" applyBorder="1" applyAlignment="1" applyProtection="1">
      <alignment vertical="center" wrapText="1"/>
    </xf>
    <xf numFmtId="0" fontId="66" fillId="7" borderId="54" xfId="0" applyFont="1" applyFill="1" applyBorder="1" applyAlignment="1" applyProtection="1">
      <alignment vertical="center" wrapText="1"/>
    </xf>
    <xf numFmtId="0" fontId="66" fillId="7" borderId="22" xfId="0" applyFont="1" applyFill="1" applyBorder="1" applyAlignment="1" applyProtection="1">
      <alignment vertical="center" wrapText="1"/>
    </xf>
    <xf numFmtId="0" fontId="66" fillId="6" borderId="58" xfId="0" applyNumberFormat="1" applyFont="1" applyFill="1" applyBorder="1" applyAlignment="1" applyProtection="1">
      <alignment horizontal="center" vertical="center" wrapText="1"/>
    </xf>
    <xf numFmtId="0" fontId="66" fillId="7" borderId="5" xfId="0" applyFont="1" applyFill="1" applyBorder="1" applyAlignment="1" applyProtection="1">
      <alignment vertical="center" wrapText="1"/>
      <protection locked="0"/>
    </xf>
    <xf numFmtId="49" fontId="66" fillId="6" borderId="58" xfId="0" applyNumberFormat="1" applyFont="1" applyFill="1" applyBorder="1" applyAlignment="1" applyProtection="1">
      <alignment horizontal="center" vertical="center" wrapText="1"/>
    </xf>
    <xf numFmtId="0" fontId="66" fillId="5" borderId="5" xfId="0" applyFont="1" applyFill="1" applyBorder="1" applyAlignment="1" applyProtection="1">
      <alignment horizontal="left" vertical="center" wrapText="1"/>
      <protection locked="0"/>
    </xf>
    <xf numFmtId="0" fontId="66" fillId="5" borderId="54" xfId="0" applyFont="1" applyFill="1" applyBorder="1" applyAlignment="1" applyProtection="1">
      <alignment vertical="center" wrapText="1"/>
    </xf>
    <xf numFmtId="0" fontId="66" fillId="5" borderId="13" xfId="0" applyFont="1" applyFill="1" applyBorder="1" applyAlignment="1" applyProtection="1">
      <alignment horizontal="left" vertical="center"/>
      <protection locked="0"/>
    </xf>
    <xf numFmtId="0" fontId="66" fillId="5" borderId="22" xfId="0" applyFont="1" applyFill="1" applyBorder="1" applyAlignment="1" applyProtection="1">
      <alignment vertical="center" wrapText="1"/>
    </xf>
    <xf numFmtId="0" fontId="66" fillId="5" borderId="85" xfId="0" applyFont="1" applyFill="1" applyBorder="1" applyAlignment="1" applyProtection="1">
      <alignment horizontal="left" vertical="center"/>
      <protection locked="0"/>
    </xf>
    <xf numFmtId="0" fontId="66" fillId="5" borderId="88" xfId="0" applyFont="1" applyFill="1" applyBorder="1" applyAlignment="1" applyProtection="1">
      <alignment vertical="center" wrapText="1"/>
    </xf>
    <xf numFmtId="0" fontId="66" fillId="5" borderId="119" xfId="0" applyFont="1" applyFill="1" applyBorder="1" applyAlignment="1" applyProtection="1">
      <alignment vertical="center" wrapText="1"/>
    </xf>
    <xf numFmtId="0" fontId="66" fillId="6" borderId="87" xfId="0" applyFont="1" applyFill="1" applyBorder="1" applyAlignment="1" applyProtection="1">
      <alignment vertical="center" wrapText="1"/>
    </xf>
    <xf numFmtId="0" fontId="66" fillId="6" borderId="2" xfId="0" applyFont="1" applyFill="1" applyBorder="1" applyAlignment="1" applyProtection="1">
      <alignment horizontal="left" vertical="center"/>
    </xf>
    <xf numFmtId="0" fontId="66" fillId="2" borderId="7" xfId="0" applyFont="1" applyFill="1" applyBorder="1" applyAlignment="1" applyProtection="1">
      <alignment horizontal="center" vertical="center" wrapText="1"/>
      <protection locked="0"/>
    </xf>
    <xf numFmtId="0" fontId="66" fillId="7" borderId="60" xfId="0" applyFont="1" applyFill="1" applyBorder="1" applyAlignment="1" applyProtection="1">
      <alignment vertical="center" wrapText="1"/>
      <protection locked="0"/>
    </xf>
    <xf numFmtId="49" fontId="66" fillId="6" borderId="2" xfId="0" applyNumberFormat="1" applyFont="1" applyFill="1" applyBorder="1" applyAlignment="1" applyProtection="1">
      <alignment horizontal="left" vertical="center" wrapText="1"/>
    </xf>
    <xf numFmtId="49" fontId="232" fillId="0" borderId="4" xfId="0" applyNumberFormat="1" applyFont="1" applyFill="1" applyBorder="1" applyAlignment="1" applyProtection="1">
      <alignment horizontal="left" vertical="center"/>
      <protection locked="0"/>
    </xf>
    <xf numFmtId="0" fontId="66" fillId="0" borderId="60" xfId="0" applyFont="1" applyFill="1" applyBorder="1" applyAlignment="1" applyProtection="1">
      <alignment vertical="center" wrapText="1"/>
    </xf>
    <xf numFmtId="0" fontId="66" fillId="7" borderId="60" xfId="0" applyFont="1" applyFill="1" applyBorder="1" applyAlignment="1" applyProtection="1">
      <alignment horizontal="center" vertical="center" wrapText="1"/>
    </xf>
    <xf numFmtId="0" fontId="66" fillId="6" borderId="46" xfId="0" applyFont="1" applyFill="1" applyBorder="1" applyAlignment="1" applyProtection="1">
      <alignment horizontal="left" vertical="center"/>
    </xf>
    <xf numFmtId="0" fontId="66" fillId="5" borderId="13" xfId="0" applyFont="1" applyFill="1" applyBorder="1" applyAlignment="1" applyProtection="1">
      <alignment horizontal="center" vertical="center" wrapText="1"/>
      <protection locked="0"/>
    </xf>
    <xf numFmtId="0" fontId="66" fillId="7" borderId="54" xfId="0" applyFont="1" applyFill="1" applyBorder="1" applyAlignment="1" applyProtection="1">
      <alignment vertical="center" wrapText="1"/>
      <protection locked="0"/>
    </xf>
    <xf numFmtId="0" fontId="66" fillId="7" borderId="3" xfId="0" applyFont="1" applyFill="1" applyBorder="1" applyAlignment="1" applyProtection="1">
      <alignment vertical="center" wrapText="1"/>
    </xf>
    <xf numFmtId="49" fontId="66" fillId="6" borderId="13" xfId="0" applyNumberFormat="1" applyFont="1" applyFill="1" applyBorder="1" applyAlignment="1" applyProtection="1">
      <alignment horizontal="left" vertical="center" wrapText="1"/>
    </xf>
    <xf numFmtId="0" fontId="49" fillId="6" borderId="1" xfId="0" applyFont="1" applyFill="1" applyBorder="1" applyAlignment="1" applyProtection="1">
      <alignment vertical="center" wrapText="1"/>
    </xf>
    <xf numFmtId="49" fontId="49" fillId="6" borderId="1" xfId="0" applyNumberFormat="1" applyFont="1" applyFill="1" applyBorder="1" applyAlignment="1" applyProtection="1">
      <alignment horizontal="center" vertical="center" wrapText="1"/>
    </xf>
    <xf numFmtId="0" fontId="66" fillId="6" borderId="15" xfId="0" applyFont="1" applyFill="1" applyBorder="1" applyAlignment="1" applyProtection="1">
      <alignment horizontal="left" vertical="center"/>
    </xf>
    <xf numFmtId="0" fontId="66" fillId="2" borderId="15" xfId="0" applyFont="1" applyFill="1" applyBorder="1" applyAlignment="1" applyProtection="1">
      <alignment horizontal="left" vertical="center" wrapText="1"/>
    </xf>
    <xf numFmtId="0" fontId="66" fillId="6" borderId="60" xfId="0" applyFont="1" applyFill="1" applyBorder="1" applyAlignment="1" applyProtection="1">
      <alignment vertical="center" wrapText="1"/>
    </xf>
    <xf numFmtId="184" fontId="66" fillId="0" borderId="1" xfId="0" applyNumberFormat="1" applyFont="1" applyFill="1" applyBorder="1" applyAlignment="1" applyProtection="1">
      <alignment horizontal="center" vertical="center" shrinkToFit="1"/>
      <protection locked="0"/>
    </xf>
    <xf numFmtId="177" fontId="66" fillId="6" borderId="58" xfId="0" applyNumberFormat="1" applyFont="1" applyFill="1" applyBorder="1" applyAlignment="1" applyProtection="1">
      <alignment horizontal="center" vertical="center" wrapText="1"/>
    </xf>
    <xf numFmtId="0" fontId="66" fillId="2" borderId="2" xfId="0" applyFont="1" applyFill="1" applyBorder="1" applyAlignment="1" applyProtection="1">
      <alignment horizontal="left" vertical="center" wrapText="1"/>
    </xf>
    <xf numFmtId="179" fontId="66" fillId="6" borderId="58"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66" fillId="6" borderId="15" xfId="0" applyNumberFormat="1" applyFont="1" applyFill="1" applyBorder="1" applyAlignment="1" applyProtection="1">
      <alignment horizontal="left" vertical="center" wrapText="1"/>
    </xf>
    <xf numFmtId="0" fontId="66" fillId="6" borderId="13" xfId="0" applyFont="1" applyFill="1" applyBorder="1" applyAlignment="1" applyProtection="1">
      <alignment horizontal="left" vertical="center"/>
    </xf>
    <xf numFmtId="0" fontId="66" fillId="6" borderId="1" xfId="0" applyFont="1" applyFill="1" applyBorder="1" applyAlignment="1" applyProtection="1">
      <alignment horizontal="left" vertical="center" wrapText="1"/>
    </xf>
    <xf numFmtId="179" fontId="66" fillId="6" borderId="58" xfId="0" applyNumberFormat="1" applyFont="1" applyFill="1" applyBorder="1" applyAlignment="1" applyProtection="1">
      <alignment horizontal="left" vertical="center"/>
    </xf>
    <xf numFmtId="0" fontId="66" fillId="5" borderId="77" xfId="0" applyFont="1" applyFill="1" applyBorder="1" applyAlignment="1" applyProtection="1">
      <alignment horizontal="left" vertical="center" wrapText="1"/>
      <protection locked="0"/>
    </xf>
    <xf numFmtId="0" fontId="66" fillId="6" borderId="78" xfId="0" applyFont="1" applyFill="1" applyBorder="1" applyAlignment="1" applyProtection="1">
      <alignment horizontal="left" vertical="center" wrapText="1"/>
    </xf>
    <xf numFmtId="0" fontId="52" fillId="5" borderId="15" xfId="0" applyFont="1" applyFill="1" applyBorder="1" applyAlignment="1" applyProtection="1">
      <alignment horizontal="center" vertical="center" wrapText="1"/>
      <protection locked="0"/>
    </xf>
    <xf numFmtId="0" fontId="52" fillId="6" borderId="74" xfId="0" applyFont="1" applyFill="1" applyBorder="1" applyAlignment="1" applyProtection="1">
      <alignment horizontal="center" vertical="center" wrapText="1"/>
    </xf>
    <xf numFmtId="0" fontId="52" fillId="5" borderId="74" xfId="0" applyFont="1" applyFill="1" applyBorder="1" applyAlignment="1" applyProtection="1">
      <alignment horizontal="center" vertical="center" wrapText="1"/>
      <protection locked="0"/>
    </xf>
    <xf numFmtId="0" fontId="122" fillId="6" borderId="74" xfId="0" applyFont="1" applyFill="1" applyBorder="1" applyAlignment="1" applyProtection="1">
      <alignment vertical="center" wrapText="1"/>
    </xf>
    <xf numFmtId="0" fontId="52" fillId="5" borderId="76" xfId="0" applyFont="1" applyFill="1" applyBorder="1" applyAlignment="1" applyProtection="1">
      <alignment horizontal="center" vertical="center" wrapText="1"/>
      <protection locked="0"/>
    </xf>
    <xf numFmtId="0" fontId="52" fillId="6" borderId="5" xfId="0" applyFont="1" applyFill="1" applyBorder="1" applyAlignment="1" applyProtection="1">
      <alignment horizontal="right" vertical="center" wrapText="1"/>
    </xf>
    <xf numFmtId="0" fontId="52" fillId="6" borderId="27" xfId="0" applyFont="1" applyFill="1" applyBorder="1" applyAlignment="1" applyProtection="1">
      <alignment vertical="center"/>
    </xf>
    <xf numFmtId="0" fontId="60" fillId="5" borderId="23" xfId="0" applyFont="1" applyFill="1" applyBorder="1" applyAlignment="1" applyProtection="1">
      <alignment horizontal="center" vertical="center" wrapText="1"/>
      <protection locked="0"/>
    </xf>
    <xf numFmtId="0" fontId="52" fillId="5" borderId="24" xfId="0" applyFont="1" applyFill="1" applyBorder="1" applyAlignment="1" applyProtection="1">
      <alignment horizontal="center" vertical="center" wrapText="1"/>
      <protection locked="0"/>
    </xf>
    <xf numFmtId="0" fontId="182" fillId="0" borderId="23" xfId="0" applyFont="1" applyBorder="1" applyAlignment="1" applyProtection="1">
      <alignment vertical="center" wrapText="1"/>
      <protection locked="0"/>
    </xf>
    <xf numFmtId="0" fontId="52" fillId="5" borderId="5" xfId="0" applyFont="1" applyFill="1" applyBorder="1" applyAlignment="1" applyProtection="1">
      <alignment horizontal="center" vertical="center" wrapText="1"/>
      <protection locked="0"/>
    </xf>
    <xf numFmtId="0" fontId="52" fillId="0" borderId="86" xfId="0" applyFont="1" applyBorder="1" applyAlignment="1" applyProtection="1">
      <alignment vertical="center" wrapText="1"/>
      <protection locked="0"/>
    </xf>
    <xf numFmtId="0" fontId="60" fillId="5" borderId="23" xfId="0" applyFont="1" applyFill="1" applyBorder="1" applyAlignment="1" applyProtection="1">
      <alignment horizontal="center" vertical="center" wrapText="1" shrinkToFit="1"/>
      <protection locked="0"/>
    </xf>
    <xf numFmtId="0" fontId="66" fillId="6" borderId="56" xfId="0" applyFont="1" applyFill="1" applyBorder="1" applyAlignment="1" applyProtection="1">
      <alignment vertical="center" wrapText="1"/>
    </xf>
    <xf numFmtId="0" fontId="52" fillId="6" borderId="18" xfId="0" applyFont="1" applyFill="1" applyBorder="1" applyAlignment="1" applyProtection="1">
      <alignment horizontal="right" vertical="center" wrapText="1"/>
    </xf>
    <xf numFmtId="184" fontId="182" fillId="0" borderId="24" xfId="0" applyNumberFormat="1" applyFont="1" applyFill="1" applyBorder="1" applyAlignment="1" applyProtection="1">
      <alignment horizontal="left" vertical="center" shrinkToFit="1"/>
      <protection locked="0"/>
    </xf>
    <xf numFmtId="0" fontId="52" fillId="6" borderId="16" xfId="0" applyFont="1" applyFill="1" applyBorder="1" applyAlignment="1" applyProtection="1">
      <alignment horizontal="right" vertical="center" wrapText="1"/>
    </xf>
    <xf numFmtId="184" fontId="182" fillId="0" borderId="21" xfId="0" applyNumberFormat="1" applyFont="1" applyFill="1" applyBorder="1" applyAlignment="1" applyProtection="1">
      <alignment horizontal="left" vertical="center" shrinkToFit="1"/>
      <protection locked="0"/>
    </xf>
    <xf numFmtId="0" fontId="52" fillId="6" borderId="58" xfId="0" applyFont="1" applyFill="1" applyBorder="1" applyAlignment="1" applyProtection="1">
      <alignment horizontal="center" vertical="center" wrapText="1"/>
    </xf>
    <xf numFmtId="0" fontId="52" fillId="6" borderId="18" xfId="0" applyFont="1" applyFill="1" applyBorder="1" applyAlignment="1" applyProtection="1">
      <alignment horizontal="left" vertical="center" wrapText="1"/>
    </xf>
    <xf numFmtId="0" fontId="182" fillId="0" borderId="24" xfId="0" applyFont="1" applyFill="1" applyBorder="1" applyAlignment="1" applyProtection="1">
      <alignment horizontal="left" vertical="center" wrapText="1"/>
      <protection locked="0"/>
    </xf>
    <xf numFmtId="0" fontId="182" fillId="0" borderId="48" xfId="0" applyFont="1" applyFill="1" applyBorder="1" applyAlignment="1" applyProtection="1">
      <alignment horizontal="left" vertical="center" wrapText="1"/>
      <protection locked="0"/>
    </xf>
    <xf numFmtId="0" fontId="52" fillId="6" borderId="89" xfId="0" applyFont="1" applyFill="1" applyBorder="1" applyAlignment="1" applyProtection="1">
      <alignment horizontal="left" vertical="center" wrapText="1"/>
    </xf>
    <xf numFmtId="0" fontId="52" fillId="6" borderId="91" xfId="0" applyFont="1" applyFill="1" applyBorder="1" applyAlignment="1" applyProtection="1">
      <alignment horizontal="right" vertical="center" wrapText="1"/>
    </xf>
    <xf numFmtId="0" fontId="182" fillId="0" borderId="79" xfId="0" applyFont="1" applyFill="1" applyBorder="1" applyAlignment="1" applyProtection="1">
      <alignment horizontal="left" vertical="center" wrapText="1"/>
      <protection locked="0"/>
    </xf>
    <xf numFmtId="0" fontId="52" fillId="6" borderId="89" xfId="0" applyFont="1" applyFill="1" applyBorder="1" applyAlignment="1" applyProtection="1">
      <alignment horizontal="right" vertical="center" wrapText="1"/>
    </xf>
    <xf numFmtId="0" fontId="182" fillId="0" borderId="90" xfId="0" applyFont="1" applyFill="1" applyBorder="1" applyAlignment="1" applyProtection="1">
      <alignment horizontal="left" vertical="center" wrapText="1"/>
      <protection locked="0"/>
    </xf>
    <xf numFmtId="0" fontId="66" fillId="6" borderId="92" xfId="0" applyFont="1" applyFill="1" applyBorder="1" applyAlignment="1" applyProtection="1">
      <alignment vertical="center" wrapText="1"/>
    </xf>
    <xf numFmtId="0" fontId="66" fillId="2" borderId="4" xfId="0" applyFont="1" applyFill="1" applyBorder="1" applyAlignment="1" applyProtection="1">
      <alignment vertical="center"/>
      <protection locked="0"/>
    </xf>
    <xf numFmtId="0" fontId="66" fillId="2" borderId="7" xfId="0" applyFont="1" applyFill="1" applyBorder="1" applyAlignment="1" applyProtection="1">
      <alignment vertical="center" wrapText="1"/>
    </xf>
    <xf numFmtId="0" fontId="66" fillId="2" borderId="7" xfId="0" applyFont="1" applyFill="1" applyBorder="1" applyAlignment="1" applyProtection="1">
      <alignment horizontal="left" vertical="center"/>
      <protection locked="0"/>
    </xf>
    <xf numFmtId="0" fontId="66" fillId="0" borderId="2" xfId="0" applyFont="1" applyBorder="1" applyAlignment="1" applyProtection="1">
      <alignment horizontal="left" vertical="center" wrapText="1"/>
      <protection locked="0"/>
    </xf>
    <xf numFmtId="49" fontId="49" fillId="6" borderId="58" xfId="0" applyNumberFormat="1" applyFont="1" applyFill="1" applyBorder="1" applyAlignment="1" applyProtection="1">
      <alignment horizontal="center" vertical="center" wrapText="1"/>
    </xf>
    <xf numFmtId="0" fontId="66" fillId="2" borderId="5" xfId="0" applyFont="1" applyFill="1" applyBorder="1" applyAlignment="1" applyProtection="1">
      <alignment vertical="center"/>
      <protection locked="0"/>
    </xf>
    <xf numFmtId="0" fontId="66" fillId="2" borderId="3" xfId="0" applyFont="1" applyFill="1" applyBorder="1" applyAlignment="1" applyProtection="1">
      <alignment vertical="center"/>
    </xf>
    <xf numFmtId="0" fontId="66" fillId="5" borderId="3" xfId="0" applyFont="1" applyFill="1" applyBorder="1" applyAlignment="1" applyProtection="1">
      <alignment horizontal="center" vertical="center" wrapText="1"/>
      <protection locked="0"/>
    </xf>
    <xf numFmtId="0" fontId="66" fillId="6" borderId="5" xfId="0" applyFont="1" applyFill="1" applyBorder="1" applyAlignment="1" applyProtection="1">
      <alignment horizontal="left" vertical="center"/>
    </xf>
    <xf numFmtId="0" fontId="66" fillId="6" borderId="3" xfId="0" applyFont="1" applyFill="1" applyBorder="1" applyAlignment="1" applyProtection="1">
      <alignment vertical="center" wrapText="1"/>
    </xf>
    <xf numFmtId="0" fontId="66" fillId="0" borderId="1" xfId="0" applyFont="1" applyBorder="1" applyAlignment="1" applyProtection="1">
      <alignment horizontal="left" vertical="center"/>
      <protection locked="0"/>
    </xf>
    <xf numFmtId="0" fontId="66" fillId="5" borderId="22" xfId="0" applyFont="1" applyFill="1" applyBorder="1" applyAlignment="1" applyProtection="1">
      <alignment horizontal="center" vertical="center" wrapText="1"/>
      <protection locked="0"/>
    </xf>
    <xf numFmtId="0" fontId="66" fillId="6" borderId="22" xfId="0" applyFont="1" applyFill="1" applyBorder="1" applyAlignment="1" applyProtection="1">
      <alignment vertical="center" wrapText="1"/>
    </xf>
    <xf numFmtId="0" fontId="66" fillId="0" borderId="13" xfId="0" applyFont="1" applyBorder="1" applyAlignment="1" applyProtection="1">
      <alignment horizontal="left" vertical="center"/>
      <protection locked="0"/>
    </xf>
    <xf numFmtId="0" fontId="63" fillId="5" borderId="1" xfId="0" applyFont="1" applyFill="1" applyBorder="1" applyAlignment="1" applyProtection="1">
      <alignment horizontal="center" vertical="center" wrapText="1"/>
      <protection locked="0"/>
    </xf>
    <xf numFmtId="193" fontId="49" fillId="6" borderId="1" xfId="0" applyNumberFormat="1" applyFont="1" applyFill="1" applyBorder="1" applyAlignment="1" applyProtection="1">
      <alignment vertical="center" wrapText="1"/>
    </xf>
    <xf numFmtId="0" fontId="66" fillId="6" borderId="13" xfId="0" applyNumberFormat="1" applyFont="1" applyFill="1" applyBorder="1" applyAlignment="1" applyProtection="1">
      <alignment vertical="center" wrapText="1"/>
    </xf>
    <xf numFmtId="0" fontId="66" fillId="6" borderId="1" xfId="0" applyNumberFormat="1" applyFont="1" applyFill="1" applyBorder="1" applyAlignment="1" applyProtection="1">
      <alignment horizontal="center" vertical="center" wrapText="1"/>
    </xf>
    <xf numFmtId="0" fontId="66" fillId="6" borderId="58" xfId="0" applyNumberFormat="1" applyFont="1" applyFill="1" applyBorder="1" applyAlignment="1" applyProtection="1">
      <alignment vertical="center" wrapText="1"/>
    </xf>
    <xf numFmtId="0" fontId="66" fillId="0" borderId="1" xfId="0" applyNumberFormat="1" applyFont="1" applyFill="1" applyBorder="1" applyAlignment="1" applyProtection="1">
      <alignment horizontal="center" vertical="center" wrapText="1"/>
      <protection locked="0"/>
    </xf>
    <xf numFmtId="0" fontId="66" fillId="6" borderId="15" xfId="0" applyNumberFormat="1" applyFont="1" applyFill="1" applyBorder="1" applyAlignment="1" applyProtection="1">
      <alignment vertical="center" wrapText="1"/>
    </xf>
    <xf numFmtId="0" fontId="66" fillId="5" borderId="1" xfId="0" applyNumberFormat="1" applyFont="1" applyFill="1" applyBorder="1" applyAlignment="1" applyProtection="1">
      <alignment horizontal="center" vertical="center" wrapText="1"/>
      <protection locked="0"/>
    </xf>
    <xf numFmtId="0" fontId="66" fillId="6" borderId="78" xfId="0" applyNumberFormat="1" applyFont="1" applyFill="1" applyBorder="1" applyAlignment="1" applyProtection="1">
      <alignment vertical="center" wrapText="1"/>
    </xf>
    <xf numFmtId="0" fontId="66" fillId="5" borderId="78" xfId="0" applyNumberFormat="1" applyFont="1" applyFill="1" applyBorder="1" applyAlignment="1" applyProtection="1">
      <alignment horizontal="center" vertical="center" wrapText="1"/>
      <protection locked="0"/>
    </xf>
    <xf numFmtId="0" fontId="66" fillId="0" borderId="78" xfId="0" applyNumberFormat="1" applyFont="1" applyFill="1" applyBorder="1" applyAlignment="1" applyProtection="1">
      <alignment horizontal="center" vertical="center" wrapText="1"/>
      <protection locked="0"/>
    </xf>
    <xf numFmtId="0" fontId="109" fillId="6" borderId="152" xfId="0" applyFont="1" applyFill="1" applyBorder="1" applyAlignment="1" applyProtection="1">
      <alignment vertical="center"/>
    </xf>
    <xf numFmtId="0" fontId="51" fillId="6" borderId="152" xfId="0" applyFont="1" applyFill="1" applyBorder="1" applyAlignment="1" applyProtection="1">
      <alignment vertical="center" wrapText="1"/>
    </xf>
    <xf numFmtId="0" fontId="51" fillId="6" borderId="153" xfId="0" applyFont="1" applyFill="1" applyBorder="1" applyAlignment="1" applyProtection="1">
      <alignment vertical="center" wrapText="1"/>
    </xf>
    <xf numFmtId="0" fontId="51" fillId="6" borderId="152" xfId="0" applyFont="1" applyFill="1" applyBorder="1" applyAlignment="1" applyProtection="1">
      <alignment horizontal="center" vertical="center" wrapText="1"/>
    </xf>
    <xf numFmtId="0" fontId="51" fillId="0" borderId="152" xfId="0" applyFont="1" applyBorder="1" applyAlignment="1" applyProtection="1">
      <alignment vertical="center" wrapText="1"/>
    </xf>
    <xf numFmtId="0" fontId="49" fillId="6" borderId="0" xfId="0" applyFont="1" applyFill="1" applyBorder="1" applyAlignment="1" applyProtection="1">
      <alignment horizontal="center" vertical="center" wrapText="1"/>
    </xf>
    <xf numFmtId="0" fontId="49" fillId="6" borderId="54" xfId="0" applyFont="1" applyFill="1" applyBorder="1" applyAlignment="1" applyProtection="1">
      <alignment vertical="center" wrapText="1"/>
    </xf>
    <xf numFmtId="0" fontId="49" fillId="6" borderId="3" xfId="0" applyFont="1" applyFill="1" applyBorder="1" applyAlignment="1" applyProtection="1">
      <alignment vertical="center" wrapText="1"/>
    </xf>
    <xf numFmtId="49" fontId="49" fillId="6" borderId="5" xfId="0" applyNumberFormat="1" applyFont="1" applyFill="1" applyBorder="1" applyAlignment="1" applyProtection="1">
      <alignment horizontal="center" vertical="center" wrapText="1"/>
    </xf>
    <xf numFmtId="0" fontId="52" fillId="0" borderId="1" xfId="0" applyFont="1" applyBorder="1" applyAlignment="1" applyProtection="1">
      <alignment vertical="center" wrapText="1"/>
      <protection locked="0"/>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0" fontId="49" fillId="0" borderId="0" xfId="0" applyFont="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49" fillId="0" borderId="0" xfId="0" applyFont="1" applyAlignment="1" applyProtection="1">
      <alignment horizontal="center" vertical="center" wrapText="1"/>
    </xf>
    <xf numFmtId="49" fontId="49" fillId="0" borderId="58" xfId="0" applyNumberFormat="1" applyFont="1" applyBorder="1" applyAlignment="1" applyProtection="1">
      <alignment horizontal="center" vertical="center" wrapText="1"/>
    </xf>
    <xf numFmtId="49" fontId="49" fillId="0" borderId="0" xfId="0" applyNumberFormat="1" applyFont="1" applyAlignment="1" applyProtection="1">
      <alignment horizontal="center" vertical="center" wrapText="1"/>
    </xf>
    <xf numFmtId="0" fontId="111" fillId="6" borderId="0" xfId="0" applyFont="1" applyFill="1" applyAlignment="1" applyProtection="1">
      <alignment horizontal="left" vertical="center"/>
    </xf>
    <xf numFmtId="0" fontId="109" fillId="6" borderId="0" xfId="0" applyFont="1" applyFill="1" applyAlignment="1" applyProtection="1">
      <alignment horizontal="left" vertical="center"/>
    </xf>
    <xf numFmtId="0" fontId="52" fillId="6" borderId="0" xfId="0" applyFont="1" applyFill="1" applyAlignment="1" applyProtection="1">
      <alignment horizontal="center" vertical="center" wrapText="1"/>
    </xf>
    <xf numFmtId="0" fontId="52" fillId="6" borderId="0" xfId="0" applyFont="1" applyFill="1" applyBorder="1" applyAlignment="1" applyProtection="1">
      <alignment horizontal="center" vertical="center"/>
    </xf>
    <xf numFmtId="0" fontId="52" fillId="6" borderId="0" xfId="0" applyFont="1" applyFill="1" applyBorder="1" applyAlignment="1" applyProtection="1">
      <alignment horizontal="center" vertical="center" wrapText="1"/>
    </xf>
    <xf numFmtId="0" fontId="52" fillId="0" borderId="0" xfId="0" applyFont="1" applyAlignment="1" applyProtection="1">
      <alignment horizontal="center" vertical="center" wrapText="1"/>
    </xf>
    <xf numFmtId="0" fontId="52" fillId="2" borderId="1" xfId="0" applyFont="1" applyFill="1" applyBorder="1" applyAlignment="1" applyProtection="1">
      <alignment horizontal="center" vertical="center" wrapText="1"/>
      <protection locked="0"/>
    </xf>
    <xf numFmtId="0" fontId="53" fillId="6" borderId="4" xfId="0" applyFont="1" applyFill="1" applyBorder="1" applyAlignment="1" applyProtection="1">
      <alignment horizontal="left" vertical="center"/>
    </xf>
    <xf numFmtId="179" fontId="52" fillId="6" borderId="0" xfId="0" applyNumberFormat="1" applyFont="1" applyFill="1" applyBorder="1" applyAlignment="1" applyProtection="1">
      <alignment horizontal="center" vertical="center" wrapText="1"/>
    </xf>
    <xf numFmtId="179" fontId="53" fillId="6" borderId="0" xfId="0" applyNumberFormat="1" applyFont="1" applyFill="1" applyBorder="1" applyAlignment="1" applyProtection="1">
      <alignment horizontal="center" vertical="center" wrapText="1"/>
    </xf>
    <xf numFmtId="176" fontId="52" fillId="6" borderId="0" xfId="0" applyNumberFormat="1" applyFont="1" applyFill="1" applyAlignment="1" applyProtection="1">
      <alignment horizontal="center" vertical="center" wrapText="1"/>
    </xf>
    <xf numFmtId="0" fontId="52" fillId="0" borderId="0" xfId="0" applyFont="1" applyFill="1" applyAlignment="1" applyProtection="1">
      <alignment horizontal="center" vertical="center" wrapText="1"/>
    </xf>
    <xf numFmtId="176" fontId="52" fillId="6" borderId="54" xfId="0" applyNumberFormat="1" applyFont="1" applyFill="1" applyBorder="1" applyAlignment="1" applyProtection="1">
      <alignment horizontal="center" vertical="center" wrapText="1"/>
    </xf>
    <xf numFmtId="176" fontId="52" fillId="6" borderId="3" xfId="0" applyNumberFormat="1" applyFont="1" applyFill="1" applyBorder="1" applyAlignment="1" applyProtection="1">
      <alignment horizontal="center" vertical="center" wrapText="1"/>
    </xf>
    <xf numFmtId="176" fontId="52" fillId="6" borderId="5" xfId="0" applyNumberFormat="1" applyFont="1" applyFill="1" applyBorder="1" applyAlignment="1" applyProtection="1">
      <alignment horizontal="center" vertical="center" wrapText="1"/>
    </xf>
    <xf numFmtId="176" fontId="52" fillId="0" borderId="0" xfId="0" applyNumberFormat="1" applyFont="1" applyAlignment="1" applyProtection="1">
      <alignment horizontal="center" vertical="center" wrapText="1"/>
    </xf>
    <xf numFmtId="0" fontId="52" fillId="6" borderId="46" xfId="0" applyFont="1" applyFill="1" applyBorder="1" applyAlignment="1" applyProtection="1">
      <alignment horizontal="left" vertical="center"/>
    </xf>
    <xf numFmtId="0" fontId="52" fillId="6" borderId="36" xfId="0"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2" fillId="6" borderId="59" xfId="0" applyFont="1" applyFill="1" applyBorder="1" applyAlignment="1" applyProtection="1">
      <alignment horizontal="center" vertical="center" wrapText="1"/>
    </xf>
    <xf numFmtId="0" fontId="52" fillId="6" borderId="58" xfId="0" applyFont="1" applyFill="1" applyBorder="1" applyAlignment="1" applyProtection="1">
      <alignment horizontal="center" vertical="center"/>
    </xf>
    <xf numFmtId="0" fontId="52" fillId="6" borderId="46" xfId="0" applyFont="1" applyFill="1" applyBorder="1" applyAlignment="1" applyProtection="1">
      <alignment horizontal="center" vertical="center"/>
    </xf>
    <xf numFmtId="179" fontId="52" fillId="6" borderId="5" xfId="0" applyNumberFormat="1" applyFont="1" applyFill="1" applyBorder="1" applyAlignment="1" applyProtection="1">
      <alignment horizontal="left" vertical="center"/>
    </xf>
    <xf numFmtId="0" fontId="53" fillId="6" borderId="54" xfId="0" applyFont="1" applyFill="1" applyBorder="1" applyAlignment="1" applyProtection="1">
      <alignment horizontal="center" vertical="center"/>
    </xf>
    <xf numFmtId="179" fontId="52" fillId="6" borderId="54" xfId="0" applyNumberFormat="1" applyFont="1" applyFill="1" applyBorder="1" applyAlignment="1" applyProtection="1">
      <alignment horizontal="center" vertical="center"/>
    </xf>
    <xf numFmtId="179" fontId="52" fillId="6" borderId="3" xfId="0" applyNumberFormat="1" applyFont="1" applyFill="1" applyBorder="1" applyAlignment="1" applyProtection="1">
      <alignment horizontal="center" vertical="center"/>
    </xf>
    <xf numFmtId="0" fontId="53" fillId="6" borderId="36" xfId="0" applyFont="1" applyFill="1" applyBorder="1" applyAlignment="1" applyProtection="1">
      <alignment horizontal="center" vertical="center"/>
    </xf>
    <xf numFmtId="0" fontId="52" fillId="0" borderId="0" xfId="0" applyFont="1" applyAlignment="1" applyProtection="1">
      <alignment horizontal="center" vertical="center"/>
    </xf>
    <xf numFmtId="179" fontId="52" fillId="6" borderId="0" xfId="0" applyNumberFormat="1" applyFont="1" applyFill="1" applyBorder="1" applyAlignment="1" applyProtection="1">
      <alignment horizontal="center" vertical="center"/>
    </xf>
    <xf numFmtId="0" fontId="52" fillId="2" borderId="4" xfId="0" applyFont="1" applyFill="1" applyBorder="1" applyAlignment="1" applyProtection="1">
      <alignment horizontal="left" vertical="center"/>
      <protection locked="0"/>
    </xf>
    <xf numFmtId="0" fontId="53" fillId="6" borderId="54" xfId="0" applyFont="1" applyFill="1" applyBorder="1" applyAlignment="1" applyProtection="1">
      <alignment horizontal="left" vertical="center"/>
    </xf>
    <xf numFmtId="0" fontId="52" fillId="6" borderId="7" xfId="0" applyFont="1" applyFill="1" applyBorder="1" applyAlignment="1" applyProtection="1">
      <alignment horizontal="left" vertical="center"/>
    </xf>
    <xf numFmtId="179" fontId="52" fillId="6" borderId="4" xfId="0" applyNumberFormat="1" applyFont="1" applyFill="1" applyBorder="1" applyAlignment="1" applyProtection="1">
      <alignment horizontal="center" vertical="center"/>
    </xf>
    <xf numFmtId="0" fontId="53" fillId="6" borderId="60" xfId="0" applyFont="1" applyFill="1" applyBorder="1" applyAlignment="1" applyProtection="1">
      <alignment horizontal="center" vertical="center"/>
    </xf>
    <xf numFmtId="179" fontId="52" fillId="6" borderId="7" xfId="0" applyNumberFormat="1" applyFont="1" applyFill="1" applyBorder="1" applyAlignment="1" applyProtection="1">
      <alignment horizontal="center" vertical="center"/>
    </xf>
    <xf numFmtId="0" fontId="52" fillId="2" borderId="5" xfId="0" applyFont="1" applyFill="1" applyBorder="1" applyAlignment="1" applyProtection="1">
      <alignment horizontal="left" vertical="center"/>
      <protection locked="0"/>
    </xf>
    <xf numFmtId="0" fontId="52" fillId="6" borderId="3" xfId="0" applyFont="1" applyFill="1" applyBorder="1" applyAlignment="1" applyProtection="1">
      <alignment horizontal="right" vertical="center"/>
    </xf>
    <xf numFmtId="179" fontId="52" fillId="6" borderId="35" xfId="0" applyNumberFormat="1" applyFont="1" applyFill="1" applyBorder="1" applyAlignment="1" applyProtection="1">
      <alignment horizontal="center" vertical="center"/>
    </xf>
    <xf numFmtId="0" fontId="52" fillId="6" borderId="7" xfId="0" applyFont="1" applyFill="1" applyBorder="1" applyAlignment="1" applyProtection="1">
      <alignment horizontal="center" vertical="center"/>
    </xf>
    <xf numFmtId="0" fontId="52" fillId="6" borderId="8" xfId="0" applyFont="1" applyFill="1" applyBorder="1" applyAlignment="1" applyProtection="1">
      <alignment horizontal="center" vertical="center"/>
    </xf>
    <xf numFmtId="0" fontId="52" fillId="2" borderId="54" xfId="0" applyFont="1" applyFill="1" applyBorder="1" applyAlignment="1" applyProtection="1">
      <alignment horizontal="left" vertical="center"/>
      <protection locked="0"/>
    </xf>
    <xf numFmtId="0" fontId="53" fillId="6" borderId="3" xfId="0" applyFont="1" applyFill="1" applyBorder="1" applyAlignment="1" applyProtection="1">
      <alignment horizontal="left" vertical="center"/>
    </xf>
    <xf numFmtId="0" fontId="122" fillId="6" borderId="5" xfId="0" applyFont="1" applyFill="1" applyBorder="1" applyAlignment="1" applyProtection="1">
      <alignment horizontal="left" vertical="center"/>
    </xf>
    <xf numFmtId="0" fontId="244" fillId="6" borderId="3" xfId="0" applyFont="1" applyFill="1" applyBorder="1" applyAlignment="1" applyProtection="1">
      <alignment horizontal="right" vertical="center"/>
    </xf>
    <xf numFmtId="0" fontId="52" fillId="6" borderId="61" xfId="0" applyFont="1" applyFill="1" applyBorder="1" applyAlignment="1" applyProtection="1">
      <alignment horizontal="center" vertical="center"/>
    </xf>
    <xf numFmtId="0" fontId="52" fillId="6" borderId="4" xfId="0" applyFont="1" applyFill="1" applyBorder="1" applyAlignment="1" applyProtection="1">
      <alignment horizontal="center" vertical="center" wrapText="1"/>
    </xf>
    <xf numFmtId="179" fontId="52" fillId="6" borderId="7" xfId="0" applyNumberFormat="1" applyFont="1" applyFill="1" applyBorder="1" applyAlignment="1" applyProtection="1">
      <alignment horizontal="center" vertical="center" wrapText="1"/>
    </xf>
    <xf numFmtId="179" fontId="52" fillId="6" borderId="2" xfId="0" applyNumberFormat="1" applyFont="1" applyFill="1" applyBorder="1" applyAlignment="1" applyProtection="1">
      <alignment horizontal="center" vertical="center" wrapText="1"/>
    </xf>
    <xf numFmtId="179" fontId="52" fillId="6" borderId="4" xfId="0" applyNumberFormat="1" applyFont="1" applyFill="1" applyBorder="1" applyAlignment="1" applyProtection="1">
      <alignment horizontal="center" vertical="center" wrapText="1"/>
    </xf>
    <xf numFmtId="0" fontId="52" fillId="6" borderId="35" xfId="0" applyFont="1" applyFill="1" applyBorder="1" applyAlignment="1" applyProtection="1">
      <alignment horizontal="center" vertical="center" wrapText="1"/>
    </xf>
    <xf numFmtId="179" fontId="52" fillId="6" borderId="1" xfId="0" applyNumberFormat="1" applyFont="1" applyFill="1" applyBorder="1" applyAlignment="1" applyProtection="1">
      <alignment horizontal="center" vertical="center"/>
    </xf>
    <xf numFmtId="0" fontId="52" fillId="2" borderId="2" xfId="0" applyFont="1" applyFill="1" applyBorder="1" applyAlignment="1" applyProtection="1">
      <alignment horizontal="center" vertical="center" wrapText="1"/>
      <protection locked="0"/>
    </xf>
    <xf numFmtId="176" fontId="52" fillId="0" borderId="1" xfId="0" applyNumberFormat="1" applyFont="1" applyBorder="1" applyAlignment="1" applyProtection="1">
      <alignment vertical="center" wrapText="1"/>
      <protection locked="0"/>
    </xf>
    <xf numFmtId="176" fontId="52" fillId="0" borderId="1" xfId="0" applyNumberFormat="1" applyFont="1" applyBorder="1" applyAlignment="1" applyProtection="1">
      <alignment horizontal="center" vertical="center" wrapText="1"/>
      <protection locked="0"/>
    </xf>
    <xf numFmtId="176" fontId="52" fillId="0" borderId="2" xfId="0" applyNumberFormat="1" applyFont="1" applyBorder="1" applyAlignment="1" applyProtection="1">
      <alignment horizontal="center" vertical="center" wrapText="1"/>
      <protection locked="0"/>
    </xf>
    <xf numFmtId="0" fontId="52" fillId="0" borderId="4" xfId="0" applyFont="1" applyBorder="1" applyAlignment="1" applyProtection="1">
      <alignment horizontal="center" vertical="center" wrapText="1"/>
      <protection locked="0"/>
    </xf>
    <xf numFmtId="0" fontId="49" fillId="5" borderId="2" xfId="0" applyFont="1" applyFill="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xf>
    <xf numFmtId="176" fontId="49" fillId="0" borderId="0"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wrapText="1"/>
    </xf>
    <xf numFmtId="0" fontId="54" fillId="0" borderId="0" xfId="0" applyFont="1" applyAlignment="1" applyProtection="1">
      <alignment horizontal="center" vertical="center" wrapText="1"/>
    </xf>
    <xf numFmtId="0" fontId="54" fillId="0" borderId="0" xfId="0" applyFont="1" applyAlignment="1" applyProtection="1">
      <alignment horizontal="center" vertical="center"/>
    </xf>
    <xf numFmtId="0" fontId="111" fillId="6" borderId="0" xfId="0" applyFont="1" applyFill="1" applyProtection="1">
      <alignment vertical="center"/>
    </xf>
    <xf numFmtId="0" fontId="49" fillId="0" borderId="0" xfId="0" applyFont="1" applyProtection="1">
      <alignment vertical="center"/>
      <protection locked="0"/>
    </xf>
    <xf numFmtId="176" fontId="55" fillId="6" borderId="1" xfId="1" applyNumberFormat="1" applyFont="1" applyFill="1" applyBorder="1" applyAlignment="1" applyProtection="1">
      <alignment horizontal="center" vertical="center"/>
    </xf>
    <xf numFmtId="0" fontId="49" fillId="6" borderId="5" xfId="0" applyFont="1" applyFill="1" applyBorder="1" applyProtection="1">
      <alignment vertical="center"/>
    </xf>
    <xf numFmtId="0" fontId="49" fillId="6" borderId="54" xfId="0" applyFont="1" applyFill="1" applyBorder="1" applyProtection="1">
      <alignment vertical="center"/>
    </xf>
    <xf numFmtId="0" fontId="51" fillId="6" borderId="3"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176" fontId="55" fillId="6" borderId="10" xfId="1" applyNumberFormat="1" applyFont="1" applyFill="1" applyBorder="1" applyAlignment="1" applyProtection="1">
      <alignment horizontal="center" vertical="center"/>
    </xf>
    <xf numFmtId="0" fontId="49" fillId="6" borderId="2" xfId="0" applyFont="1" applyFill="1" applyBorder="1" applyProtection="1">
      <alignment vertical="center"/>
    </xf>
    <xf numFmtId="0" fontId="49" fillId="6" borderId="12" xfId="0" applyFont="1" applyFill="1" applyBorder="1" applyAlignment="1" applyProtection="1">
      <alignment vertical="center"/>
    </xf>
    <xf numFmtId="0" fontId="49" fillId="6" borderId="15" xfId="0" applyFont="1" applyFill="1" applyBorder="1" applyProtection="1">
      <alignment vertical="center"/>
    </xf>
    <xf numFmtId="176" fontId="51" fillId="6" borderId="10" xfId="1" applyNumberFormat="1" applyFont="1" applyFill="1" applyBorder="1" applyAlignment="1" applyProtection="1">
      <alignment horizontal="center" vertical="center"/>
    </xf>
    <xf numFmtId="0" fontId="49" fillId="6" borderId="0" xfId="0" applyFont="1" applyFill="1" applyBorder="1" applyProtection="1">
      <alignment vertical="center"/>
      <protection locked="0"/>
    </xf>
    <xf numFmtId="0" fontId="49" fillId="6" borderId="14" xfId="0" applyFont="1" applyFill="1" applyBorder="1" applyAlignment="1" applyProtection="1">
      <alignment vertical="center"/>
    </xf>
    <xf numFmtId="0" fontId="49" fillId="6" borderId="15" xfId="0" applyFont="1" applyFill="1" applyBorder="1" applyAlignment="1" applyProtection="1">
      <alignment vertical="center"/>
    </xf>
    <xf numFmtId="0" fontId="51" fillId="6" borderId="51" xfId="0" applyFont="1" applyFill="1" applyBorder="1" applyProtection="1">
      <alignment vertical="center"/>
    </xf>
    <xf numFmtId="0" fontId="49" fillId="6" borderId="21" xfId="0" applyFont="1" applyFill="1" applyBorder="1" applyProtection="1">
      <alignment vertical="center"/>
    </xf>
    <xf numFmtId="0" fontId="49" fillId="6" borderId="16" xfId="0" applyFont="1" applyFill="1" applyBorder="1" applyAlignment="1" applyProtection="1">
      <alignment vertical="center"/>
    </xf>
    <xf numFmtId="0" fontId="49" fillId="6" borderId="17" xfId="0" applyFont="1" applyFill="1" applyBorder="1" applyProtection="1">
      <alignment vertical="center"/>
    </xf>
    <xf numFmtId="0" fontId="49" fillId="6" borderId="19" xfId="0" applyFont="1" applyFill="1" applyBorder="1" applyAlignment="1" applyProtection="1">
      <alignment vertical="center"/>
    </xf>
    <xf numFmtId="0" fontId="51" fillId="6" borderId="17" xfId="0" applyFont="1" applyFill="1" applyBorder="1" applyAlignment="1" applyProtection="1">
      <alignment horizontal="center" vertical="center"/>
    </xf>
    <xf numFmtId="176" fontId="55" fillId="6" borderId="29" xfId="1" applyNumberFormat="1" applyFont="1" applyFill="1" applyBorder="1" applyAlignment="1" applyProtection="1">
      <alignment horizontal="center" vertical="center"/>
    </xf>
    <xf numFmtId="176" fontId="55" fillId="6" borderId="20" xfId="1" applyNumberFormat="1" applyFont="1" applyFill="1" applyBorder="1" applyAlignment="1" applyProtection="1">
      <alignment horizontal="center" vertical="center"/>
    </xf>
    <xf numFmtId="176" fontId="55" fillId="6" borderId="21" xfId="1" applyNumberFormat="1" applyFont="1" applyFill="1" applyBorder="1" applyAlignment="1" applyProtection="1">
      <alignment horizontal="center" vertical="center"/>
    </xf>
    <xf numFmtId="0" fontId="51" fillId="6" borderId="55" xfId="0" applyFont="1" applyFill="1" applyBorder="1" applyAlignment="1" applyProtection="1">
      <alignment horizontal="right" vertical="center"/>
    </xf>
    <xf numFmtId="179" fontId="51" fillId="2" borderId="24" xfId="0" applyNumberFormat="1" applyFont="1" applyFill="1" applyBorder="1" applyAlignment="1" applyProtection="1">
      <alignment horizontal="center" vertical="center"/>
      <protection locked="0"/>
    </xf>
    <xf numFmtId="0" fontId="49" fillId="6" borderId="2" xfId="0" applyFont="1" applyFill="1" applyBorder="1" applyAlignment="1" applyProtection="1">
      <alignment vertical="center"/>
    </xf>
    <xf numFmtId="0" fontId="49" fillId="6" borderId="0" xfId="0" applyFont="1" applyFill="1" applyBorder="1" applyAlignment="1" applyProtection="1">
      <alignment vertical="center"/>
    </xf>
    <xf numFmtId="0" fontId="51" fillId="6" borderId="2" xfId="0" applyFont="1" applyFill="1" applyBorder="1" applyAlignment="1" applyProtection="1">
      <alignment horizontal="center" vertical="center"/>
    </xf>
    <xf numFmtId="176" fontId="56" fillId="6" borderId="2" xfId="1"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179"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49" fillId="6" borderId="18" xfId="0" applyFont="1" applyFill="1" applyBorder="1" applyProtection="1">
      <alignment vertical="center"/>
    </xf>
    <xf numFmtId="177" fontId="52" fillId="0" borderId="1" xfId="1" applyNumberFormat="1" applyFont="1" applyFill="1" applyBorder="1" applyAlignment="1" applyProtection="1">
      <alignment vertical="center"/>
      <protection locked="0" hidden="1"/>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6" borderId="18" xfId="0" applyFont="1" applyFill="1" applyBorder="1" applyAlignment="1" applyProtection="1">
      <alignment vertical="center"/>
    </xf>
    <xf numFmtId="0" fontId="49" fillId="0" borderId="11" xfId="0" applyFont="1" applyBorder="1" applyProtection="1">
      <alignment vertical="center"/>
      <protection locked="0"/>
    </xf>
    <xf numFmtId="0" fontId="49" fillId="0" borderId="13" xfId="0" applyFont="1" applyBorder="1" applyProtection="1">
      <alignment vertical="center"/>
      <protection locked="0"/>
    </xf>
    <xf numFmtId="0" fontId="51" fillId="6" borderId="3" xfId="0" applyFont="1" applyFill="1" applyBorder="1" applyAlignment="1" applyProtection="1">
      <alignment horizontal="left" vertical="center"/>
    </xf>
    <xf numFmtId="0" fontId="49" fillId="6" borderId="3" xfId="0" applyFont="1" applyFill="1" applyBorder="1" applyAlignment="1" applyProtection="1">
      <alignment horizontal="left" vertical="center"/>
    </xf>
    <xf numFmtId="0" fontId="51" fillId="6" borderId="22" xfId="0" applyFont="1" applyFill="1" applyBorder="1" applyAlignment="1" applyProtection="1">
      <alignment horizontal="left" vertical="center"/>
    </xf>
    <xf numFmtId="0" fontId="49" fillId="6" borderId="42" xfId="0" applyFont="1" applyFill="1" applyBorder="1" applyAlignment="1" applyProtection="1">
      <alignment vertical="center"/>
    </xf>
    <xf numFmtId="0" fontId="49" fillId="6" borderId="33" xfId="0" applyFont="1" applyFill="1" applyBorder="1" applyProtection="1">
      <alignment vertical="center"/>
    </xf>
    <xf numFmtId="176" fontId="49" fillId="0" borderId="0" xfId="0" applyNumberFormat="1" applyFont="1" applyProtection="1">
      <alignment vertical="center"/>
      <protection locked="0"/>
    </xf>
    <xf numFmtId="0" fontId="111" fillId="6" borderId="0" xfId="0" applyFont="1" applyFill="1" applyAlignment="1" applyProtection="1">
      <alignment vertical="center" wrapText="1"/>
    </xf>
    <xf numFmtId="179" fontId="52" fillId="6" borderId="0" xfId="0" applyNumberFormat="1" applyFont="1" applyFill="1" applyAlignment="1" applyProtection="1">
      <alignment vertical="center"/>
      <protection locked="0"/>
    </xf>
    <xf numFmtId="0" fontId="52" fillId="0" borderId="0" xfId="0" applyFont="1" applyAlignment="1" applyProtection="1">
      <alignment vertical="center"/>
      <protection locked="0"/>
    </xf>
    <xf numFmtId="0" fontId="52" fillId="0" borderId="0" xfId="0" applyFont="1" applyAlignment="1" applyProtection="1">
      <alignment vertical="center"/>
    </xf>
    <xf numFmtId="0" fontId="51" fillId="6" borderId="26" xfId="0" applyFont="1" applyFill="1" applyBorder="1" applyAlignment="1" applyProtection="1">
      <alignment vertical="center" wrapText="1"/>
    </xf>
    <xf numFmtId="0" fontId="49" fillId="6" borderId="0" xfId="0" applyFont="1" applyFill="1" applyAlignment="1" applyProtection="1">
      <alignment vertical="center"/>
      <protection locked="0"/>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6" borderId="0" xfId="0" applyFont="1" applyFill="1" applyAlignment="1" applyProtection="1">
      <alignment vertical="center"/>
    </xf>
    <xf numFmtId="0" fontId="49" fillId="6" borderId="63" xfId="0" applyFont="1" applyFill="1" applyBorder="1" applyAlignment="1" applyProtection="1">
      <alignment vertical="center"/>
    </xf>
    <xf numFmtId="0" fontId="49" fillId="6" borderId="64" xfId="0" applyFont="1" applyFill="1" applyBorder="1" applyAlignment="1" applyProtection="1">
      <alignment vertical="center"/>
    </xf>
    <xf numFmtId="179" fontId="49" fillId="6" borderId="64" xfId="0" applyNumberFormat="1" applyFont="1" applyFill="1" applyBorder="1" applyAlignment="1" applyProtection="1">
      <alignment vertical="center"/>
    </xf>
    <xf numFmtId="0" fontId="49" fillId="6" borderId="65" xfId="0" applyFont="1" applyFill="1" applyBorder="1" applyAlignment="1" applyProtection="1">
      <alignment vertical="center"/>
    </xf>
    <xf numFmtId="0" fontId="49" fillId="6" borderId="63" xfId="0" applyFont="1" applyFill="1" applyBorder="1" applyAlignment="1" applyProtection="1">
      <alignment horizontal="center" vertical="center"/>
    </xf>
    <xf numFmtId="0" fontId="49" fillId="6" borderId="64" xfId="0" applyFont="1" applyFill="1" applyBorder="1" applyAlignment="1" applyProtection="1">
      <alignment horizontal="center" vertical="center"/>
    </xf>
    <xf numFmtId="0" fontId="49" fillId="6" borderId="82" xfId="0" applyFont="1" applyFill="1" applyBorder="1" applyAlignment="1" applyProtection="1">
      <alignment horizontal="center" vertical="center"/>
    </xf>
    <xf numFmtId="0" fontId="49" fillId="6" borderId="31" xfId="0" applyFont="1" applyFill="1" applyBorder="1" applyAlignment="1" applyProtection="1">
      <alignment vertical="center"/>
    </xf>
    <xf numFmtId="0" fontId="49" fillId="6" borderId="6" xfId="1" applyFont="1" applyFill="1" applyBorder="1" applyAlignment="1" applyProtection="1">
      <alignment vertical="center" wrapText="1"/>
    </xf>
    <xf numFmtId="0" fontId="49" fillId="6" borderId="9" xfId="1" applyFont="1" applyFill="1" applyBorder="1" applyAlignment="1" applyProtection="1">
      <alignment vertical="center" wrapText="1"/>
    </xf>
    <xf numFmtId="0" fontId="49" fillId="6" borderId="28" xfId="1" applyFont="1" applyFill="1" applyBorder="1" applyAlignment="1" applyProtection="1">
      <alignment vertical="center" wrapText="1"/>
    </xf>
    <xf numFmtId="180" fontId="56" fillId="6" borderId="6" xfId="1" applyNumberFormat="1" applyFont="1" applyFill="1" applyBorder="1" applyAlignment="1" applyProtection="1">
      <alignment horizontal="center" vertical="center" wrapText="1"/>
    </xf>
    <xf numFmtId="179" fontId="49" fillId="6" borderId="9" xfId="0" applyNumberFormat="1" applyFont="1" applyFill="1" applyBorder="1" applyAlignment="1" applyProtection="1">
      <alignment horizontal="center" vertical="center" wrapText="1"/>
    </xf>
    <xf numFmtId="0" fontId="106" fillId="6" borderId="10" xfId="0" applyFont="1" applyFill="1" applyBorder="1" applyAlignment="1" applyProtection="1">
      <alignment horizontal="center" vertical="center" wrapText="1"/>
    </xf>
    <xf numFmtId="177" fontId="49" fillId="6" borderId="6" xfId="1" applyNumberFormat="1" applyFont="1" applyFill="1" applyBorder="1" applyAlignment="1" applyProtection="1">
      <alignment horizontal="center" vertical="center" wrapText="1"/>
    </xf>
    <xf numFmtId="0" fontId="49" fillId="6" borderId="9" xfId="1" applyFont="1" applyFill="1" applyBorder="1" applyAlignment="1" applyProtection="1">
      <alignment horizontal="center" vertical="center" wrapText="1"/>
    </xf>
    <xf numFmtId="179" fontId="49" fillId="6" borderId="9" xfId="1" applyNumberFormat="1" applyFont="1" applyFill="1" applyBorder="1" applyAlignment="1" applyProtection="1">
      <alignment horizontal="center" vertical="center" wrapText="1"/>
    </xf>
    <xf numFmtId="0" fontId="49" fillId="5" borderId="9" xfId="1" applyFont="1" applyFill="1" applyBorder="1" applyAlignment="1" applyProtection="1">
      <alignment horizontal="center" vertical="center" wrapText="1"/>
      <protection locked="0"/>
    </xf>
    <xf numFmtId="0" fontId="49" fillId="6" borderId="28" xfId="1" applyFont="1" applyFill="1" applyBorder="1" applyAlignment="1" applyProtection="1">
      <alignment horizontal="center" vertical="center" wrapText="1"/>
    </xf>
    <xf numFmtId="0" fontId="49" fillId="6" borderId="6" xfId="1" applyFont="1" applyFill="1" applyBorder="1" applyAlignment="1" applyProtection="1">
      <alignment horizontal="center" vertical="center" wrapText="1"/>
    </xf>
    <xf numFmtId="0" fontId="49" fillId="6" borderId="19" xfId="1" applyFont="1" applyFill="1" applyBorder="1" applyAlignment="1" applyProtection="1">
      <alignment horizontal="center" vertical="center" wrapText="1"/>
    </xf>
    <xf numFmtId="0" fontId="49" fillId="6" borderId="62" xfId="1" applyFont="1" applyFill="1" applyBorder="1" applyAlignment="1" applyProtection="1">
      <alignment horizontal="center" vertical="center" wrapText="1"/>
    </xf>
    <xf numFmtId="0" fontId="49" fillId="6" borderId="30"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protection locked="0"/>
    </xf>
    <xf numFmtId="0" fontId="49" fillId="6" borderId="1" xfId="1" applyFont="1" applyFill="1" applyBorder="1" applyAlignment="1" applyProtection="1">
      <alignment horizontal="center" vertical="center" wrapText="1"/>
    </xf>
    <xf numFmtId="177" fontId="52" fillId="6" borderId="23" xfId="1" applyNumberFormat="1" applyFont="1" applyFill="1" applyBorder="1" applyAlignment="1" applyProtection="1">
      <alignment horizontal="left" vertical="center"/>
    </xf>
    <xf numFmtId="177" fontId="49" fillId="6" borderId="1" xfId="1" applyNumberFormat="1" applyFont="1" applyFill="1" applyBorder="1" applyAlignment="1" applyProtection="1">
      <alignment vertical="center"/>
    </xf>
    <xf numFmtId="177" fontId="49" fillId="2" borderId="5" xfId="1" applyNumberFormat="1" applyFont="1" applyFill="1" applyBorder="1" applyAlignment="1" applyProtection="1">
      <alignment vertical="center"/>
      <protection locked="0"/>
    </xf>
    <xf numFmtId="0" fontId="106" fillId="2" borderId="3" xfId="0" applyFont="1" applyFill="1" applyBorder="1" applyAlignment="1" applyProtection="1">
      <alignment horizontal="center" vertical="center"/>
      <protection locked="0"/>
    </xf>
    <xf numFmtId="0" fontId="49" fillId="6" borderId="1" xfId="0" applyFont="1" applyFill="1" applyBorder="1" applyAlignment="1" applyProtection="1">
      <alignment horizontal="right" vertical="center"/>
    </xf>
    <xf numFmtId="177" fontId="49" fillId="6" borderId="23" xfId="1" applyNumberFormat="1" applyFont="1" applyFill="1" applyBorder="1" applyAlignment="1" applyProtection="1">
      <alignment horizontal="left" vertical="center" wrapText="1"/>
      <protection locked="0"/>
    </xf>
    <xf numFmtId="177" fontId="49" fillId="6" borderId="5" xfId="1" applyNumberFormat="1" applyFont="1" applyFill="1" applyBorder="1" applyAlignment="1" applyProtection="1">
      <alignment vertical="center"/>
    </xf>
    <xf numFmtId="0" fontId="51" fillId="6" borderId="25" xfId="1" applyFont="1" applyFill="1" applyBorder="1" applyAlignment="1" applyProtection="1">
      <alignment vertical="center" wrapText="1"/>
    </xf>
    <xf numFmtId="0" fontId="51" fillId="6" borderId="25" xfId="1" applyFont="1" applyFill="1" applyBorder="1" applyAlignment="1" applyProtection="1">
      <alignment vertical="center"/>
    </xf>
    <xf numFmtId="0" fontId="57" fillId="6" borderId="0" xfId="0" applyFont="1" applyFill="1" applyAlignment="1" applyProtection="1">
      <alignment vertical="center" wrapText="1"/>
    </xf>
    <xf numFmtId="176" fontId="56" fillId="6" borderId="6" xfId="1" applyNumberFormat="1" applyFont="1" applyFill="1" applyBorder="1" applyAlignment="1" applyProtection="1">
      <alignment vertical="center" wrapText="1"/>
    </xf>
    <xf numFmtId="176" fontId="56" fillId="6" borderId="23" xfId="1" applyNumberFormat="1" applyFont="1" applyFill="1" applyBorder="1" applyAlignment="1" applyProtection="1">
      <alignment vertical="center" wrapText="1"/>
    </xf>
    <xf numFmtId="176" fontId="49" fillId="6" borderId="23" xfId="1" applyNumberFormat="1" applyFont="1" applyFill="1" applyBorder="1" applyAlignment="1" applyProtection="1">
      <alignment vertical="center" wrapText="1"/>
    </xf>
    <xf numFmtId="176" fontId="56" fillId="6" borderId="25" xfId="1" applyNumberFormat="1" applyFont="1" applyFill="1" applyBorder="1" applyAlignment="1" applyProtection="1">
      <alignment vertical="center" wrapText="1"/>
    </xf>
    <xf numFmtId="0" fontId="49" fillId="6" borderId="34" xfId="0" applyFont="1" applyFill="1" applyBorder="1" applyAlignment="1" applyProtection="1">
      <alignment horizontal="center" vertical="center"/>
    </xf>
    <xf numFmtId="0" fontId="49" fillId="6" borderId="67" xfId="0" applyFont="1" applyFill="1" applyBorder="1" applyAlignment="1" applyProtection="1">
      <alignment horizontal="center" vertical="center"/>
      <protection locked="0"/>
    </xf>
    <xf numFmtId="0" fontId="49" fillId="6" borderId="6" xfId="0" applyFont="1" applyFill="1" applyBorder="1" applyAlignment="1" applyProtection="1">
      <alignment vertical="center" wrapText="1"/>
    </xf>
    <xf numFmtId="179" fontId="49" fillId="6" borderId="0" xfId="0" applyNumberFormat="1" applyFont="1" applyFill="1" applyAlignment="1" applyProtection="1">
      <alignment horizontal="center" vertical="center"/>
      <protection locked="0"/>
    </xf>
    <xf numFmtId="0" fontId="52" fillId="0" borderId="0" xfId="0" applyFont="1" applyFill="1" applyAlignment="1" applyProtection="1">
      <alignment vertical="center"/>
    </xf>
    <xf numFmtId="0" fontId="49" fillId="6" borderId="23" xfId="0" applyFont="1" applyFill="1" applyBorder="1" applyAlignment="1" applyProtection="1">
      <alignment vertical="center" wrapText="1"/>
    </xf>
    <xf numFmtId="0" fontId="106" fillId="6" borderId="0" xfId="0" applyFont="1" applyFill="1" applyAlignment="1" applyProtection="1">
      <alignment horizontal="center" vertical="center"/>
      <protection locked="0"/>
    </xf>
    <xf numFmtId="0" fontId="49" fillId="6" borderId="25" xfId="0" applyFont="1" applyFill="1" applyBorder="1" applyAlignment="1" applyProtection="1">
      <alignment vertical="center" wrapText="1"/>
    </xf>
    <xf numFmtId="0" fontId="49" fillId="6" borderId="41" xfId="0" applyFont="1" applyFill="1" applyBorder="1" applyAlignment="1" applyProtection="1">
      <alignment vertical="center" wrapText="1"/>
    </xf>
    <xf numFmtId="0" fontId="49" fillId="6" borderId="11" xfId="0" applyFont="1" applyFill="1" applyBorder="1" applyAlignment="1" applyProtection="1">
      <alignment vertical="center" wrapText="1"/>
    </xf>
    <xf numFmtId="0" fontId="49" fillId="6" borderId="11" xfId="0" applyFont="1" applyFill="1" applyBorder="1" applyAlignment="1" applyProtection="1">
      <alignment horizontal="left" vertical="center" wrapText="1"/>
    </xf>
    <xf numFmtId="181" fontId="106" fillId="6" borderId="0" xfId="0" applyNumberFormat="1" applyFont="1" applyFill="1" applyAlignment="1" applyProtection="1">
      <alignment horizontal="center" vertical="center"/>
    </xf>
    <xf numFmtId="0" fontId="49" fillId="6" borderId="11" xfId="0" applyFont="1" applyFill="1" applyBorder="1" applyAlignment="1" applyProtection="1">
      <alignment horizontal="right" vertical="center" wrapText="1"/>
    </xf>
    <xf numFmtId="0" fontId="49" fillId="6" borderId="25" xfId="0" applyFont="1" applyFill="1" applyBorder="1" applyAlignment="1" applyProtection="1">
      <alignment horizontal="right" vertical="center" wrapText="1"/>
    </xf>
    <xf numFmtId="0" fontId="49" fillId="6" borderId="14" xfId="0" applyFont="1" applyFill="1" applyBorder="1" applyAlignment="1" applyProtection="1">
      <alignment vertical="center" wrapText="1"/>
    </xf>
    <xf numFmtId="0" fontId="49" fillId="6" borderId="40" xfId="0" applyFont="1" applyFill="1" applyBorder="1" applyAlignment="1" applyProtection="1">
      <alignment vertical="center" wrapText="1"/>
    </xf>
    <xf numFmtId="0" fontId="49" fillId="2" borderId="24" xfId="0" applyFont="1" applyFill="1" applyBorder="1" applyAlignment="1" applyProtection="1">
      <alignment horizontal="center" vertical="center"/>
      <protection locked="0"/>
    </xf>
    <xf numFmtId="0" fontId="54" fillId="6" borderId="0" xfId="0" applyFont="1" applyFill="1" applyAlignment="1" applyProtection="1">
      <alignment vertical="center"/>
      <protection locked="0"/>
    </xf>
    <xf numFmtId="0" fontId="49" fillId="0" borderId="23" xfId="0" applyFont="1" applyBorder="1" applyAlignment="1" applyProtection="1">
      <alignment horizontal="right" vertical="center" wrapText="1"/>
      <protection locked="0"/>
    </xf>
    <xf numFmtId="0" fontId="49" fillId="6" borderId="0" xfId="0" applyFont="1" applyFill="1" applyBorder="1" applyAlignment="1" applyProtection="1">
      <alignment vertical="center"/>
      <protection locked="0"/>
    </xf>
    <xf numFmtId="0" fontId="49" fillId="0" borderId="25" xfId="0" applyFont="1" applyBorder="1" applyAlignment="1" applyProtection="1">
      <alignment horizontal="right" vertical="center" wrapText="1"/>
      <protection locked="0"/>
    </xf>
    <xf numFmtId="0" fontId="52" fillId="7" borderId="0" xfId="0" applyFont="1" applyFill="1" applyAlignment="1" applyProtection="1">
      <alignment vertical="center" wrapText="1"/>
      <protection locked="0"/>
    </xf>
    <xf numFmtId="179" fontId="52" fillId="7" borderId="0" xfId="0" applyNumberFormat="1" applyFont="1" applyFill="1" applyAlignment="1" applyProtection="1">
      <alignment vertical="center"/>
      <protection locked="0"/>
    </xf>
    <xf numFmtId="0" fontId="52" fillId="0" borderId="0" xfId="0" applyFont="1" applyAlignment="1" applyProtection="1">
      <alignment vertical="center" wrapText="1"/>
      <protection locked="0"/>
    </xf>
    <xf numFmtId="179" fontId="52" fillId="0" borderId="0" xfId="0" applyNumberFormat="1" applyFont="1" applyAlignment="1" applyProtection="1">
      <alignment vertical="center"/>
      <protection locked="0"/>
    </xf>
    <xf numFmtId="0" fontId="52" fillId="0" borderId="0" xfId="0" applyFont="1" applyAlignment="1" applyProtection="1">
      <alignment vertical="center" wrapText="1"/>
    </xf>
    <xf numFmtId="179" fontId="52" fillId="0" borderId="0" xfId="0" applyNumberFormat="1" applyFont="1" applyAlignment="1" applyProtection="1">
      <alignment vertical="center"/>
    </xf>
    <xf numFmtId="0" fontId="128" fillId="0" borderId="5" xfId="5" applyFont="1" applyBorder="1" applyAlignment="1">
      <alignment horizontal="right" vertical="center"/>
    </xf>
    <xf numFmtId="192" fontId="128" fillId="0" borderId="5" xfId="5" applyNumberFormat="1" applyFont="1" applyFill="1" applyBorder="1" applyAlignment="1">
      <alignment horizontal="right" vertical="center"/>
    </xf>
    <xf numFmtId="0" fontId="128" fillId="0" borderId="5" xfId="5" applyFont="1" applyFill="1" applyBorder="1" applyAlignment="1">
      <alignment horizontal="left" vertical="center"/>
    </xf>
    <xf numFmtId="0" fontId="128" fillId="0" borderId="154" xfId="5" applyFont="1" applyBorder="1" applyAlignment="1">
      <alignment vertical="center"/>
    </xf>
    <xf numFmtId="0" fontId="128" fillId="0" borderId="154" xfId="5" applyFont="1" applyFill="1" applyBorder="1">
      <alignment vertical="center"/>
    </xf>
    <xf numFmtId="0" fontId="128" fillId="0" borderId="154" xfId="5" applyFont="1" applyFill="1" applyBorder="1" applyAlignment="1">
      <alignment horizontal="left" vertical="center"/>
    </xf>
    <xf numFmtId="184" fontId="128" fillId="0" borderId="5" xfId="5" applyNumberFormat="1" applyFont="1" applyFill="1" applyBorder="1" applyAlignment="1">
      <alignment horizontal="right" vertical="center"/>
    </xf>
    <xf numFmtId="14" fontId="130" fillId="0" borderId="5" xfId="5" applyNumberFormat="1" applyFont="1" applyBorder="1">
      <alignment vertical="center"/>
    </xf>
    <xf numFmtId="0" fontId="128" fillId="0" borderId="154" xfId="5" applyFont="1" applyFill="1" applyBorder="1" applyAlignment="1">
      <alignment horizontal="right" vertical="center"/>
    </xf>
    <xf numFmtId="0" fontId="130" fillId="0" borderId="154" xfId="5" applyFont="1" applyBorder="1">
      <alignment vertical="center"/>
    </xf>
    <xf numFmtId="0" fontId="224" fillId="7" borderId="102" xfId="0" applyFont="1" applyFill="1" applyBorder="1" applyAlignment="1" applyProtection="1">
      <alignment horizontal="center" vertical="center" wrapText="1"/>
      <protection locked="0"/>
    </xf>
    <xf numFmtId="0" fontId="224" fillId="7" borderId="102" xfId="0" applyNumberFormat="1" applyFont="1" applyFill="1" applyBorder="1" applyAlignment="1" applyProtection="1">
      <alignment horizontal="center" vertical="center" wrapText="1"/>
      <protection locked="0"/>
    </xf>
    <xf numFmtId="0" fontId="224" fillId="7" borderId="103" xfId="0" applyFont="1" applyFill="1" applyBorder="1" applyAlignment="1" applyProtection="1">
      <alignment horizontal="center" vertical="center" wrapText="1"/>
      <protection locked="0"/>
    </xf>
    <xf numFmtId="0" fontId="246" fillId="7" borderId="0" xfId="0" applyNumberFormat="1" applyFont="1" applyFill="1" applyAlignment="1" applyProtection="1">
      <alignment horizontal="center" vertical="center"/>
      <protection locked="0"/>
    </xf>
    <xf numFmtId="0" fontId="246" fillId="7" borderId="0" xfId="0" applyFont="1" applyFill="1" applyAlignment="1" applyProtection="1">
      <alignment horizontal="center" vertical="center"/>
      <protection locked="0"/>
    </xf>
    <xf numFmtId="0" fontId="246" fillId="0" borderId="0" xfId="0" applyFont="1" applyAlignment="1" applyProtection="1">
      <alignment horizontal="center" vertical="center"/>
      <protection locked="0"/>
    </xf>
    <xf numFmtId="0" fontId="51" fillId="6" borderId="63" xfId="0" applyFont="1" applyFill="1" applyBorder="1" applyAlignment="1" applyProtection="1">
      <alignment horizontal="center" vertical="center" wrapText="1"/>
    </xf>
    <xf numFmtId="0" fontId="51" fillId="6" borderId="34" xfId="0" applyFont="1" applyFill="1" applyBorder="1" applyAlignment="1" applyProtection="1">
      <alignment horizontal="right" vertical="center" wrapText="1"/>
    </xf>
    <xf numFmtId="0" fontId="51" fillId="6" borderId="65" xfId="0" applyFont="1" applyFill="1" applyBorder="1" applyAlignment="1" applyProtection="1">
      <alignment horizontal="center" vertical="center"/>
    </xf>
    <xf numFmtId="0" fontId="51" fillId="6" borderId="0" xfId="0" applyFont="1" applyFill="1" applyBorder="1" applyAlignment="1" applyProtection="1">
      <alignment horizontal="right" vertical="center" wrapText="1"/>
    </xf>
    <xf numFmtId="0" fontId="51" fillId="6" borderId="63" xfId="0" applyFont="1" applyFill="1" applyBorder="1" applyAlignment="1" applyProtection="1">
      <alignment horizontal="right" vertical="center" wrapText="1"/>
    </xf>
    <xf numFmtId="0" fontId="49" fillId="7" borderId="0" xfId="0" applyFont="1" applyFill="1" applyAlignment="1" applyProtection="1">
      <alignment horizontal="center" vertical="center"/>
      <protection locked="0"/>
    </xf>
    <xf numFmtId="0" fontId="49" fillId="0" borderId="0" xfId="0" applyFont="1" applyAlignment="1" applyProtection="1">
      <alignment horizontal="center" vertical="center"/>
      <protection locked="0"/>
    </xf>
    <xf numFmtId="49" fontId="180" fillId="0" borderId="10" xfId="0" applyNumberFormat="1" applyFont="1" applyFill="1" applyBorder="1" applyAlignment="1" applyProtection="1">
      <alignment horizontal="center" vertical="center" wrapText="1"/>
      <protection locked="0"/>
    </xf>
    <xf numFmtId="49" fontId="49" fillId="6" borderId="0" xfId="0" applyNumberFormat="1" applyFont="1" applyFill="1" applyBorder="1" applyAlignment="1" applyProtection="1">
      <alignment horizontal="center" vertical="center" wrapText="1"/>
      <protection locked="0"/>
    </xf>
    <xf numFmtId="0" fontId="49" fillId="6" borderId="7" xfId="0" applyFont="1" applyFill="1" applyBorder="1" applyAlignment="1" applyProtection="1">
      <alignment horizontal="center" vertical="center" wrapText="1"/>
    </xf>
    <xf numFmtId="0" fontId="180" fillId="0" borderId="8" xfId="0" applyNumberFormat="1" applyFont="1" applyFill="1" applyBorder="1" applyAlignment="1" applyProtection="1">
      <alignment horizontal="center" vertical="center" wrapText="1"/>
      <protection locked="0"/>
    </xf>
    <xf numFmtId="49" fontId="180" fillId="0" borderId="24" xfId="0" applyNumberFormat="1" applyFont="1" applyFill="1" applyBorder="1" applyAlignment="1" applyProtection="1">
      <alignment horizontal="center" vertical="center" wrapText="1"/>
      <protection locked="0"/>
    </xf>
    <xf numFmtId="49" fontId="49" fillId="6" borderId="14" xfId="0" applyNumberFormat="1" applyFont="1" applyFill="1" applyBorder="1" applyAlignment="1" applyProtection="1">
      <alignment horizontal="center" vertical="center" wrapText="1"/>
    </xf>
    <xf numFmtId="0" fontId="180" fillId="0" borderId="24" xfId="0" applyFont="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49" fontId="49" fillId="6" borderId="12" xfId="0" applyNumberFormat="1" applyFont="1" applyFill="1" applyBorder="1" applyAlignment="1" applyProtection="1">
      <alignment horizontal="center" vertical="center" wrapText="1"/>
    </xf>
    <xf numFmtId="0" fontId="49" fillId="6" borderId="66" xfId="0" applyFont="1" applyFill="1" applyBorder="1" applyAlignment="1" applyProtection="1">
      <alignment horizontal="center" vertical="center" wrapText="1"/>
    </xf>
    <xf numFmtId="0" fontId="180" fillId="0" borderId="49" xfId="0" applyNumberFormat="1" applyFont="1" applyFill="1" applyBorder="1" applyAlignment="1" applyProtection="1">
      <alignment horizontal="center" vertical="center" wrapText="1"/>
      <protection locked="0"/>
    </xf>
    <xf numFmtId="0" fontId="51" fillId="6" borderId="12" xfId="0" applyFont="1" applyFill="1" applyBorder="1" applyAlignment="1" applyProtection="1">
      <alignment vertical="center" wrapText="1"/>
    </xf>
    <xf numFmtId="0" fontId="49" fillId="6" borderId="32" xfId="0" applyFont="1" applyFill="1" applyBorder="1" applyAlignment="1" applyProtection="1">
      <alignment horizontal="center" vertical="center" wrapText="1"/>
    </xf>
    <xf numFmtId="0" fontId="180" fillId="0" borderId="49" xfId="0" applyFont="1" applyBorder="1" applyAlignment="1" applyProtection="1">
      <alignment horizontal="center" vertical="center"/>
      <protection locked="0"/>
    </xf>
    <xf numFmtId="0" fontId="49" fillId="7" borderId="0" xfId="0" applyFont="1" applyFill="1" applyBorder="1" applyAlignment="1" applyProtection="1">
      <alignment horizontal="center" vertical="center" wrapText="1"/>
      <protection locked="0"/>
    </xf>
    <xf numFmtId="0" fontId="49" fillId="7" borderId="0" xfId="0" applyNumberFormat="1" applyFont="1" applyFill="1" applyBorder="1" applyAlignment="1" applyProtection="1">
      <alignment horizontal="center" vertical="center" wrapText="1"/>
      <protection locked="0"/>
    </xf>
    <xf numFmtId="49" fontId="49" fillId="7"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wrapText="1"/>
      <protection locked="0"/>
    </xf>
    <xf numFmtId="0" fontId="48" fillId="6" borderId="0" xfId="0" applyFont="1" applyFill="1" applyBorder="1" applyAlignment="1" applyProtection="1">
      <alignment horizontal="center" vertical="center"/>
    </xf>
    <xf numFmtId="0" fontId="224" fillId="7" borderId="0" xfId="0" applyFont="1" applyFill="1" applyBorder="1" applyAlignment="1" applyProtection="1">
      <alignment horizontal="center" vertical="center" wrapText="1"/>
      <protection locked="0"/>
    </xf>
    <xf numFmtId="0" fontId="224" fillId="7" borderId="0" xfId="0" applyNumberFormat="1" applyFont="1" applyFill="1" applyBorder="1" applyAlignment="1" applyProtection="1">
      <alignment horizontal="center" vertical="center" wrapText="1"/>
      <protection locked="0"/>
    </xf>
    <xf numFmtId="0" fontId="224" fillId="7" borderId="35" xfId="0" applyNumberFormat="1" applyFont="1" applyFill="1" applyBorder="1" applyAlignment="1" applyProtection="1">
      <alignment horizontal="center" vertical="center" wrapText="1"/>
      <protection locked="0"/>
    </xf>
    <xf numFmtId="0" fontId="246" fillId="7" borderId="0" xfId="0" applyFont="1" applyFill="1" applyAlignment="1" applyProtection="1">
      <alignment horizontal="center" vertical="center" wrapText="1"/>
      <protection locked="0"/>
    </xf>
    <xf numFmtId="0" fontId="246" fillId="7" borderId="0" xfId="0" applyNumberFormat="1" applyFont="1" applyFill="1" applyAlignment="1" applyProtection="1">
      <alignment horizontal="center" vertical="center" wrapText="1"/>
      <protection locked="0"/>
    </xf>
    <xf numFmtId="0" fontId="48" fillId="6" borderId="105" xfId="0" applyFont="1" applyFill="1" applyBorder="1" applyAlignment="1" applyProtection="1">
      <alignment horizontal="center" vertical="center"/>
    </xf>
    <xf numFmtId="0" fontId="51" fillId="6" borderId="0" xfId="0" applyFont="1" applyFill="1" applyBorder="1" applyAlignment="1" applyProtection="1">
      <alignment horizontal="right" vertical="center" wrapText="1"/>
      <protection locked="0"/>
    </xf>
    <xf numFmtId="0" fontId="49" fillId="7" borderId="0" xfId="0" applyFont="1" applyFill="1" applyAlignment="1" applyProtection="1">
      <alignment horizontal="center" vertical="center" wrapText="1"/>
      <protection locked="0"/>
    </xf>
    <xf numFmtId="0" fontId="49" fillId="7" borderId="0" xfId="0" applyNumberFormat="1" applyFont="1" applyFill="1" applyAlignment="1" applyProtection="1">
      <alignment horizontal="center" vertical="center" wrapText="1"/>
      <protection locked="0"/>
    </xf>
    <xf numFmtId="0" fontId="49" fillId="7" borderId="0" xfId="0" applyNumberFormat="1" applyFont="1" applyFill="1" applyAlignment="1" applyProtection="1">
      <alignment horizontal="center" vertical="center"/>
      <protection locked="0"/>
    </xf>
    <xf numFmtId="0" fontId="51" fillId="6" borderId="16" xfId="0" applyFont="1" applyFill="1" applyBorder="1" applyAlignment="1" applyProtection="1">
      <alignment horizontal="center" vertical="center" wrapText="1"/>
    </xf>
    <xf numFmtId="0" fontId="51" fillId="6" borderId="16" xfId="0" applyFont="1" applyFill="1" applyBorder="1" applyAlignment="1" applyProtection="1">
      <alignment horizontal="right" vertical="center" wrapText="1"/>
    </xf>
    <xf numFmtId="0" fontId="51" fillId="6" borderId="31" xfId="0" applyFont="1" applyFill="1" applyBorder="1" applyAlignment="1" applyProtection="1">
      <alignment horizontal="center" vertical="center" wrapText="1"/>
    </xf>
    <xf numFmtId="0" fontId="51" fillId="6" borderId="82" xfId="0" applyFont="1" applyFill="1" applyBorder="1" applyAlignment="1" applyProtection="1">
      <alignment horizontal="right" vertical="center" wrapText="1"/>
    </xf>
    <xf numFmtId="49" fontId="49" fillId="6" borderId="62" xfId="0" applyNumberFormat="1" applyFont="1" applyFill="1" applyBorder="1" applyAlignment="1" applyProtection="1">
      <alignment horizontal="center" vertical="center" wrapText="1"/>
    </xf>
    <xf numFmtId="49" fontId="51" fillId="6" borderId="27" xfId="0" applyNumberFormat="1" applyFont="1" applyFill="1" applyBorder="1" applyAlignment="1" applyProtection="1">
      <alignment vertical="center" wrapText="1"/>
    </xf>
    <xf numFmtId="0" fontId="49" fillId="6" borderId="41" xfId="0" applyFont="1" applyFill="1" applyBorder="1" applyAlignment="1" applyProtection="1">
      <alignment horizontal="center" vertical="center" wrapText="1"/>
    </xf>
    <xf numFmtId="49" fontId="49" fillId="6" borderId="24" xfId="0" applyNumberFormat="1" applyFont="1" applyFill="1" applyBorder="1" applyAlignment="1" applyProtection="1">
      <alignment horizontal="center" vertical="center" wrapText="1"/>
    </xf>
    <xf numFmtId="49" fontId="51" fillId="6" borderId="80" xfId="0" applyNumberFormat="1" applyFont="1" applyFill="1" applyBorder="1" applyAlignment="1" applyProtection="1">
      <alignment vertical="center" wrapText="1"/>
    </xf>
    <xf numFmtId="0" fontId="49" fillId="6" borderId="23" xfId="0" applyFont="1" applyFill="1" applyBorder="1" applyAlignment="1" applyProtection="1">
      <alignment horizontal="center" vertical="center" wrapText="1"/>
    </xf>
    <xf numFmtId="0" fontId="49" fillId="5" borderId="24" xfId="0" applyNumberFormat="1" applyFont="1" applyFill="1" applyBorder="1" applyAlignment="1" applyProtection="1">
      <alignment horizontal="center" vertical="center" wrapText="1"/>
      <protection locked="0"/>
    </xf>
    <xf numFmtId="49" fontId="51" fillId="6" borderId="81" xfId="0" applyNumberFormat="1" applyFont="1" applyFill="1" applyBorder="1" applyAlignment="1" applyProtection="1">
      <alignment vertical="center" wrapText="1"/>
    </xf>
    <xf numFmtId="0" fontId="49" fillId="6" borderId="25" xfId="0" applyFont="1" applyFill="1" applyBorder="1" applyAlignment="1" applyProtection="1">
      <alignment horizontal="center" vertical="center" wrapText="1"/>
    </xf>
    <xf numFmtId="0" fontId="49" fillId="0" borderId="49" xfId="0" applyNumberFormat="1" applyFont="1" applyFill="1" applyBorder="1" applyAlignment="1" applyProtection="1">
      <alignment horizontal="center" vertical="center" wrapText="1"/>
      <protection locked="0"/>
    </xf>
    <xf numFmtId="0" fontId="51"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49" fillId="0" borderId="0" xfId="0" applyFont="1" applyFill="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0" fontId="49" fillId="0" borderId="0" xfId="0" applyNumberFormat="1" applyFont="1" applyFill="1" applyAlignment="1" applyProtection="1">
      <alignment horizontal="center" vertical="center" wrapText="1"/>
      <protection locked="0"/>
    </xf>
    <xf numFmtId="0" fontId="52" fillId="6" borderId="0" xfId="0" applyFont="1" applyFill="1" applyProtection="1">
      <alignment vertical="center"/>
    </xf>
    <xf numFmtId="0" fontId="52" fillId="5" borderId="0" xfId="0" applyFont="1" applyFill="1" applyProtection="1">
      <alignment vertical="center"/>
      <protection locked="0"/>
    </xf>
    <xf numFmtId="0" fontId="66" fillId="6" borderId="13" xfId="0" applyFont="1" applyFill="1" applyBorder="1" applyProtection="1">
      <alignment vertical="center"/>
    </xf>
    <xf numFmtId="0" fontId="66" fillId="6" borderId="13" xfId="0" applyNumberFormat="1" applyFont="1" applyFill="1" applyBorder="1" applyProtection="1">
      <alignment vertical="center"/>
    </xf>
    <xf numFmtId="0" fontId="66" fillId="5" borderId="13" xfId="0" applyFont="1" applyFill="1" applyBorder="1" applyAlignment="1" applyProtection="1">
      <alignment horizontal="center" vertical="center"/>
      <protection locked="0"/>
    </xf>
    <xf numFmtId="0" fontId="52" fillId="7" borderId="0" xfId="0" applyFont="1" applyFill="1" applyProtection="1">
      <alignment vertical="center"/>
    </xf>
    <xf numFmtId="0" fontId="52" fillId="0" borderId="0" xfId="0" applyFont="1" applyProtection="1">
      <alignment vertical="center"/>
    </xf>
    <xf numFmtId="0" fontId="49" fillId="6" borderId="13" xfId="0" applyFont="1" applyFill="1" applyBorder="1" applyAlignment="1" applyProtection="1">
      <alignment vertical="center" wrapText="1"/>
    </xf>
    <xf numFmtId="0" fontId="49" fillId="6" borderId="13" xfId="0" applyFont="1" applyFill="1" applyBorder="1" applyAlignment="1" applyProtection="1">
      <alignment horizontal="center" vertical="center" wrapText="1"/>
    </xf>
    <xf numFmtId="0" fontId="106" fillId="2" borderId="13" xfId="0" applyFont="1" applyFill="1" applyBorder="1" applyAlignment="1" applyProtection="1">
      <alignment horizontal="center" vertical="center"/>
      <protection locked="0"/>
    </xf>
    <xf numFmtId="0" fontId="52" fillId="7" borderId="1" xfId="0" applyFont="1" applyFill="1" applyBorder="1" applyProtection="1">
      <alignment vertical="center"/>
    </xf>
    <xf numFmtId="0" fontId="52" fillId="6" borderId="54" xfId="0" applyFont="1" applyFill="1" applyBorder="1" applyAlignment="1" applyProtection="1">
      <alignment vertical="center" wrapText="1"/>
    </xf>
    <xf numFmtId="0" fontId="51" fillId="6" borderId="5" xfId="0" applyFont="1" applyFill="1" applyBorder="1" applyAlignment="1" applyProtection="1">
      <alignment horizontal="right" vertical="center"/>
    </xf>
    <xf numFmtId="0" fontId="52" fillId="7" borderId="1" xfId="0" applyFont="1" applyFill="1" applyBorder="1" applyAlignment="1" applyProtection="1">
      <alignment horizontal="right" vertical="center"/>
    </xf>
    <xf numFmtId="0" fontId="51" fillId="6" borderId="58" xfId="0" applyFont="1" applyFill="1" applyBorder="1" applyAlignment="1" applyProtection="1">
      <alignment horizontal="right" vertical="center"/>
    </xf>
    <xf numFmtId="0" fontId="49" fillId="6" borderId="0" xfId="0" applyFont="1" applyFill="1" applyProtection="1">
      <alignment vertical="center"/>
    </xf>
    <xf numFmtId="0" fontId="51" fillId="6" borderId="16" xfId="0" applyFont="1" applyFill="1" applyBorder="1" applyAlignment="1" applyProtection="1">
      <alignment vertical="center"/>
    </xf>
    <xf numFmtId="0" fontId="49" fillId="6" borderId="9" xfId="0" applyFont="1" applyFill="1" applyBorder="1" applyAlignment="1" applyProtection="1">
      <alignment vertical="center"/>
    </xf>
    <xf numFmtId="0" fontId="52" fillId="6" borderId="21" xfId="0" applyFont="1" applyFill="1" applyBorder="1" applyAlignment="1" applyProtection="1">
      <alignment vertical="center"/>
    </xf>
    <xf numFmtId="0" fontId="51" fillId="6" borderId="18" xfId="0" applyFont="1" applyFill="1" applyBorder="1" applyAlignment="1" applyProtection="1">
      <alignment vertical="center"/>
    </xf>
    <xf numFmtId="0" fontId="49" fillId="6" borderId="32" xfId="0" applyFont="1" applyFill="1" applyBorder="1" applyProtection="1">
      <alignment vertical="center"/>
    </xf>
    <xf numFmtId="0" fontId="52" fillId="6" borderId="68" xfId="0" applyFont="1" applyFill="1" applyBorder="1" applyAlignment="1" applyProtection="1">
      <alignment vertical="center"/>
    </xf>
    <xf numFmtId="0" fontId="49" fillId="6" borderId="70" xfId="0" applyFont="1" applyFill="1" applyBorder="1" applyProtection="1">
      <alignment vertical="center"/>
    </xf>
    <xf numFmtId="0" fontId="49" fillId="6" borderId="34" xfId="0" applyFont="1" applyFill="1" applyBorder="1" applyProtection="1">
      <alignment vertical="center"/>
    </xf>
    <xf numFmtId="0" fontId="49" fillId="6" borderId="21"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108" fillId="0" borderId="23" xfId="0" applyFont="1" applyBorder="1" applyAlignment="1" applyProtection="1">
      <alignment horizontal="center" vertical="center"/>
      <protection locked="0"/>
    </xf>
    <xf numFmtId="0" fontId="108" fillId="6" borderId="0" xfId="0" applyFont="1" applyFill="1" applyBorder="1" applyAlignment="1" applyProtection="1">
      <alignment horizontal="center" vertical="center"/>
    </xf>
    <xf numFmtId="0" fontId="52" fillId="0" borderId="0" xfId="0" applyFont="1" applyFill="1" applyProtection="1">
      <alignment vertical="center"/>
    </xf>
    <xf numFmtId="0" fontId="51" fillId="6" borderId="16" xfId="0" applyFont="1" applyFill="1" applyBorder="1" applyAlignment="1" applyProtection="1">
      <alignment horizontal="left" vertical="center"/>
    </xf>
    <xf numFmtId="0" fontId="49" fillId="6" borderId="19" xfId="0" applyFont="1" applyFill="1" applyBorder="1" applyProtection="1">
      <alignment vertical="center"/>
    </xf>
    <xf numFmtId="0" fontId="51" fillId="5" borderId="62" xfId="0" applyFont="1" applyFill="1" applyBorder="1" applyAlignment="1" applyProtection="1">
      <alignment horizontal="right" vertical="center"/>
      <protection locked="0"/>
    </xf>
    <xf numFmtId="0" fontId="52" fillId="6" borderId="5" xfId="0" applyFont="1" applyFill="1" applyBorder="1" applyProtection="1">
      <alignment vertical="center"/>
    </xf>
    <xf numFmtId="0" fontId="51" fillId="5" borderId="1" xfId="0" applyFont="1" applyFill="1" applyBorder="1" applyAlignment="1" applyProtection="1">
      <alignment horizontal="center" vertical="center"/>
      <protection locked="0"/>
    </xf>
    <xf numFmtId="0" fontId="223" fillId="2" borderId="24" xfId="0" applyFont="1" applyFill="1" applyBorder="1" applyAlignment="1" applyProtection="1">
      <alignment horizontal="center" vertical="center"/>
      <protection locked="0"/>
    </xf>
    <xf numFmtId="0" fontId="52" fillId="6" borderId="30" xfId="0" applyFont="1" applyFill="1" applyBorder="1" applyProtection="1">
      <alignment vertical="center"/>
    </xf>
    <xf numFmtId="0" fontId="52" fillId="6" borderId="10" xfId="0" applyFont="1" applyFill="1" applyBorder="1" applyAlignment="1" applyProtection="1">
      <alignment horizontal="center" vertical="center"/>
    </xf>
    <xf numFmtId="0" fontId="51" fillId="6" borderId="69" xfId="0" applyFont="1" applyFill="1" applyBorder="1" applyAlignment="1" applyProtection="1">
      <alignment horizontal="left" vertical="center"/>
    </xf>
    <xf numFmtId="0" fontId="49" fillId="6" borderId="7" xfId="0" applyFont="1" applyFill="1" applyBorder="1" applyAlignment="1" applyProtection="1">
      <alignment horizontal="right" vertical="center"/>
    </xf>
    <xf numFmtId="0" fontId="52" fillId="6" borderId="3" xfId="0" applyFont="1" applyFill="1" applyBorder="1" applyProtection="1">
      <alignment vertical="center"/>
    </xf>
    <xf numFmtId="0" fontId="51" fillId="6" borderId="38" xfId="0" applyFont="1" applyFill="1" applyBorder="1" applyAlignment="1" applyProtection="1">
      <alignment horizontal="left" vertical="center"/>
    </xf>
    <xf numFmtId="0" fontId="49" fillId="6" borderId="66" xfId="0" applyFont="1" applyFill="1" applyBorder="1" applyAlignment="1" applyProtection="1">
      <alignment horizontal="right" vertical="center"/>
    </xf>
    <xf numFmtId="0" fontId="52" fillId="6" borderId="66" xfId="0" applyFont="1" applyFill="1" applyBorder="1" applyProtection="1">
      <alignment vertical="center"/>
    </xf>
    <xf numFmtId="0" fontId="49" fillId="6" borderId="30" xfId="0" applyFont="1" applyFill="1" applyBorder="1" applyAlignment="1" applyProtection="1">
      <alignment horizontal="left" vertical="center"/>
    </xf>
    <xf numFmtId="0" fontId="49" fillId="5" borderId="63" xfId="0" applyFont="1" applyFill="1" applyBorder="1" applyProtection="1">
      <alignment vertical="center"/>
      <protection locked="0"/>
    </xf>
    <xf numFmtId="0" fontId="49" fillId="6" borderId="65" xfId="0" applyFont="1" applyFill="1" applyBorder="1" applyProtection="1">
      <alignment vertical="center"/>
    </xf>
    <xf numFmtId="0" fontId="49" fillId="6" borderId="0" xfId="0" applyFont="1" applyFill="1" applyBorder="1" applyAlignment="1" applyProtection="1">
      <alignment horizontal="left" vertical="center"/>
      <protection locked="0"/>
    </xf>
    <xf numFmtId="0" fontId="49" fillId="6" borderId="66" xfId="0" applyFont="1" applyFill="1" applyBorder="1" applyAlignment="1" applyProtection="1">
      <alignment horizontal="left" vertical="center"/>
    </xf>
    <xf numFmtId="0" fontId="49" fillId="0" borderId="65" xfId="0" applyFont="1" applyFill="1" applyBorder="1" applyProtection="1">
      <alignment vertical="center"/>
      <protection locked="0"/>
    </xf>
    <xf numFmtId="0" fontId="108" fillId="0" borderId="6" xfId="0" applyFont="1" applyFill="1" applyBorder="1" applyAlignment="1" applyProtection="1">
      <alignment horizontal="center" vertical="center"/>
      <protection locked="0"/>
    </xf>
    <xf numFmtId="0" fontId="108" fillId="0" borderId="9" xfId="0" applyFont="1" applyFill="1" applyBorder="1" applyAlignment="1" applyProtection="1">
      <alignment horizontal="center" vertical="center"/>
      <protection locked="0"/>
    </xf>
    <xf numFmtId="0" fontId="108" fillId="0" borderId="10" xfId="0" applyFont="1" applyFill="1" applyBorder="1" applyAlignment="1" applyProtection="1">
      <alignment horizontal="center" vertical="center"/>
      <protection locked="0"/>
    </xf>
    <xf numFmtId="0" fontId="52" fillId="6" borderId="18" xfId="0" applyFont="1" applyFill="1" applyBorder="1" applyProtection="1">
      <alignment vertical="center"/>
    </xf>
    <xf numFmtId="0" fontId="52" fillId="6" borderId="42" xfId="0" applyFont="1" applyFill="1" applyBorder="1" applyProtection="1">
      <alignment vertical="center"/>
    </xf>
    <xf numFmtId="0" fontId="122" fillId="6" borderId="0" xfId="0" applyFont="1" applyFill="1" applyBorder="1" applyAlignment="1" applyProtection="1">
      <alignment horizontal="center" vertical="center"/>
    </xf>
    <xf numFmtId="0" fontId="122" fillId="6" borderId="0" xfId="0" applyFont="1" applyFill="1" applyProtection="1">
      <alignment vertical="center"/>
    </xf>
    <xf numFmtId="0" fontId="111" fillId="6" borderId="0" xfId="0" applyFont="1" applyFill="1" applyBorder="1" applyAlignment="1" applyProtection="1">
      <alignment horizontal="left" vertical="center"/>
    </xf>
    <xf numFmtId="0" fontId="224" fillId="6" borderId="0" xfId="0" applyFont="1" applyFill="1" applyBorder="1" applyAlignment="1" applyProtection="1">
      <alignment horizontal="left" vertical="center"/>
    </xf>
    <xf numFmtId="0" fontId="246" fillId="6" borderId="0" xfId="0" applyFont="1" applyFill="1" applyBorder="1" applyAlignment="1" applyProtection="1">
      <alignment vertical="center"/>
    </xf>
    <xf numFmtId="0" fontId="246" fillId="6" borderId="0" xfId="0" applyFont="1" applyFill="1" applyBorder="1" applyAlignment="1" applyProtection="1">
      <alignment horizontal="center" vertical="center"/>
    </xf>
    <xf numFmtId="0" fontId="110" fillId="6" borderId="0" xfId="0" applyFont="1" applyFill="1" applyBorder="1" applyAlignment="1" applyProtection="1">
      <alignment horizontal="left" vertical="center"/>
    </xf>
    <xf numFmtId="0" fontId="106" fillId="6" borderId="0" xfId="0" applyFont="1" applyFill="1" applyBorder="1" applyProtection="1">
      <alignment vertical="center"/>
    </xf>
    <xf numFmtId="9" fontId="52" fillId="6" borderId="0" xfId="0" applyNumberFormat="1" applyFont="1" applyFill="1" applyAlignment="1" applyProtection="1">
      <alignment horizontal="center" vertical="center"/>
      <protection locked="0"/>
    </xf>
    <xf numFmtId="0" fontId="53" fillId="0" borderId="24" xfId="0" applyFont="1" applyFill="1" applyBorder="1" applyAlignment="1" applyProtection="1">
      <alignment vertical="center" wrapText="1"/>
      <protection locked="0"/>
    </xf>
    <xf numFmtId="0" fontId="52" fillId="5" borderId="3" xfId="0" applyFont="1" applyFill="1" applyBorder="1" applyAlignment="1" applyProtection="1">
      <alignment horizontal="center" vertical="center"/>
      <protection locked="0"/>
    </xf>
    <xf numFmtId="10" fontId="52" fillId="6" borderId="0" xfId="0" applyNumberFormat="1" applyFont="1" applyFill="1" applyAlignment="1" applyProtection="1">
      <alignment horizontal="center" vertical="center"/>
      <protection locked="0"/>
    </xf>
    <xf numFmtId="0" fontId="110" fillId="6" borderId="1" xfId="0" applyFont="1" applyFill="1" applyBorder="1" applyAlignment="1" applyProtection="1">
      <alignment horizontal="center" vertical="center" wrapText="1"/>
    </xf>
    <xf numFmtId="0" fontId="52" fillId="6" borderId="24" xfId="0" applyFont="1" applyFill="1" applyBorder="1" applyProtection="1">
      <alignment vertical="center"/>
    </xf>
    <xf numFmtId="0" fontId="53" fillId="6" borderId="0" xfId="0" applyFont="1" applyFill="1" applyProtection="1">
      <alignment vertical="center"/>
      <protection locked="0"/>
    </xf>
    <xf numFmtId="0" fontId="122" fillId="0" borderId="24" xfId="0" applyFont="1" applyFill="1" applyBorder="1" applyAlignment="1" applyProtection="1">
      <alignment vertical="center" wrapText="1"/>
      <protection locked="0"/>
    </xf>
    <xf numFmtId="0" fontId="52" fillId="2" borderId="3" xfId="0"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wrapText="1"/>
      <protection locked="0"/>
    </xf>
    <xf numFmtId="0" fontId="107" fillId="6" borderId="5" xfId="0" applyFont="1" applyFill="1" applyBorder="1" applyAlignment="1" applyProtection="1">
      <alignment horizontal="center" vertical="center" wrapText="1"/>
    </xf>
    <xf numFmtId="0" fontId="114" fillId="6" borderId="22" xfId="0" applyFont="1" applyFill="1" applyBorder="1" applyAlignment="1" applyProtection="1">
      <alignment vertical="center" wrapText="1"/>
    </xf>
    <xf numFmtId="0" fontId="114" fillId="6" borderId="54" xfId="0" applyFont="1" applyFill="1" applyBorder="1" applyAlignment="1" applyProtection="1">
      <alignment horizontal="center" vertical="center"/>
    </xf>
    <xf numFmtId="0" fontId="114" fillId="6" borderId="3" xfId="0" applyFont="1" applyFill="1" applyBorder="1" applyAlignment="1" applyProtection="1">
      <alignment vertical="center" wrapText="1"/>
    </xf>
    <xf numFmtId="0" fontId="122" fillId="0" borderId="49" xfId="0" applyFont="1" applyFill="1" applyBorder="1" applyAlignment="1" applyProtection="1">
      <alignment vertical="center" wrapText="1"/>
      <protection locked="0"/>
    </xf>
    <xf numFmtId="0" fontId="114" fillId="6" borderId="35" xfId="0" applyFont="1" applyFill="1" applyBorder="1" applyAlignment="1" applyProtection="1">
      <alignment vertical="center" wrapText="1"/>
    </xf>
    <xf numFmtId="0" fontId="52" fillId="6" borderId="0" xfId="0" applyFont="1" applyFill="1" applyBorder="1" applyAlignment="1" applyProtection="1">
      <alignment horizontal="left" vertical="center" wrapText="1"/>
    </xf>
    <xf numFmtId="0" fontId="52" fillId="6" borderId="0" xfId="0" applyFont="1" applyFill="1" applyBorder="1" applyAlignment="1" applyProtection="1">
      <alignment horizontal="center" vertical="center"/>
      <protection locked="0"/>
    </xf>
    <xf numFmtId="0" fontId="114" fillId="6" borderId="7" xfId="0" applyFont="1" applyFill="1" applyBorder="1" applyAlignment="1" applyProtection="1">
      <alignment vertical="center" wrapText="1"/>
    </xf>
    <xf numFmtId="0" fontId="177" fillId="6" borderId="1" xfId="0" applyFont="1" applyFill="1" applyBorder="1" applyAlignment="1">
      <alignment horizontal="center" vertical="center" wrapText="1"/>
    </xf>
    <xf numFmtId="49" fontId="57" fillId="6" borderId="18" xfId="0" applyNumberFormat="1" applyFont="1" applyFill="1" applyBorder="1" applyAlignment="1" applyProtection="1">
      <alignment horizontal="left" vertical="center" wrapText="1"/>
    </xf>
    <xf numFmtId="0" fontId="59" fillId="6" borderId="0" xfId="0" applyFont="1" applyFill="1" applyBorder="1" applyAlignment="1" applyProtection="1">
      <alignment horizontal="left" vertical="center" wrapText="1"/>
    </xf>
    <xf numFmtId="177" fontId="59" fillId="6" borderId="0" xfId="0" applyNumberFormat="1" applyFont="1" applyFill="1" applyBorder="1" applyAlignment="1" applyProtection="1">
      <alignment horizontal="center" vertical="center" wrapText="1"/>
    </xf>
    <xf numFmtId="10" fontId="58" fillId="6" borderId="0" xfId="0" applyNumberFormat="1" applyFont="1" applyFill="1" applyBorder="1" applyAlignment="1" applyProtection="1">
      <alignment horizontal="center" vertical="center" wrapText="1"/>
    </xf>
    <xf numFmtId="0" fontId="52" fillId="6" borderId="0" xfId="0" applyFont="1" applyFill="1" applyBorder="1" applyAlignment="1" applyProtection="1">
      <alignment horizontal="left" vertical="center"/>
    </xf>
    <xf numFmtId="0" fontId="177" fillId="6" borderId="1" xfId="0" applyFont="1" applyFill="1" applyBorder="1" applyAlignment="1">
      <alignment vertical="center" wrapText="1"/>
    </xf>
    <xf numFmtId="0" fontId="52" fillId="6" borderId="0" xfId="2" applyFont="1" applyFill="1" applyBorder="1" applyAlignment="1" applyProtection="1">
      <alignment horizontal="left" vertical="center" wrapText="1"/>
    </xf>
    <xf numFmtId="0" fontId="106" fillId="0" borderId="0" xfId="0" applyFont="1" applyFill="1" applyProtection="1">
      <alignment vertical="center"/>
    </xf>
    <xf numFmtId="0" fontId="106" fillId="7" borderId="0" xfId="0" applyFont="1" applyFill="1" applyProtection="1">
      <alignment vertical="center"/>
      <protection locked="0"/>
    </xf>
    <xf numFmtId="0" fontId="106" fillId="7" borderId="0" xfId="0" applyFont="1" applyFill="1" applyProtection="1">
      <alignment vertical="center"/>
    </xf>
    <xf numFmtId="0" fontId="106" fillId="6" borderId="0" xfId="2" applyFont="1" applyFill="1" applyAlignment="1" applyProtection="1">
      <alignment vertical="center" wrapText="1"/>
      <protection locked="0"/>
    </xf>
    <xf numFmtId="0" fontId="49" fillId="2" borderId="1" xfId="2" applyFont="1" applyFill="1" applyBorder="1" applyAlignment="1" applyProtection="1">
      <alignment horizontal="center" vertical="center" wrapText="1"/>
      <protection locked="0"/>
    </xf>
    <xf numFmtId="0" fontId="106" fillId="6" borderId="0" xfId="0" applyFont="1" applyFill="1" applyProtection="1">
      <alignment vertical="center"/>
      <protection locked="0"/>
    </xf>
    <xf numFmtId="0" fontId="52" fillId="2" borderId="54" xfId="0" applyFont="1" applyFill="1" applyBorder="1" applyAlignment="1" applyProtection="1">
      <alignment horizontal="left" vertical="center" wrapText="1"/>
      <protection locked="0"/>
    </xf>
    <xf numFmtId="0" fontId="106" fillId="6" borderId="0" xfId="2" applyFont="1" applyFill="1" applyProtection="1">
      <protection locked="0"/>
    </xf>
    <xf numFmtId="49" fontId="57" fillId="6" borderId="23" xfId="0" applyNumberFormat="1" applyFont="1" applyFill="1" applyBorder="1" applyAlignment="1" applyProtection="1">
      <alignment vertical="center" wrapText="1"/>
    </xf>
    <xf numFmtId="49" fontId="57" fillId="6" borderId="25" xfId="0" applyNumberFormat="1" applyFont="1" applyFill="1" applyBorder="1" applyAlignment="1" applyProtection="1">
      <alignment vertical="center" wrapText="1"/>
    </xf>
    <xf numFmtId="10" fontId="52" fillId="2" borderId="48" xfId="0" applyNumberFormat="1" applyFont="1" applyFill="1" applyBorder="1" applyAlignment="1" applyProtection="1">
      <alignment horizontal="left" vertical="center" wrapText="1"/>
      <protection locked="0"/>
    </xf>
    <xf numFmtId="10" fontId="52" fillId="5" borderId="48" xfId="0" applyNumberFormat="1" applyFont="1" applyFill="1" applyBorder="1" applyAlignment="1" applyProtection="1">
      <alignment horizontal="left" vertical="center" wrapText="1"/>
      <protection locked="0"/>
    </xf>
    <xf numFmtId="0" fontId="106" fillId="0" borderId="23" xfId="0" applyFont="1" applyFill="1" applyBorder="1" applyProtection="1">
      <alignment vertical="center"/>
      <protection locked="0"/>
    </xf>
    <xf numFmtId="0" fontId="135" fillId="6" borderId="1" xfId="0" applyFont="1" applyFill="1" applyBorder="1" applyAlignment="1" applyProtection="1">
      <alignment vertical="center" wrapText="1"/>
    </xf>
    <xf numFmtId="0" fontId="112" fillId="6" borderId="1" xfId="0" applyFont="1" applyFill="1" applyBorder="1" applyAlignment="1" applyProtection="1">
      <alignment vertical="center" wrapText="1"/>
    </xf>
    <xf numFmtId="0" fontId="135" fillId="6" borderId="5" xfId="0" applyFont="1" applyFill="1" applyBorder="1" applyAlignment="1" applyProtection="1">
      <alignment vertical="center" wrapText="1"/>
    </xf>
    <xf numFmtId="0" fontId="135" fillId="6" borderId="33" xfId="0" applyFont="1" applyFill="1" applyBorder="1" applyAlignment="1" applyProtection="1">
      <alignment vertical="center" wrapText="1"/>
    </xf>
    <xf numFmtId="0" fontId="49" fillId="6" borderId="23" xfId="0" applyFont="1" applyFill="1" applyBorder="1" applyAlignment="1" applyProtection="1">
      <alignment horizontal="left" vertical="center"/>
    </xf>
    <xf numFmtId="0" fontId="135" fillId="6" borderId="32"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142" fillId="0" borderId="46" xfId="0" applyFont="1" applyBorder="1" applyAlignment="1" applyProtection="1">
      <alignment horizontal="left" vertical="center"/>
    </xf>
    <xf numFmtId="0" fontId="52" fillId="0" borderId="36" xfId="0" applyFont="1" applyBorder="1" applyAlignment="1" applyProtection="1">
      <alignment horizontal="left" vertical="center" wrapText="1"/>
    </xf>
    <xf numFmtId="0" fontId="61" fillId="5" borderId="36" xfId="0" applyFont="1" applyFill="1" applyBorder="1" applyAlignment="1" applyProtection="1">
      <alignment horizontal="left" vertical="center" wrapText="1"/>
      <protection locked="0"/>
    </xf>
    <xf numFmtId="0" fontId="52" fillId="7" borderId="36" xfId="0" applyFont="1" applyFill="1" applyBorder="1" applyAlignment="1" applyProtection="1">
      <alignment horizontal="center" vertical="center" wrapText="1"/>
    </xf>
    <xf numFmtId="0" fontId="52" fillId="7" borderId="36" xfId="0" applyFont="1" applyFill="1" applyBorder="1" applyAlignment="1" applyProtection="1">
      <alignment horizontal="center" vertical="center"/>
    </xf>
    <xf numFmtId="0" fontId="52" fillId="7" borderId="22" xfId="0" applyFont="1" applyFill="1" applyBorder="1" applyProtection="1">
      <alignment vertical="center"/>
    </xf>
    <xf numFmtId="0" fontId="52" fillId="7" borderId="58" xfId="0" applyFont="1" applyFill="1" applyBorder="1" applyAlignment="1" applyProtection="1">
      <alignment horizontal="left" vertical="center" wrapText="1"/>
      <protection locked="0"/>
    </xf>
    <xf numFmtId="0" fontId="52" fillId="7" borderId="0" xfId="0" applyFont="1" applyFill="1" applyBorder="1" applyAlignment="1" applyProtection="1">
      <alignment horizontal="left" vertical="center" wrapText="1"/>
      <protection locked="0"/>
    </xf>
    <xf numFmtId="0" fontId="52" fillId="7" borderId="0" xfId="0" applyFont="1" applyFill="1" applyBorder="1" applyAlignment="1" applyProtection="1">
      <alignment horizontal="center" vertical="center" wrapText="1"/>
      <protection locked="0"/>
    </xf>
    <xf numFmtId="0" fontId="52" fillId="7" borderId="0" xfId="0" applyFont="1" applyFill="1" applyBorder="1" applyAlignment="1" applyProtection="1">
      <alignment horizontal="center" vertical="center"/>
      <protection locked="0"/>
    </xf>
    <xf numFmtId="0" fontId="52" fillId="7" borderId="35" xfId="0" applyFont="1" applyFill="1" applyBorder="1" applyProtection="1">
      <alignment vertical="center"/>
      <protection locked="0"/>
    </xf>
    <xf numFmtId="0" fontId="52" fillId="7" borderId="4" xfId="0" applyFont="1" applyFill="1" applyBorder="1" applyAlignment="1" applyProtection="1">
      <alignment horizontal="left" vertical="center" wrapText="1"/>
      <protection locked="0"/>
    </xf>
    <xf numFmtId="0" fontId="52" fillId="7" borderId="60" xfId="0" applyFont="1" applyFill="1" applyBorder="1" applyAlignment="1" applyProtection="1">
      <alignment horizontal="left" vertical="center" wrapText="1"/>
      <protection locked="0"/>
    </xf>
    <xf numFmtId="0" fontId="52" fillId="7" borderId="60" xfId="0" applyFont="1" applyFill="1" applyBorder="1" applyAlignment="1" applyProtection="1">
      <alignment horizontal="center" vertical="center" wrapText="1"/>
      <protection locked="0"/>
    </xf>
    <xf numFmtId="0" fontId="52" fillId="7" borderId="60" xfId="0" applyFont="1" applyFill="1" applyBorder="1" applyAlignment="1" applyProtection="1">
      <alignment horizontal="center" vertical="center"/>
      <protection locked="0"/>
    </xf>
    <xf numFmtId="0" fontId="52" fillId="7" borderId="7" xfId="0" applyFont="1" applyFill="1" applyBorder="1" applyProtection="1">
      <alignment vertical="center"/>
      <protection locked="0"/>
    </xf>
    <xf numFmtId="0" fontId="57" fillId="7" borderId="60" xfId="0" applyFont="1" applyFill="1" applyBorder="1" applyAlignment="1" applyProtection="1">
      <alignment horizontal="left" vertical="center"/>
      <protection locked="0"/>
    </xf>
    <xf numFmtId="0" fontId="52" fillId="7" borderId="60" xfId="0" applyFont="1" applyFill="1" applyBorder="1" applyProtection="1">
      <alignment vertical="center"/>
      <protection locked="0"/>
    </xf>
    <xf numFmtId="0" fontId="52" fillId="7" borderId="60" xfId="0" applyFont="1" applyFill="1" applyBorder="1" applyAlignment="1" applyProtection="1">
      <alignment horizontal="right" vertical="center"/>
      <protection locked="0"/>
    </xf>
    <xf numFmtId="0" fontId="57" fillId="7" borderId="0" xfId="0" applyFont="1" applyFill="1" applyAlignment="1" applyProtection="1">
      <alignment horizontal="left" vertical="center"/>
      <protection locked="0"/>
    </xf>
    <xf numFmtId="2" fontId="52" fillId="7" borderId="0" xfId="0" applyNumberFormat="1" applyFont="1" applyFill="1" applyAlignment="1" applyProtection="1">
      <alignment vertical="center" wrapText="1"/>
      <protection locked="0"/>
    </xf>
    <xf numFmtId="0" fontId="57" fillId="7" borderId="0" xfId="0" applyFont="1" applyFill="1" applyAlignment="1" applyProtection="1">
      <alignment vertical="center" wrapText="1"/>
      <protection locked="0"/>
    </xf>
    <xf numFmtId="0" fontId="59" fillId="5" borderId="5" xfId="1" applyFont="1" applyFill="1" applyBorder="1" applyAlignment="1" applyProtection="1">
      <alignment vertical="center"/>
      <protection locked="0"/>
    </xf>
    <xf numFmtId="0" fontId="62" fillId="6" borderId="3" xfId="1" applyFont="1" applyFill="1" applyBorder="1" applyAlignment="1" applyProtection="1">
      <alignment vertical="center"/>
    </xf>
    <xf numFmtId="0" fontId="62" fillId="5" borderId="1" xfId="1" applyFont="1" applyFill="1" applyBorder="1" applyAlignment="1" applyProtection="1">
      <alignment vertical="center"/>
      <protection locked="0"/>
    </xf>
    <xf numFmtId="0" fontId="59" fillId="5" borderId="24" xfId="1" applyFont="1" applyFill="1" applyBorder="1" applyAlignment="1" applyProtection="1">
      <alignment horizontal="left" vertical="center"/>
      <protection locked="0"/>
    </xf>
    <xf numFmtId="0" fontId="150" fillId="5" borderId="24" xfId="1" applyFont="1" applyFill="1" applyBorder="1" applyAlignment="1" applyProtection="1">
      <alignment horizontal="right" vertical="center"/>
      <protection locked="0"/>
    </xf>
    <xf numFmtId="0" fontId="150" fillId="3" borderId="0" xfId="0" applyFont="1" applyFill="1" applyAlignment="1" applyProtection="1">
      <alignment vertical="center"/>
      <protection locked="0"/>
    </xf>
    <xf numFmtId="0" fontId="142" fillId="6" borderId="19" xfId="1" applyFont="1" applyFill="1" applyBorder="1" applyAlignment="1" applyProtection="1">
      <alignment vertical="center"/>
    </xf>
    <xf numFmtId="186" fontId="52" fillId="5" borderId="1" xfId="0" applyNumberFormat="1" applyFont="1" applyFill="1" applyBorder="1" applyAlignment="1" applyProtection="1">
      <alignment horizontal="center" vertical="center" wrapText="1"/>
      <protection locked="0"/>
    </xf>
    <xf numFmtId="49" fontId="52" fillId="6" borderId="11" xfId="0" applyNumberFormat="1" applyFont="1" applyFill="1" applyBorder="1" applyAlignment="1" applyProtection="1">
      <alignment horizontal="center" vertical="center"/>
    </xf>
    <xf numFmtId="0" fontId="150" fillId="5" borderId="5" xfId="1" applyFont="1" applyFill="1" applyBorder="1" applyAlignment="1" applyProtection="1">
      <alignment horizontal="right" vertical="center"/>
      <protection locked="0"/>
    </xf>
    <xf numFmtId="0" fontId="57" fillId="6" borderId="54" xfId="0" applyFont="1" applyFill="1" applyBorder="1" applyAlignment="1" applyProtection="1">
      <alignment vertical="center"/>
    </xf>
    <xf numFmtId="0" fontId="52" fillId="6" borderId="5" xfId="0" applyFont="1" applyFill="1" applyBorder="1" applyAlignment="1" applyProtection="1"/>
    <xf numFmtId="0" fontId="51" fillId="6" borderId="1" xfId="1" applyFont="1" applyFill="1" applyBorder="1" applyAlignment="1" applyProtection="1">
      <alignment vertical="center" wrapText="1"/>
    </xf>
    <xf numFmtId="49" fontId="52" fillId="6" borderId="25" xfId="0" applyNumberFormat="1" applyFont="1" applyFill="1" applyBorder="1" applyAlignment="1" applyProtection="1">
      <alignment horizontal="center" vertical="center"/>
    </xf>
    <xf numFmtId="49" fontId="109" fillId="6" borderId="51" xfId="0" applyNumberFormat="1" applyFont="1" applyFill="1" applyBorder="1" applyAlignment="1" applyProtection="1"/>
    <xf numFmtId="0" fontId="106" fillId="6" borderId="19" xfId="0" applyFont="1" applyFill="1" applyBorder="1">
      <alignment vertical="center"/>
    </xf>
    <xf numFmtId="0" fontId="106" fillId="6" borderId="31" xfId="0" applyFont="1" applyFill="1" applyBorder="1">
      <alignment vertical="center"/>
    </xf>
    <xf numFmtId="0" fontId="62" fillId="6" borderId="23" xfId="1" applyFont="1" applyFill="1" applyBorder="1" applyAlignment="1" applyProtection="1">
      <alignment vertical="center"/>
    </xf>
    <xf numFmtId="0" fontId="106" fillId="6" borderId="5" xfId="0" applyFont="1" applyFill="1" applyBorder="1">
      <alignment vertical="center"/>
    </xf>
    <xf numFmtId="0" fontId="106" fillId="6" borderId="3" xfId="0" applyFont="1" applyFill="1" applyBorder="1">
      <alignment vertical="center"/>
    </xf>
    <xf numFmtId="0" fontId="223" fillId="6" borderId="1" xfId="0" applyFont="1" applyFill="1" applyBorder="1">
      <alignment vertical="center"/>
    </xf>
    <xf numFmtId="0" fontId="106" fillId="6" borderId="24" xfId="0" applyFont="1" applyFill="1" applyBorder="1" applyProtection="1">
      <alignment vertical="center"/>
    </xf>
    <xf numFmtId="0" fontId="106" fillId="6" borderId="0" xfId="0" applyFont="1" applyFill="1" applyBorder="1">
      <alignment vertical="center"/>
    </xf>
    <xf numFmtId="0" fontId="106" fillId="6" borderId="56" xfId="0" applyFont="1" applyFill="1" applyBorder="1" applyProtection="1">
      <alignment vertical="center"/>
    </xf>
    <xf numFmtId="0" fontId="62" fillId="6" borderId="18" xfId="1" applyFont="1" applyFill="1" applyBorder="1" applyAlignment="1" applyProtection="1">
      <alignment vertical="center"/>
    </xf>
    <xf numFmtId="0" fontId="223" fillId="6" borderId="23" xfId="0" applyFont="1" applyFill="1" applyBorder="1" applyAlignment="1">
      <alignment horizontal="center" vertical="center"/>
    </xf>
    <xf numFmtId="0" fontId="223" fillId="6" borderId="0" xfId="0" applyFont="1" applyFill="1" applyBorder="1">
      <alignment vertical="center"/>
    </xf>
    <xf numFmtId="0" fontId="223" fillId="6" borderId="5" xfId="0" applyFont="1" applyFill="1" applyBorder="1" applyAlignment="1" applyProtection="1">
      <alignment horizontal="center" vertical="center"/>
    </xf>
    <xf numFmtId="0" fontId="106" fillId="6" borderId="1" xfId="0" applyFont="1" applyFill="1" applyBorder="1" applyAlignment="1">
      <alignment horizontal="center" vertical="center"/>
    </xf>
    <xf numFmtId="0" fontId="106" fillId="6" borderId="23" xfId="0" applyFont="1" applyFill="1" applyBorder="1" applyAlignment="1">
      <alignment horizontal="center" vertical="center"/>
    </xf>
    <xf numFmtId="0" fontId="106" fillId="6" borderId="5" xfId="0" applyFont="1" applyFill="1" applyBorder="1" applyProtection="1">
      <alignment vertical="center"/>
    </xf>
    <xf numFmtId="0" fontId="106" fillId="5" borderId="1" xfId="0" applyFont="1" applyFill="1" applyBorder="1" applyAlignment="1" applyProtection="1">
      <alignment horizontal="center" vertical="center"/>
      <protection locked="0"/>
    </xf>
    <xf numFmtId="0" fontId="106" fillId="6" borderId="25" xfId="0" applyFont="1" applyFill="1" applyBorder="1" applyAlignment="1">
      <alignment horizontal="center" vertical="center"/>
    </xf>
    <xf numFmtId="0" fontId="106" fillId="6" borderId="66" xfId="0" applyFont="1" applyFill="1" applyBorder="1">
      <alignment vertical="center"/>
    </xf>
    <xf numFmtId="0" fontId="106" fillId="6" borderId="47" xfId="0" applyFont="1" applyFill="1" applyBorder="1">
      <alignment vertical="center"/>
    </xf>
    <xf numFmtId="0" fontId="67" fillId="6" borderId="85" xfId="0" applyFont="1" applyFill="1" applyBorder="1" applyAlignment="1" applyProtection="1">
      <alignment horizontal="right" vertical="center"/>
    </xf>
    <xf numFmtId="0" fontId="67" fillId="5" borderId="119" xfId="0" applyFont="1" applyFill="1" applyBorder="1" applyAlignment="1" applyProtection="1">
      <alignment vertical="center"/>
      <protection locked="0"/>
    </xf>
    <xf numFmtId="0" fontId="67" fillId="5" borderId="78" xfId="0" applyFont="1" applyFill="1" applyBorder="1" applyAlignment="1" applyProtection="1">
      <alignment horizontal="center" vertical="center"/>
      <protection locked="0"/>
    </xf>
    <xf numFmtId="0" fontId="67" fillId="6" borderId="89" xfId="0" applyFont="1" applyFill="1" applyBorder="1" applyAlignment="1" applyProtection="1">
      <alignment horizontal="center" vertical="center"/>
    </xf>
    <xf numFmtId="0" fontId="59" fillId="5" borderId="4" xfId="1" applyFont="1" applyFill="1" applyBorder="1" applyAlignment="1" applyProtection="1">
      <alignment vertical="center"/>
      <protection locked="0"/>
    </xf>
    <xf numFmtId="0" fontId="62" fillId="6" borderId="7" xfId="1" applyFont="1" applyFill="1" applyBorder="1" applyAlignment="1" applyProtection="1">
      <alignment vertical="center"/>
      <protection locked="0"/>
    </xf>
    <xf numFmtId="0" fontId="62" fillId="5" borderId="2" xfId="1" applyFont="1" applyFill="1" applyBorder="1" applyAlignment="1" applyProtection="1">
      <alignment vertical="center"/>
      <protection locked="0"/>
    </xf>
    <xf numFmtId="189"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xf>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0" fontId="251" fillId="6" borderId="0" xfId="0" applyFont="1" applyFill="1" applyBorder="1" applyAlignment="1" applyProtection="1">
      <alignment vertical="center"/>
      <protection locked="0"/>
    </xf>
    <xf numFmtId="189" fontId="49" fillId="6" borderId="21" xfId="0" applyNumberFormat="1" applyFont="1" applyFill="1" applyBorder="1" applyAlignment="1" applyProtection="1">
      <alignment horizontal="center" vertical="center" wrapText="1"/>
    </xf>
    <xf numFmtId="189" fontId="49" fillId="6" borderId="48" xfId="0" applyNumberFormat="1" applyFont="1" applyFill="1" applyBorder="1" applyAlignment="1" applyProtection="1">
      <alignment horizontal="center" vertical="center" wrapText="1"/>
    </xf>
    <xf numFmtId="0" fontId="49" fillId="6" borderId="48" xfId="0" applyNumberFormat="1" applyFont="1" applyFill="1" applyBorder="1" applyAlignment="1" applyProtection="1">
      <alignment horizontal="center" vertical="center" wrapText="1"/>
    </xf>
    <xf numFmtId="49" fontId="49" fillId="2" borderId="70" xfId="0" applyNumberFormat="1" applyFont="1" applyFill="1" applyBorder="1" applyAlignment="1" applyProtection="1">
      <alignment horizontal="center" vertical="center" wrapText="1"/>
      <protection locked="0"/>
    </xf>
    <xf numFmtId="0" fontId="49" fillId="0" borderId="46" xfId="0" applyFont="1" applyFill="1" applyBorder="1" applyAlignment="1" applyProtection="1">
      <alignment horizontal="center" vertical="center" wrapText="1"/>
      <protection locked="0"/>
    </xf>
    <xf numFmtId="0" fontId="63" fillId="6" borderId="48" xfId="0" applyNumberFormat="1" applyFont="1" applyFill="1" applyBorder="1" applyAlignment="1" applyProtection="1">
      <alignment horizontal="center" vertical="center" wrapText="1"/>
    </xf>
    <xf numFmtId="0" fontId="49" fillId="0" borderId="33"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2" borderId="41" xfId="0" applyNumberFormat="1" applyFont="1" applyFill="1" applyBorder="1" applyAlignment="1" applyProtection="1">
      <alignment horizontal="center" vertical="center" wrapText="1"/>
      <protection locked="0"/>
    </xf>
    <xf numFmtId="49" fontId="56" fillId="2" borderId="7" xfId="0" applyNumberFormat="1" applyFont="1" applyFill="1" applyBorder="1" applyAlignment="1" applyProtection="1">
      <alignment horizontal="center" vertical="center" wrapText="1"/>
      <protection locked="0"/>
    </xf>
    <xf numFmtId="0" fontId="63" fillId="6" borderId="50" xfId="0" applyNumberFormat="1" applyFont="1" applyFill="1" applyBorder="1" applyAlignment="1" applyProtection="1">
      <alignment horizontal="center" vertical="center" wrapText="1"/>
    </xf>
    <xf numFmtId="0" fontId="56" fillId="6" borderId="11" xfId="0" applyNumberFormat="1" applyFont="1" applyFill="1" applyBorder="1" applyAlignment="1" applyProtection="1">
      <alignment horizontal="center" vertical="center" wrapText="1"/>
    </xf>
    <xf numFmtId="0" fontId="56" fillId="2" borderId="14" xfId="0" applyNumberFormat="1" applyFont="1" applyFill="1" applyBorder="1" applyAlignment="1" applyProtection="1">
      <alignment horizontal="center" vertical="center" wrapText="1"/>
      <protection locked="0"/>
    </xf>
    <xf numFmtId="49" fontId="56" fillId="2" borderId="14" xfId="0" applyNumberFormat="1" applyFont="1" applyFill="1" applyBorder="1" applyAlignment="1" applyProtection="1">
      <alignment horizontal="center" vertical="center" wrapText="1"/>
      <protection locked="0"/>
    </xf>
    <xf numFmtId="49" fontId="56" fillId="2" borderId="35" xfId="0" applyNumberFormat="1" applyFont="1" applyFill="1" applyBorder="1" applyAlignment="1" applyProtection="1">
      <alignment horizontal="center" vertical="center" wrapText="1"/>
      <protection locked="0"/>
    </xf>
    <xf numFmtId="0" fontId="56" fillId="2" borderId="7" xfId="0" applyNumberFormat="1" applyFont="1" applyFill="1" applyBorder="1" applyAlignment="1" applyProtection="1">
      <alignment horizontal="center" vertical="center" wrapText="1"/>
      <protection locked="0"/>
    </xf>
    <xf numFmtId="0" fontId="63" fillId="6" borderId="80" xfId="0" applyNumberFormat="1" applyFont="1" applyFill="1" applyBorder="1" applyAlignment="1" applyProtection="1">
      <alignment horizontal="center" vertical="center" wrapText="1"/>
    </xf>
    <xf numFmtId="49" fontId="56" fillId="2" borderId="23" xfId="0" applyNumberFormat="1" applyFont="1" applyFill="1" applyBorder="1" applyAlignment="1" applyProtection="1">
      <alignment horizontal="center" vertical="center" wrapText="1"/>
      <protection locked="0"/>
    </xf>
    <xf numFmtId="49" fontId="56" fillId="2" borderId="3" xfId="0" applyNumberFormat="1" applyFont="1" applyFill="1" applyBorder="1" applyAlignment="1" applyProtection="1">
      <alignment horizontal="center" vertical="center" wrapText="1"/>
      <protection locked="0"/>
    </xf>
    <xf numFmtId="0" fontId="56" fillId="0" borderId="54" xfId="0" applyNumberFormat="1" applyFont="1" applyFill="1" applyBorder="1" applyAlignment="1" applyProtection="1">
      <alignment horizontal="center" vertical="center" wrapText="1"/>
      <protection locked="0"/>
    </xf>
    <xf numFmtId="0" fontId="56" fillId="0" borderId="52" xfId="0" applyNumberFormat="1" applyFont="1" applyFill="1" applyBorder="1" applyAlignment="1" applyProtection="1">
      <alignment horizontal="center" vertical="center" wrapText="1"/>
      <protection locked="0"/>
    </xf>
    <xf numFmtId="0" fontId="56" fillId="2" borderId="6" xfId="0" applyFont="1" applyFill="1" applyBorder="1" applyAlignment="1" applyProtection="1">
      <alignment horizontal="center" vertical="center" wrapText="1"/>
      <protection locked="0"/>
    </xf>
    <xf numFmtId="0" fontId="56" fillId="2" borderId="30" xfId="0" applyFont="1" applyFill="1" applyBorder="1" applyAlignment="1" applyProtection="1">
      <alignment horizontal="center" vertical="center" wrapText="1"/>
      <protection locked="0"/>
    </xf>
    <xf numFmtId="0" fontId="56" fillId="2" borderId="23" xfId="0" applyFont="1" applyFill="1" applyBorder="1" applyAlignment="1" applyProtection="1">
      <alignment horizontal="center" vertical="center" wrapText="1"/>
      <protection locked="0"/>
    </xf>
    <xf numFmtId="0" fontId="56" fillId="2" borderId="3" xfId="0" applyFont="1" applyFill="1" applyBorder="1" applyAlignment="1" applyProtection="1">
      <alignment horizontal="center" vertical="center" wrapText="1"/>
      <protection locked="0"/>
    </xf>
    <xf numFmtId="189" fontId="56" fillId="6" borderId="48" xfId="0" applyNumberFormat="1" applyFont="1" applyFill="1" applyBorder="1" applyAlignment="1" applyProtection="1">
      <alignment horizontal="center" vertical="center"/>
    </xf>
    <xf numFmtId="189" fontId="56" fillId="6" borderId="48" xfId="0" applyNumberFormat="1" applyFont="1" applyFill="1" applyBorder="1" applyAlignment="1" applyProtection="1">
      <alignment horizontal="center" vertical="center" wrapText="1"/>
    </xf>
    <xf numFmtId="189" fontId="56" fillId="6" borderId="49" xfId="0" applyNumberFormat="1" applyFont="1" applyFill="1" applyBorder="1" applyAlignment="1" applyProtection="1">
      <alignment horizontal="center" vertical="center" wrapText="1"/>
    </xf>
    <xf numFmtId="0" fontId="56" fillId="0" borderId="18" xfId="0" applyFont="1" applyFill="1" applyBorder="1" applyAlignment="1" applyProtection="1">
      <alignment horizontal="center" vertical="center"/>
      <protection locked="0"/>
    </xf>
    <xf numFmtId="0" fontId="73" fillId="0" borderId="18" xfId="0" applyFont="1" applyFill="1" applyBorder="1" applyAlignment="1" applyProtection="1">
      <alignment horizontal="center" vertical="center"/>
      <protection locked="0"/>
    </xf>
    <xf numFmtId="0" fontId="56" fillId="0" borderId="18" xfId="0" applyFont="1" applyBorder="1" applyAlignment="1" applyProtection="1">
      <protection locked="0"/>
    </xf>
    <xf numFmtId="0" fontId="51" fillId="6" borderId="0" xfId="0" applyNumberFormat="1" applyFont="1" applyFill="1" applyBorder="1" applyAlignment="1" applyProtection="1">
      <alignment vertical="center" wrapText="1"/>
    </xf>
    <xf numFmtId="9" fontId="49" fillId="0" borderId="18" xfId="0" applyNumberFormat="1" applyFont="1" applyFill="1" applyBorder="1" applyAlignment="1" applyProtection="1">
      <alignment horizontal="center" vertical="center" wrapText="1"/>
      <protection locked="0"/>
    </xf>
    <xf numFmtId="0" fontId="106" fillId="0" borderId="18" xfId="0" applyFont="1" applyFill="1" applyBorder="1" applyAlignment="1" applyProtection="1">
      <alignment vertical="center"/>
      <protection locked="0"/>
    </xf>
    <xf numFmtId="0" fontId="49" fillId="0" borderId="18" xfId="0" applyFont="1" applyFill="1" applyBorder="1" applyAlignment="1" applyProtection="1">
      <alignment horizontal="center" vertical="center" wrapText="1"/>
      <protection locked="0"/>
    </xf>
    <xf numFmtId="0" fontId="54" fillId="0" borderId="18" xfId="0" applyFont="1" applyFill="1" applyBorder="1" applyAlignment="1" applyProtection="1">
      <alignment horizontal="center" vertical="center" wrapText="1"/>
      <protection locked="0"/>
    </xf>
    <xf numFmtId="0" fontId="54" fillId="0" borderId="18" xfId="0" applyFont="1" applyFill="1" applyBorder="1" applyAlignment="1" applyProtection="1">
      <alignment horizontal="center" vertical="center"/>
      <protection locked="0"/>
    </xf>
    <xf numFmtId="0" fontId="54" fillId="0" borderId="18" xfId="0" applyFont="1" applyFill="1" applyBorder="1" applyAlignment="1" applyProtection="1">
      <alignment vertical="center" wrapText="1"/>
      <protection locked="0"/>
    </xf>
    <xf numFmtId="0" fontId="49" fillId="0" borderId="18" xfId="0" applyFont="1" applyFill="1" applyBorder="1" applyAlignment="1" applyProtection="1">
      <alignment vertical="center" wrapText="1"/>
      <protection locked="0"/>
    </xf>
    <xf numFmtId="0" fontId="49" fillId="0" borderId="83" xfId="0" applyNumberFormat="1" applyFont="1" applyFill="1" applyBorder="1" applyAlignment="1" applyProtection="1">
      <alignment horizontal="center" vertical="center"/>
      <protection locked="0"/>
    </xf>
    <xf numFmtId="0" fontId="55" fillId="6" borderId="12" xfId="0" applyNumberFormat="1" applyFont="1" applyFill="1" applyBorder="1" applyAlignment="1" applyProtection="1">
      <alignment vertical="center" wrapText="1"/>
    </xf>
    <xf numFmtId="0" fontId="108" fillId="0" borderId="0" xfId="0" applyFont="1" applyFill="1" applyAlignment="1" applyProtection="1">
      <alignment horizontal="left" vertical="center"/>
      <protection locked="0"/>
    </xf>
    <xf numFmtId="0" fontId="106" fillId="6" borderId="16" xfId="0" applyFont="1" applyFill="1" applyBorder="1" applyAlignment="1" applyProtection="1">
      <alignment horizontal="center" vertical="center"/>
    </xf>
    <xf numFmtId="0" fontId="63" fillId="6" borderId="19" xfId="0" applyFont="1" applyFill="1" applyBorder="1" applyAlignment="1" applyProtection="1">
      <alignment horizontal="center" vertical="center"/>
    </xf>
    <xf numFmtId="0" fontId="56" fillId="6" borderId="19" xfId="0" applyFont="1" applyFill="1" applyBorder="1" applyAlignment="1" applyProtection="1">
      <alignment horizontal="center" vertical="center"/>
    </xf>
    <xf numFmtId="0" fontId="56" fillId="6" borderId="31" xfId="0" applyFont="1" applyFill="1" applyBorder="1" applyAlignment="1" applyProtection="1">
      <alignment horizontal="center" vertical="center"/>
    </xf>
    <xf numFmtId="0" fontId="106" fillId="6" borderId="19" xfId="0" applyFont="1" applyFill="1" applyBorder="1" applyAlignment="1" applyProtection="1">
      <alignment horizontal="center" vertical="center"/>
    </xf>
    <xf numFmtId="0" fontId="63" fillId="6" borderId="31" xfId="0" applyFont="1" applyFill="1" applyBorder="1" applyAlignment="1" applyProtection="1">
      <alignment horizontal="center" vertical="center"/>
    </xf>
    <xf numFmtId="0" fontId="63" fillId="6" borderId="69" xfId="0" applyFont="1" applyFill="1" applyBorder="1" applyProtection="1">
      <alignment vertical="center"/>
    </xf>
    <xf numFmtId="0" fontId="106" fillId="6" borderId="5" xfId="0" applyFont="1" applyFill="1" applyBorder="1" applyAlignment="1" applyProtection="1">
      <alignment horizontal="center" vertical="center"/>
    </xf>
    <xf numFmtId="0" fontId="106" fillId="6" borderId="93" xfId="0" applyFont="1" applyFill="1" applyBorder="1" applyAlignment="1" applyProtection="1">
      <alignment horizontal="center" vertical="center"/>
    </xf>
    <xf numFmtId="0" fontId="63" fillId="6" borderId="60" xfId="0" applyFont="1" applyFill="1" applyBorder="1" applyAlignment="1" applyProtection="1">
      <alignment horizontal="center" vertical="center"/>
    </xf>
    <xf numFmtId="0" fontId="106" fillId="0" borderId="2" xfId="0" applyFont="1" applyBorder="1" applyAlignment="1" applyProtection="1">
      <alignment horizontal="center" vertical="center"/>
      <protection locked="0"/>
    </xf>
    <xf numFmtId="0" fontId="106" fillId="6" borderId="7" xfId="0" applyFont="1" applyFill="1" applyBorder="1" applyAlignment="1" applyProtection="1">
      <alignment horizontal="center" vertical="center"/>
    </xf>
    <xf numFmtId="0" fontId="106" fillId="6" borderId="3" xfId="0" applyFont="1" applyFill="1" applyBorder="1" applyAlignment="1" applyProtection="1">
      <alignment horizontal="center" vertical="center"/>
    </xf>
    <xf numFmtId="0" fontId="106" fillId="0" borderId="1" xfId="0" applyFont="1" applyBorder="1" applyAlignment="1" applyProtection="1">
      <alignment horizontal="center" vertical="center"/>
      <protection locked="0"/>
    </xf>
    <xf numFmtId="0" fontId="106" fillId="6" borderId="25" xfId="0" applyFont="1" applyFill="1" applyBorder="1" applyAlignment="1" applyProtection="1">
      <alignment horizontal="center" vertical="center"/>
    </xf>
    <xf numFmtId="0" fontId="63" fillId="6" borderId="95" xfId="0" applyFont="1" applyFill="1" applyBorder="1" applyAlignment="1" applyProtection="1">
      <alignment horizontal="left" vertical="center"/>
    </xf>
    <xf numFmtId="0" fontId="56" fillId="6" borderId="47" xfId="0" applyFont="1" applyFill="1" applyBorder="1" applyAlignment="1" applyProtection="1">
      <alignment horizontal="center" vertical="center"/>
    </xf>
    <xf numFmtId="0" fontId="56" fillId="6" borderId="43" xfId="0" applyFont="1" applyFill="1" applyBorder="1" applyAlignment="1" applyProtection="1">
      <alignment horizontal="center" vertical="center"/>
    </xf>
    <xf numFmtId="0" fontId="106" fillId="6" borderId="66" xfId="0" applyFont="1" applyFill="1" applyBorder="1" applyAlignment="1" applyProtection="1">
      <alignment horizontal="center" vertical="center"/>
    </xf>
    <xf numFmtId="0" fontId="67" fillId="5" borderId="119" xfId="0" applyFont="1" applyFill="1" applyBorder="1" applyAlignment="1" applyProtection="1">
      <alignment vertical="center"/>
    </xf>
    <xf numFmtId="0" fontId="67" fillId="6" borderId="89" xfId="0" applyFont="1" applyFill="1" applyBorder="1" applyAlignment="1" applyProtection="1">
      <alignment horizontal="center" vertical="center"/>
      <protection locked="0"/>
    </xf>
    <xf numFmtId="0" fontId="67" fillId="6" borderId="87" xfId="0" applyFont="1" applyFill="1" applyBorder="1" applyAlignment="1" applyProtection="1">
      <alignment horizontal="center" vertical="center"/>
      <protection locked="0"/>
    </xf>
    <xf numFmtId="0" fontId="68" fillId="6" borderId="87" xfId="0" applyFont="1" applyFill="1" applyBorder="1" applyAlignment="1" applyProtection="1">
      <alignment horizontal="center" vertical="center"/>
      <protection locked="0"/>
    </xf>
    <xf numFmtId="0" fontId="67" fillId="6" borderId="18" xfId="0" applyFont="1" applyFill="1" applyBorder="1" applyAlignment="1" applyProtection="1">
      <alignment horizontal="center" vertical="center"/>
      <protection locked="0"/>
    </xf>
    <xf numFmtId="0" fontId="68" fillId="6" borderId="0" xfId="0" applyFont="1" applyFill="1" applyBorder="1" applyAlignment="1" applyProtection="1">
      <alignment horizontal="center" vertical="center"/>
      <protection locked="0"/>
    </xf>
    <xf numFmtId="0" fontId="68" fillId="6" borderId="0" xfId="0" applyFont="1" applyFill="1" applyAlignment="1" applyProtection="1">
      <alignment horizontal="center" vertical="center"/>
      <protection locked="0"/>
    </xf>
    <xf numFmtId="49" fontId="56" fillId="6" borderId="11" xfId="0" applyNumberFormat="1" applyFont="1" applyFill="1" applyBorder="1" applyAlignment="1" applyProtection="1">
      <alignment horizontal="center" vertical="center" wrapText="1"/>
    </xf>
    <xf numFmtId="0" fontId="49" fillId="2" borderId="41" xfId="0" applyNumberFormat="1" applyFont="1" applyFill="1" applyBorder="1" applyAlignment="1" applyProtection="1">
      <alignment horizontal="center" vertical="center" wrapText="1"/>
      <protection locked="0"/>
    </xf>
    <xf numFmtId="0" fontId="73" fillId="6" borderId="18" xfId="0" applyFont="1" applyFill="1" applyBorder="1" applyAlignment="1" applyProtection="1">
      <alignment horizontal="center" vertical="center"/>
    </xf>
    <xf numFmtId="0" fontId="56" fillId="6" borderId="18" xfId="0" applyFont="1" applyFill="1" applyBorder="1" applyAlignment="1" applyProtection="1"/>
    <xf numFmtId="9" fontId="49" fillId="6" borderId="0" xfId="0" applyNumberFormat="1" applyFont="1" applyFill="1" applyBorder="1" applyAlignment="1" applyProtection="1">
      <alignment horizontal="center" vertical="center" wrapText="1"/>
    </xf>
    <xf numFmtId="0" fontId="67" fillId="6" borderId="88" xfId="0" applyFont="1" applyFill="1" applyBorder="1" applyAlignment="1" applyProtection="1">
      <alignment horizontal="right" vertical="center"/>
    </xf>
    <xf numFmtId="0" fontId="56" fillId="6" borderId="17" xfId="0" applyFont="1" applyFill="1" applyBorder="1" applyAlignment="1" applyProtection="1">
      <alignment horizontal="center" vertical="center"/>
    </xf>
    <xf numFmtId="0" fontId="49" fillId="6" borderId="24" xfId="0" applyNumberFormat="1" applyFont="1" applyFill="1" applyBorder="1" applyAlignment="1" applyProtection="1">
      <alignment horizontal="center" vertical="center"/>
    </xf>
    <xf numFmtId="0" fontId="49" fillId="0" borderId="7" xfId="0" applyNumberFormat="1" applyFont="1" applyFill="1" applyBorder="1" applyAlignment="1" applyProtection="1">
      <alignment horizontal="center" vertical="center" wrapText="1"/>
      <protection locked="0"/>
    </xf>
    <xf numFmtId="49" fontId="56" fillId="6" borderId="39" xfId="0" applyNumberFormat="1" applyFont="1" applyFill="1" applyBorder="1" applyAlignment="1" applyProtection="1">
      <alignment horizontal="center" vertical="center" wrapText="1"/>
    </xf>
    <xf numFmtId="0" fontId="56" fillId="6" borderId="24" xfId="0" applyNumberFormat="1" applyFont="1" applyFill="1" applyBorder="1" applyAlignment="1" applyProtection="1">
      <alignment horizontal="center" vertical="center"/>
    </xf>
    <xf numFmtId="0" fontId="56" fillId="6" borderId="22" xfId="0" applyNumberFormat="1" applyFont="1" applyFill="1" applyBorder="1" applyAlignment="1" applyProtection="1">
      <alignment horizontal="center" vertical="center" wrapText="1"/>
    </xf>
    <xf numFmtId="0" fontId="56" fillId="2" borderId="35" xfId="0" applyNumberFormat="1" applyFont="1" applyFill="1" applyBorder="1" applyAlignment="1" applyProtection="1">
      <alignment horizontal="center" vertical="center" wrapText="1"/>
      <protection locked="0"/>
    </xf>
    <xf numFmtId="0" fontId="49" fillId="2" borderId="7" xfId="0" applyNumberFormat="1" applyFont="1" applyFill="1" applyBorder="1" applyAlignment="1" applyProtection="1">
      <alignment horizontal="center" vertical="center" wrapText="1"/>
      <protection locked="0"/>
    </xf>
    <xf numFmtId="0" fontId="49" fillId="0" borderId="24" xfId="0" applyFont="1" applyFill="1" applyBorder="1" applyAlignment="1" applyProtection="1">
      <alignment horizontal="center" vertical="center" wrapText="1"/>
      <protection locked="0"/>
    </xf>
    <xf numFmtId="0" fontId="56" fillId="2" borderId="6" xfId="0" applyNumberFormat="1" applyFont="1" applyFill="1" applyBorder="1" applyAlignment="1" applyProtection="1">
      <alignment horizontal="center" vertical="center" wrapText="1"/>
      <protection locked="0"/>
    </xf>
    <xf numFmtId="0" fontId="73" fillId="0" borderId="58" xfId="0" applyFont="1" applyFill="1" applyBorder="1" applyAlignment="1" applyProtection="1">
      <alignment horizontal="center" vertical="center"/>
      <protection locked="0"/>
    </xf>
    <xf numFmtId="0" fontId="56" fillId="0" borderId="58" xfId="0" applyFont="1" applyBorder="1" applyAlignment="1" applyProtection="1">
      <protection locked="0"/>
    </xf>
    <xf numFmtId="9" fontId="49" fillId="0" borderId="58" xfId="0" applyNumberFormat="1" applyFont="1" applyFill="1" applyBorder="1" applyAlignment="1" applyProtection="1">
      <alignment horizontal="center" vertical="center" wrapText="1"/>
      <protection locked="0"/>
    </xf>
    <xf numFmtId="0" fontId="106" fillId="0" borderId="58" xfId="0" applyFont="1" applyFill="1" applyBorder="1" applyAlignment="1" applyProtection="1">
      <alignment vertical="center"/>
      <protection locked="0"/>
    </xf>
    <xf numFmtId="0" fontId="49" fillId="0" borderId="58" xfId="0"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protection locked="0"/>
    </xf>
    <xf numFmtId="0" fontId="54" fillId="0" borderId="58" xfId="0" applyFont="1" applyFill="1" applyBorder="1" applyAlignment="1" applyProtection="1">
      <alignment vertical="center" wrapText="1"/>
      <protection locked="0"/>
    </xf>
    <xf numFmtId="0" fontId="49" fillId="0" borderId="58" xfId="0" applyFont="1" applyFill="1" applyBorder="1" applyAlignment="1" applyProtection="1">
      <alignment vertical="center" wrapText="1"/>
      <protection locked="0"/>
    </xf>
    <xf numFmtId="0" fontId="56" fillId="0" borderId="44" xfId="0" applyNumberFormat="1" applyFont="1" applyFill="1" applyBorder="1" applyAlignment="1" applyProtection="1">
      <alignment horizontal="left" vertical="center" wrapText="1"/>
      <protection locked="0"/>
    </xf>
    <xf numFmtId="0" fontId="56" fillId="0" borderId="45" xfId="0" applyNumberFormat="1" applyFont="1" applyFill="1" applyBorder="1" applyAlignment="1" applyProtection="1">
      <alignment horizontal="center" vertical="center" wrapText="1"/>
      <protection locked="0"/>
    </xf>
    <xf numFmtId="0" fontId="56" fillId="0" borderId="58" xfId="0" applyFont="1" applyFill="1" applyBorder="1" applyAlignment="1" applyProtection="1">
      <alignment horizontal="center" vertical="center" wrapText="1"/>
      <protection locked="0"/>
    </xf>
    <xf numFmtId="0" fontId="49" fillId="0" borderId="54" xfId="0" applyNumberFormat="1" applyFont="1" applyFill="1" applyBorder="1" applyAlignment="1" applyProtection="1">
      <alignment horizontal="center" vertical="center" wrapText="1"/>
      <protection locked="0"/>
    </xf>
    <xf numFmtId="0" fontId="56" fillId="6" borderId="40" xfId="0" applyNumberFormat="1" applyFont="1" applyFill="1" applyBorder="1" applyAlignment="1" applyProtection="1">
      <alignment horizontal="center" vertical="center" wrapText="1"/>
    </xf>
    <xf numFmtId="0" fontId="56" fillId="6" borderId="41" xfId="0" applyNumberFormat="1" applyFont="1" applyFill="1" applyBorder="1" applyAlignment="1" applyProtection="1">
      <alignment horizontal="center" vertical="center" wrapText="1"/>
    </xf>
    <xf numFmtId="49" fontId="55" fillId="5" borderId="20" xfId="0" applyNumberFormat="1" applyFont="1" applyFill="1" applyBorder="1" applyAlignment="1" applyProtection="1">
      <alignment vertical="center"/>
      <protection locked="0"/>
    </xf>
    <xf numFmtId="184" fontId="49" fillId="0" borderId="26"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0" fontId="56" fillId="0" borderId="55" xfId="0" applyNumberFormat="1" applyFont="1" applyFill="1" applyBorder="1" applyAlignment="1" applyProtection="1">
      <alignment horizontal="center" vertical="center" wrapText="1"/>
      <protection locked="0"/>
    </xf>
    <xf numFmtId="0" fontId="49" fillId="2" borderId="51" xfId="0" applyNumberFormat="1" applyFont="1" applyFill="1" applyBorder="1" applyAlignment="1" applyProtection="1">
      <alignment horizontal="center" vertical="center" wrapText="1"/>
      <protection locked="0"/>
    </xf>
    <xf numFmtId="0" fontId="49" fillId="2" borderId="69" xfId="0" applyNumberFormat="1" applyFont="1" applyFill="1" applyBorder="1" applyAlignment="1" applyProtection="1">
      <alignment horizontal="center" vertical="center" wrapText="1"/>
      <protection locked="0"/>
    </xf>
    <xf numFmtId="0" fontId="49" fillId="2" borderId="60" xfId="0" applyNumberFormat="1" applyFont="1" applyFill="1" applyBorder="1" applyAlignment="1" applyProtection="1">
      <alignment horizontal="center" vertical="center" wrapText="1"/>
      <protection locked="0"/>
    </xf>
    <xf numFmtId="9" fontId="49" fillId="2" borderId="37" xfId="0" applyNumberFormat="1" applyFont="1" applyFill="1" applyBorder="1" applyAlignment="1" applyProtection="1">
      <alignment horizontal="center" vertical="center" wrapText="1"/>
      <protection locked="0"/>
    </xf>
    <xf numFmtId="0" fontId="54" fillId="0" borderId="38" xfId="0" applyNumberFormat="1" applyFont="1" applyFill="1" applyBorder="1" applyAlignment="1" applyProtection="1">
      <alignment horizontal="center" vertical="center" wrapText="1"/>
      <protection locked="0"/>
    </xf>
    <xf numFmtId="49" fontId="55" fillId="2" borderId="10" xfId="0" applyNumberFormat="1" applyFont="1" applyFill="1" applyBorder="1" applyAlignment="1" applyProtection="1">
      <alignment vertical="center"/>
      <protection locked="0"/>
    </xf>
    <xf numFmtId="0" fontId="56" fillId="5" borderId="9" xfId="0" applyFont="1" applyFill="1" applyBorder="1" applyAlignment="1" applyProtection="1">
      <alignment horizontal="center" vertical="center"/>
      <protection locked="0"/>
    </xf>
    <xf numFmtId="0" fontId="56" fillId="6" borderId="19" xfId="0" applyFont="1" applyFill="1" applyBorder="1" applyAlignment="1" applyProtection="1">
      <alignment horizontal="center" vertical="center" wrapText="1"/>
      <protection locked="0"/>
    </xf>
    <xf numFmtId="0" fontId="106" fillId="6" borderId="96" xfId="0" applyFont="1" applyFill="1" applyBorder="1" applyAlignment="1" applyProtection="1">
      <alignment horizontal="center" vertical="center"/>
    </xf>
    <xf numFmtId="0" fontId="108" fillId="6" borderId="0" xfId="0" applyFont="1" applyFill="1" applyAlignment="1" applyProtection="1">
      <alignment horizontal="left" vertical="center"/>
      <protection locked="0"/>
    </xf>
    <xf numFmtId="0" fontId="107" fillId="6" borderId="23" xfId="0" applyFont="1" applyFill="1" applyBorder="1" applyAlignment="1" applyProtection="1">
      <alignment horizontal="center" vertical="center"/>
    </xf>
    <xf numFmtId="0" fontId="107" fillId="6" borderId="25" xfId="0" applyFont="1" applyFill="1" applyBorder="1" applyAlignment="1" applyProtection="1">
      <alignment horizontal="center" vertical="center"/>
    </xf>
    <xf numFmtId="0" fontId="51" fillId="6" borderId="16" xfId="0" applyNumberFormat="1" applyFont="1" applyFill="1" applyBorder="1" applyAlignment="1" applyProtection="1">
      <alignment vertical="center"/>
    </xf>
    <xf numFmtId="0" fontId="51" fillId="5" borderId="23" xfId="0" applyNumberFormat="1" applyFont="1" applyFill="1" applyBorder="1" applyAlignment="1" applyProtection="1">
      <alignment horizontal="center" vertical="center" wrapText="1"/>
      <protection locked="0"/>
    </xf>
    <xf numFmtId="0" fontId="56" fillId="6" borderId="14" xfId="0" applyNumberFormat="1" applyFont="1" applyFill="1" applyBorder="1" applyAlignment="1" applyProtection="1">
      <alignment horizontal="center" vertical="center" wrapText="1"/>
    </xf>
    <xf numFmtId="0" fontId="56" fillId="0" borderId="24" xfId="0" applyFont="1" applyFill="1" applyBorder="1" applyAlignment="1" applyProtection="1">
      <alignment horizontal="center" vertical="center"/>
      <protection locked="0"/>
    </xf>
    <xf numFmtId="0" fontId="106" fillId="0" borderId="49"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58" fillId="6" borderId="0" xfId="0" applyFont="1" applyFill="1" applyAlignment="1" applyProtection="1">
      <alignment vertical="center" wrapText="1"/>
    </xf>
    <xf numFmtId="0" fontId="106" fillId="6" borderId="6" xfId="0" applyNumberFormat="1" applyFont="1" applyFill="1" applyBorder="1" applyAlignment="1" applyProtection="1">
      <alignment horizontal="center" vertical="center"/>
    </xf>
    <xf numFmtId="0" fontId="58" fillId="0" borderId="0" xfId="0" applyFont="1" applyAlignment="1" applyProtection="1">
      <alignment vertical="center" wrapText="1"/>
      <protection locked="0"/>
    </xf>
    <xf numFmtId="0" fontId="58" fillId="0" borderId="0" xfId="0" applyFont="1" applyAlignment="1" applyProtection="1">
      <alignment vertical="center" wrapText="1"/>
    </xf>
    <xf numFmtId="0" fontId="62" fillId="6" borderId="5" xfId="1" applyFont="1" applyFill="1" applyBorder="1" applyAlignment="1" applyProtection="1">
      <alignment vertical="center"/>
    </xf>
    <xf numFmtId="0" fontId="58" fillId="6" borderId="1" xfId="0" applyNumberFormat="1" applyFont="1" applyFill="1" applyBorder="1" applyAlignment="1" applyProtection="1">
      <alignment horizontal="left" vertical="center" wrapText="1"/>
    </xf>
    <xf numFmtId="0" fontId="58" fillId="5" borderId="1" xfId="0" applyNumberFormat="1" applyFont="1" applyFill="1" applyBorder="1" applyAlignment="1" applyProtection="1">
      <alignment horizontal="center" vertical="center" wrapText="1"/>
      <protection locked="0"/>
    </xf>
    <xf numFmtId="0" fontId="58" fillId="6" borderId="1" xfId="0" applyNumberFormat="1" applyFont="1" applyFill="1" applyBorder="1" applyAlignment="1" applyProtection="1">
      <alignment horizontal="center" vertical="center" wrapText="1"/>
    </xf>
    <xf numFmtId="0" fontId="58" fillId="6" borderId="0" xfId="0" applyNumberFormat="1" applyFont="1" applyFill="1" applyAlignment="1" applyProtection="1">
      <alignment vertical="center" wrapText="1"/>
    </xf>
    <xf numFmtId="0" fontId="106" fillId="6" borderId="23" xfId="0" applyNumberFormat="1" applyFont="1" applyFill="1" applyBorder="1" applyAlignment="1" applyProtection="1">
      <alignment horizontal="center" vertical="center"/>
    </xf>
    <xf numFmtId="0" fontId="58" fillId="5" borderId="1" xfId="0" applyNumberFormat="1" applyFont="1" applyFill="1" applyBorder="1" applyAlignment="1" applyProtection="1">
      <alignment vertical="center" wrapText="1"/>
      <protection locked="0"/>
    </xf>
    <xf numFmtId="0" fontId="58" fillId="5" borderId="1" xfId="0" applyFont="1" applyFill="1" applyBorder="1" applyAlignment="1" applyProtection="1">
      <alignment horizontal="left" vertical="center"/>
      <protection locked="0"/>
    </xf>
    <xf numFmtId="49" fontId="55" fillId="6" borderId="13" xfId="0" applyNumberFormat="1" applyFont="1" applyFill="1" applyBorder="1" applyAlignment="1" applyProtection="1">
      <alignment horizontal="left" vertical="center" wrapText="1"/>
    </xf>
    <xf numFmtId="0" fontId="55" fillId="6" borderId="13" xfId="0" applyFont="1" applyFill="1" applyBorder="1" applyAlignment="1" applyProtection="1">
      <alignment horizontal="left" vertical="center" wrapText="1"/>
    </xf>
    <xf numFmtId="0" fontId="55" fillId="6" borderId="36" xfId="0" applyFont="1" applyFill="1" applyBorder="1" applyAlignment="1" applyProtection="1">
      <alignment vertical="center" wrapText="1"/>
    </xf>
    <xf numFmtId="0" fontId="56" fillId="6" borderId="36" xfId="0" applyFont="1" applyFill="1" applyBorder="1" applyAlignment="1" applyProtection="1">
      <alignment vertical="center" wrapText="1"/>
    </xf>
    <xf numFmtId="0" fontId="56" fillId="6" borderId="22" xfId="0" applyFont="1" applyFill="1" applyBorder="1" applyAlignment="1" applyProtection="1">
      <alignment vertical="center" wrapText="1"/>
    </xf>
    <xf numFmtId="0" fontId="56" fillId="7" borderId="0" xfId="0" applyFont="1" applyFill="1" applyAlignment="1" applyProtection="1">
      <alignment vertical="center"/>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56" fillId="0" borderId="0" xfId="0" applyFont="1" applyAlignment="1" applyProtection="1">
      <alignment vertical="center" wrapText="1"/>
    </xf>
    <xf numFmtId="49" fontId="59" fillId="6" borderId="26" xfId="0" applyNumberFormat="1" applyFont="1" applyFill="1" applyBorder="1" applyAlignment="1" applyProtection="1">
      <alignment horizontal="center" vertical="center" wrapText="1"/>
    </xf>
    <xf numFmtId="0" fontId="59" fillId="6" borderId="64" xfId="0" applyFont="1" applyFill="1" applyBorder="1" applyAlignment="1" applyProtection="1">
      <alignment horizontal="left" vertical="center" wrapText="1"/>
    </xf>
    <xf numFmtId="0" fontId="122" fillId="6" borderId="34" xfId="0" applyFont="1" applyFill="1" applyBorder="1" applyAlignment="1" applyProtection="1">
      <alignment vertical="center"/>
    </xf>
    <xf numFmtId="0" fontId="59" fillId="6" borderId="64" xfId="0" applyFont="1" applyFill="1" applyBorder="1" applyAlignment="1" applyProtection="1">
      <alignment horizontal="center" vertical="center" wrapText="1"/>
    </xf>
    <xf numFmtId="0" fontId="58" fillId="6" borderId="64" xfId="0" applyFont="1" applyFill="1" applyBorder="1" applyAlignment="1" applyProtection="1">
      <alignment vertical="center" wrapText="1"/>
    </xf>
    <xf numFmtId="0" fontId="58" fillId="6" borderId="65" xfId="0" applyFont="1" applyFill="1" applyBorder="1" applyAlignment="1" applyProtection="1">
      <alignment vertical="center" wrapText="1"/>
    </xf>
    <xf numFmtId="0" fontId="59" fillId="6" borderId="9" xfId="0" applyFont="1" applyFill="1" applyBorder="1" applyAlignment="1" applyProtection="1">
      <alignment horizontal="left" vertical="center" wrapText="1"/>
    </xf>
    <xf numFmtId="0" fontId="58" fillId="6" borderId="9" xfId="0" applyFont="1" applyFill="1" applyBorder="1" applyAlignment="1" applyProtection="1">
      <alignment horizontal="center" vertical="center" wrapText="1"/>
    </xf>
    <xf numFmtId="0" fontId="58" fillId="6" borderId="19" xfId="0" applyFont="1" applyFill="1" applyBorder="1" applyAlignment="1" applyProtection="1">
      <alignment horizontal="center" vertical="center" wrapText="1"/>
    </xf>
    <xf numFmtId="0" fontId="58" fillId="6" borderId="19" xfId="0" applyFont="1" applyFill="1" applyBorder="1" applyAlignment="1" applyProtection="1">
      <alignment vertical="center" wrapText="1"/>
    </xf>
    <xf numFmtId="0" fontId="58" fillId="6" borderId="31" xfId="0" applyFont="1" applyFill="1" applyBorder="1" applyAlignment="1" applyProtection="1">
      <alignment vertical="center" wrapText="1"/>
    </xf>
    <xf numFmtId="0" fontId="58" fillId="5" borderId="1" xfId="0" applyFont="1" applyFill="1" applyBorder="1" applyAlignment="1" applyProtection="1">
      <alignment horizontal="center" vertical="center" wrapText="1"/>
      <protection locked="0"/>
    </xf>
    <xf numFmtId="0" fontId="58" fillId="6" borderId="5" xfId="0" applyFont="1" applyFill="1" applyBorder="1" applyAlignment="1" applyProtection="1">
      <alignment vertical="center"/>
    </xf>
    <xf numFmtId="0" fontId="58" fillId="6" borderId="54" xfId="0" applyFont="1" applyFill="1" applyBorder="1" applyAlignment="1" applyProtection="1">
      <alignment vertical="center" wrapText="1"/>
    </xf>
    <xf numFmtId="0" fontId="58" fillId="6" borderId="48" xfId="0" applyFont="1" applyFill="1" applyBorder="1" applyAlignment="1" applyProtection="1">
      <alignment vertical="center" wrapText="1"/>
    </xf>
    <xf numFmtId="0" fontId="58" fillId="6" borderId="13" xfId="0" applyFont="1" applyFill="1" applyBorder="1" applyAlignment="1" applyProtection="1">
      <alignment horizontal="left" vertical="center" wrapText="1"/>
    </xf>
    <xf numFmtId="0" fontId="58" fillId="6" borderId="46" xfId="0" applyFont="1" applyFill="1" applyBorder="1" applyAlignment="1" applyProtection="1">
      <alignment vertical="center"/>
    </xf>
    <xf numFmtId="0" fontId="58" fillId="6" borderId="36" xfId="0" applyFont="1" applyFill="1" applyBorder="1" applyAlignment="1" applyProtection="1">
      <alignment vertical="center" wrapText="1"/>
    </xf>
    <xf numFmtId="0" fontId="58" fillId="6" borderId="59" xfId="0" applyFont="1" applyFill="1" applyBorder="1" applyAlignment="1" applyProtection="1">
      <alignment vertical="center" wrapText="1"/>
    </xf>
    <xf numFmtId="0" fontId="59" fillId="6" borderId="17" xfId="0" applyFont="1" applyFill="1" applyBorder="1" applyAlignment="1" applyProtection="1">
      <alignment horizontal="left" vertical="center" wrapText="1"/>
    </xf>
    <xf numFmtId="0" fontId="58" fillId="6" borderId="28" xfId="0" applyFont="1" applyFill="1" applyBorder="1" applyAlignment="1" applyProtection="1">
      <alignment vertical="center"/>
    </xf>
    <xf numFmtId="0" fontId="58" fillId="6" borderId="20" xfId="0" applyFont="1" applyFill="1" applyBorder="1" applyAlignment="1" applyProtection="1">
      <alignment horizontal="center" vertical="center" wrapText="1"/>
    </xf>
    <xf numFmtId="0" fontId="58" fillId="6" borderId="20" xfId="0" applyFont="1" applyFill="1" applyBorder="1" applyAlignment="1" applyProtection="1">
      <alignment vertical="center" wrapText="1"/>
    </xf>
    <xf numFmtId="0" fontId="58" fillId="6" borderId="21" xfId="0" applyFont="1" applyFill="1" applyBorder="1" applyAlignment="1" applyProtection="1">
      <alignment vertical="center" wrapText="1"/>
    </xf>
    <xf numFmtId="0" fontId="106" fillId="6" borderId="25" xfId="0" applyNumberFormat="1" applyFont="1" applyFill="1" applyBorder="1" applyAlignment="1" applyProtection="1">
      <alignment horizontal="center" vertical="center"/>
    </xf>
    <xf numFmtId="0" fontId="107" fillId="6" borderId="13" xfId="0" applyFont="1" applyFill="1" applyBorder="1" applyAlignment="1" applyProtection="1">
      <alignment horizontal="left" vertical="center" wrapText="1"/>
    </xf>
    <xf numFmtId="0" fontId="107" fillId="6" borderId="3" xfId="0" applyFont="1" applyFill="1" applyBorder="1" applyAlignment="1" applyProtection="1">
      <alignment horizontal="center" vertical="center" wrapText="1"/>
    </xf>
    <xf numFmtId="0" fontId="58" fillId="0" borderId="1" xfId="0" applyFont="1" applyFill="1" applyBorder="1" applyAlignment="1" applyProtection="1">
      <alignment horizontal="center" vertical="center"/>
      <protection locked="0"/>
    </xf>
    <xf numFmtId="0" fontId="58" fillId="0" borderId="24" xfId="0" applyFont="1" applyFill="1" applyBorder="1" applyAlignment="1" applyProtection="1">
      <alignment horizontal="center" vertical="center" wrapText="1"/>
      <protection locked="0"/>
    </xf>
    <xf numFmtId="0" fontId="107" fillId="6" borderId="2" xfId="0" applyFont="1" applyFill="1" applyBorder="1" applyAlignment="1" applyProtection="1">
      <alignment horizontal="left" vertical="center" wrapText="1"/>
    </xf>
    <xf numFmtId="0" fontId="107" fillId="5" borderId="3" xfId="0" applyFont="1" applyFill="1" applyBorder="1" applyAlignment="1" applyProtection="1">
      <alignment horizontal="center" vertical="center" wrapText="1"/>
      <protection locked="0"/>
    </xf>
    <xf numFmtId="0" fontId="107" fillId="5" borderId="1" xfId="0" applyFont="1" applyFill="1" applyBorder="1" applyAlignment="1" applyProtection="1">
      <alignment horizontal="center" vertical="center" wrapText="1"/>
      <protection locked="0"/>
    </xf>
    <xf numFmtId="0" fontId="107" fillId="5" borderId="2" xfId="0" applyFont="1" applyFill="1" applyBorder="1" applyAlignment="1" applyProtection="1">
      <alignment horizontal="center" vertical="center" wrapText="1"/>
      <protection locked="0"/>
    </xf>
    <xf numFmtId="0" fontId="53" fillId="6" borderId="4" xfId="0" applyFont="1" applyFill="1" applyBorder="1" applyAlignment="1" applyProtection="1">
      <alignment vertical="center"/>
    </xf>
    <xf numFmtId="0" fontId="58" fillId="6" borderId="0" xfId="0" applyFont="1" applyFill="1" applyBorder="1" applyAlignment="1" applyProtection="1">
      <alignment vertical="center" wrapText="1"/>
    </xf>
    <xf numFmtId="0" fontId="122" fillId="6" borderId="60" xfId="0" applyFont="1" applyFill="1" applyBorder="1" applyAlignment="1" applyProtection="1">
      <alignment vertical="center"/>
    </xf>
    <xf numFmtId="0" fontId="122" fillId="6" borderId="71" xfId="0" applyFont="1" applyFill="1" applyBorder="1" applyAlignment="1" applyProtection="1">
      <alignment vertical="center"/>
    </xf>
    <xf numFmtId="0" fontId="107" fillId="6" borderId="74" xfId="0" applyFont="1" applyFill="1" applyBorder="1" applyAlignment="1" applyProtection="1">
      <alignment horizontal="left" vertical="center" wrapText="1"/>
    </xf>
    <xf numFmtId="0" fontId="58" fillId="6" borderId="41" xfId="0" applyFont="1" applyFill="1" applyBorder="1" applyAlignment="1" applyProtection="1">
      <alignment horizontal="center" vertical="center" wrapText="1"/>
    </xf>
    <xf numFmtId="0" fontId="58" fillId="6" borderId="8" xfId="0" applyFont="1" applyFill="1" applyBorder="1" applyAlignment="1" applyProtection="1">
      <alignment horizontal="center" vertical="center" wrapText="1"/>
    </xf>
    <xf numFmtId="0" fontId="58" fillId="5" borderId="9" xfId="0" applyFont="1" applyFill="1" applyBorder="1" applyAlignment="1" applyProtection="1">
      <alignment horizontal="center" vertical="center" wrapText="1"/>
      <protection locked="0"/>
    </xf>
    <xf numFmtId="0" fontId="58" fillId="5" borderId="10" xfId="0" applyFont="1" applyFill="1" applyBorder="1" applyAlignment="1" applyProtection="1">
      <alignment horizontal="center" vertical="center" wrapText="1"/>
      <protection locked="0"/>
    </xf>
    <xf numFmtId="0" fontId="58" fillId="6" borderId="23" xfId="0" applyFont="1" applyFill="1" applyBorder="1" applyAlignment="1" applyProtection="1">
      <alignment horizontal="center" vertical="center" wrapText="1"/>
    </xf>
    <xf numFmtId="9" fontId="58" fillId="6" borderId="25" xfId="0" applyNumberFormat="1" applyFont="1" applyFill="1" applyBorder="1" applyAlignment="1" applyProtection="1">
      <alignment horizontal="center" vertical="center" wrapText="1"/>
    </xf>
    <xf numFmtId="0" fontId="58" fillId="7" borderId="0" xfId="0" applyFont="1" applyFill="1" applyAlignment="1" applyProtection="1">
      <alignment vertical="center" wrapText="1"/>
    </xf>
    <xf numFmtId="49" fontId="55" fillId="6" borderId="26" xfId="0" applyNumberFormat="1" applyFont="1" applyFill="1" applyBorder="1" applyAlignment="1" applyProtection="1">
      <alignment horizontal="left" vertical="center" wrapText="1"/>
    </xf>
    <xf numFmtId="0" fontId="55" fillId="6" borderId="84" xfId="0" applyFont="1" applyFill="1" applyBorder="1" applyAlignment="1" applyProtection="1">
      <alignment horizontal="left" vertical="center" wrapText="1"/>
    </xf>
    <xf numFmtId="0" fontId="58" fillId="6" borderId="64" xfId="0" applyFont="1" applyFill="1" applyBorder="1" applyAlignment="1" applyProtection="1">
      <alignment vertical="center"/>
    </xf>
    <xf numFmtId="0" fontId="56" fillId="6" borderId="65" xfId="0" applyFont="1" applyFill="1" applyBorder="1" applyAlignment="1" applyProtection="1">
      <alignment vertical="center" wrapText="1"/>
    </xf>
    <xf numFmtId="0" fontId="58" fillId="0" borderId="0" xfId="0" applyFont="1" applyAlignment="1" applyProtection="1">
      <alignment horizontal="center" vertical="center" wrapText="1"/>
    </xf>
    <xf numFmtId="0" fontId="56" fillId="6" borderId="84" xfId="0" applyFont="1" applyFill="1" applyBorder="1" applyAlignment="1" applyProtection="1">
      <alignment horizontal="center" vertical="center" wrapText="1"/>
    </xf>
    <xf numFmtId="0" fontId="56" fillId="5" borderId="84" xfId="8" applyFont="1" applyFill="1" applyBorder="1" applyAlignment="1" applyProtection="1">
      <alignment horizontal="center" vertical="center" wrapText="1"/>
      <protection locked="0"/>
    </xf>
    <xf numFmtId="0" fontId="56" fillId="6" borderId="6" xfId="0" applyFont="1" applyFill="1" applyBorder="1" applyAlignment="1" applyProtection="1">
      <alignment vertical="center" wrapText="1"/>
    </xf>
    <xf numFmtId="0" fontId="58" fillId="6" borderId="64" xfId="0" applyFont="1" applyFill="1" applyBorder="1" applyAlignment="1" applyProtection="1">
      <alignment horizontal="center" vertical="center" wrapText="1"/>
    </xf>
    <xf numFmtId="10" fontId="58" fillId="7" borderId="0" xfId="0" applyNumberFormat="1" applyFont="1" applyFill="1" applyAlignment="1" applyProtection="1">
      <alignment horizontal="center" vertical="center" wrapText="1"/>
    </xf>
    <xf numFmtId="10" fontId="58" fillId="0" borderId="0" xfId="0" applyNumberFormat="1" applyFont="1" applyAlignment="1" applyProtection="1">
      <alignment horizontal="center" vertical="center" wrapText="1"/>
    </xf>
    <xf numFmtId="0" fontId="56" fillId="0" borderId="0" xfId="0" applyFont="1" applyAlignment="1" applyProtection="1">
      <alignment horizontal="center" vertical="center" wrapText="1"/>
    </xf>
    <xf numFmtId="49" fontId="55" fillId="6" borderId="40" xfId="0" applyNumberFormat="1" applyFont="1" applyFill="1" applyBorder="1" applyAlignment="1" applyProtection="1">
      <alignment horizontal="left" vertical="center" wrapText="1"/>
    </xf>
    <xf numFmtId="0" fontId="55" fillId="6" borderId="17" xfId="0" applyFont="1" applyFill="1" applyBorder="1" applyAlignment="1" applyProtection="1">
      <alignment horizontal="left" vertical="center" wrapText="1"/>
    </xf>
    <xf numFmtId="0" fontId="58" fillId="6" borderId="17"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0" fontId="56" fillId="6" borderId="19" xfId="8" applyFont="1" applyFill="1" applyBorder="1" applyAlignment="1" applyProtection="1">
      <alignment horizontal="center" vertical="center" wrapText="1"/>
      <protection locked="0"/>
    </xf>
    <xf numFmtId="0" fontId="56" fillId="6" borderId="9" xfId="8" applyFont="1" applyFill="1" applyBorder="1" applyAlignment="1" applyProtection="1">
      <alignment vertical="center" wrapText="1"/>
      <protection locked="0"/>
    </xf>
    <xf numFmtId="0" fontId="56" fillId="6" borderId="31" xfId="8" applyFont="1" applyFill="1" applyBorder="1" applyAlignment="1" applyProtection="1">
      <alignment vertical="center"/>
      <protection locked="0"/>
    </xf>
    <xf numFmtId="49" fontId="55" fillId="6" borderId="6" xfId="0" applyNumberFormat="1" applyFont="1" applyFill="1" applyBorder="1" applyAlignment="1" applyProtection="1">
      <alignment horizontal="left" vertical="center" wrapText="1"/>
    </xf>
    <xf numFmtId="0" fontId="55" fillId="5" borderId="9" xfId="0" applyFont="1" applyFill="1" applyBorder="1" applyAlignment="1" applyProtection="1">
      <alignment horizontal="left" vertical="center" wrapText="1"/>
      <protection locked="0"/>
    </xf>
    <xf numFmtId="0" fontId="56" fillId="6" borderId="19" xfId="0" applyFont="1" applyFill="1" applyBorder="1" applyAlignment="1" applyProtection="1">
      <alignment vertical="center" wrapText="1"/>
    </xf>
    <xf numFmtId="0" fontId="56" fillId="6" borderId="10" xfId="0" applyFont="1" applyFill="1" applyBorder="1" applyAlignment="1" applyProtection="1">
      <alignment vertical="center" wrapText="1"/>
    </xf>
    <xf numFmtId="0" fontId="56" fillId="6" borderId="23" xfId="8" applyFont="1" applyFill="1" applyBorder="1" applyAlignment="1" applyProtection="1">
      <alignment horizontal="center" vertical="center" wrapText="1"/>
    </xf>
    <xf numFmtId="0" fontId="56" fillId="6" borderId="1" xfId="0" applyFont="1" applyFill="1" applyBorder="1" applyAlignment="1" applyProtection="1">
      <alignment horizontal="left" vertical="center" wrapText="1"/>
    </xf>
    <xf numFmtId="0" fontId="56" fillId="6" borderId="13" xfId="0" applyFont="1" applyFill="1" applyBorder="1" applyAlignment="1" applyProtection="1">
      <alignment horizontal="left" vertical="center" wrapText="1"/>
    </xf>
    <xf numFmtId="187" fontId="58" fillId="6" borderId="15" xfId="0" applyNumberFormat="1" applyFont="1" applyFill="1" applyBorder="1" applyAlignment="1" applyProtection="1">
      <alignment horizontal="center" vertical="center" wrapText="1"/>
    </xf>
    <xf numFmtId="187" fontId="58" fillId="6" borderId="58" xfId="0" applyNumberFormat="1" applyFont="1" applyFill="1" applyBorder="1" applyAlignment="1" applyProtection="1">
      <alignment horizontal="center" vertical="center" wrapText="1"/>
    </xf>
    <xf numFmtId="0" fontId="58" fillId="6" borderId="22" xfId="0" applyFont="1" applyFill="1" applyBorder="1" applyAlignment="1" applyProtection="1">
      <alignment vertical="center" wrapText="1"/>
    </xf>
    <xf numFmtId="0" fontId="56" fillId="6" borderId="13" xfId="0" applyFont="1" applyFill="1" applyBorder="1" applyAlignment="1" applyProtection="1">
      <alignment vertical="center" wrapText="1"/>
    </xf>
    <xf numFmtId="0" fontId="56" fillId="6" borderId="61" xfId="0" applyFont="1" applyFill="1" applyBorder="1" applyAlignment="1" applyProtection="1">
      <alignment vertical="center" wrapText="1"/>
    </xf>
    <xf numFmtId="0" fontId="56" fillId="6" borderId="84" xfId="0" applyFont="1" applyFill="1" applyBorder="1" applyAlignment="1" applyProtection="1">
      <alignment vertical="center" wrapText="1"/>
    </xf>
    <xf numFmtId="0" fontId="56" fillId="6" borderId="67" xfId="0" applyFont="1" applyFill="1" applyBorder="1" applyAlignment="1" applyProtection="1">
      <alignment vertical="center" wrapText="1"/>
    </xf>
    <xf numFmtId="0" fontId="56" fillId="6" borderId="25" xfId="8" applyFont="1" applyFill="1" applyBorder="1" applyAlignment="1" applyProtection="1">
      <alignment horizontal="center" vertical="center" wrapText="1"/>
    </xf>
    <xf numFmtId="0" fontId="55" fillId="6" borderId="28" xfId="0" applyFont="1" applyFill="1" applyBorder="1" applyAlignment="1" applyProtection="1">
      <alignment horizontal="left" vertical="center" wrapText="1"/>
    </xf>
    <xf numFmtId="0" fontId="59" fillId="6" borderId="19" xfId="0" applyFont="1" applyFill="1" applyBorder="1" applyAlignment="1" applyProtection="1">
      <alignment vertical="center" wrapText="1"/>
    </xf>
    <xf numFmtId="0" fontId="56" fillId="6" borderId="26" xfId="8" applyFont="1" applyFill="1" applyBorder="1" applyAlignment="1" applyProtection="1">
      <alignment horizontal="center" vertical="center" wrapText="1"/>
      <protection locked="0"/>
    </xf>
    <xf numFmtId="49" fontId="55" fillId="6" borderId="14" xfId="0" applyNumberFormat="1" applyFont="1" applyFill="1" applyBorder="1" applyAlignment="1" applyProtection="1">
      <alignment horizontal="center" vertical="center" wrapText="1"/>
    </xf>
    <xf numFmtId="0" fontId="58" fillId="6" borderId="58" xfId="0" applyFont="1" applyFill="1" applyBorder="1" applyAlignment="1" applyProtection="1">
      <alignment vertical="center" wrapText="1"/>
    </xf>
    <xf numFmtId="0" fontId="59" fillId="6" borderId="0" xfId="0" applyFont="1" applyFill="1" applyBorder="1" applyAlignment="1" applyProtection="1">
      <alignment vertical="center" wrapText="1"/>
    </xf>
    <xf numFmtId="0" fontId="58" fillId="6" borderId="56" xfId="0" applyFont="1" applyFill="1" applyBorder="1" applyAlignment="1" applyProtection="1">
      <alignment vertical="center" wrapText="1"/>
    </xf>
    <xf numFmtId="0" fontId="56" fillId="6" borderId="0" xfId="0" applyFont="1" applyFill="1" applyBorder="1" applyAlignment="1" applyProtection="1">
      <alignment horizontal="left" vertical="center" wrapText="1"/>
    </xf>
    <xf numFmtId="0" fontId="58" fillId="6" borderId="75" xfId="0" applyFont="1" applyFill="1" applyBorder="1" applyAlignment="1" applyProtection="1">
      <alignment vertical="center" wrapText="1"/>
    </xf>
    <xf numFmtId="0" fontId="58" fillId="6" borderId="47" xfId="0" applyFont="1" applyFill="1" applyBorder="1" applyAlignment="1" applyProtection="1">
      <alignment vertical="center" wrapText="1"/>
    </xf>
    <xf numFmtId="0" fontId="59" fillId="6" borderId="47" xfId="0" applyFont="1" applyFill="1" applyBorder="1" applyAlignment="1" applyProtection="1">
      <alignment vertical="center" wrapText="1"/>
    </xf>
    <xf numFmtId="0" fontId="58" fillId="6" borderId="43" xfId="0" applyFont="1" applyFill="1" applyBorder="1" applyAlignment="1" applyProtection="1">
      <alignment vertical="center" wrapText="1"/>
    </xf>
    <xf numFmtId="49" fontId="55" fillId="6" borderId="40" xfId="0" applyNumberFormat="1" applyFont="1" applyFill="1" applyBorder="1" applyAlignment="1" applyProtection="1">
      <alignment horizontal="center" vertical="center" wrapText="1"/>
    </xf>
    <xf numFmtId="0" fontId="59" fillId="6" borderId="30" xfId="0" applyFont="1" applyFill="1" applyBorder="1" applyAlignment="1" applyProtection="1">
      <alignment vertical="center" wrapText="1"/>
    </xf>
    <xf numFmtId="0" fontId="55" fillId="6" borderId="9" xfId="0" applyFont="1" applyFill="1" applyBorder="1" applyAlignment="1" applyProtection="1">
      <alignment horizontal="center" vertical="center" wrapText="1"/>
    </xf>
    <xf numFmtId="0" fontId="55" fillId="6" borderId="28" xfId="0" applyFont="1" applyFill="1" applyBorder="1" applyAlignment="1" applyProtection="1">
      <alignment horizontal="center" vertical="center" wrapText="1"/>
    </xf>
    <xf numFmtId="0" fontId="59" fillId="6" borderId="28" xfId="0" applyFont="1" applyFill="1" applyBorder="1" applyAlignment="1" applyProtection="1">
      <alignment vertical="center" wrapText="1"/>
    </xf>
    <xf numFmtId="0" fontId="58" fillId="6" borderId="14" xfId="0" applyFont="1" applyFill="1" applyBorder="1" applyAlignment="1" applyProtection="1">
      <alignment horizontal="center" vertical="center" wrapText="1"/>
    </xf>
    <xf numFmtId="0" fontId="58" fillId="6" borderId="3" xfId="0" applyFont="1" applyFill="1" applyBorder="1" applyAlignment="1" applyProtection="1">
      <alignment horizontal="left" vertical="center" wrapText="1"/>
    </xf>
    <xf numFmtId="0" fontId="58" fillId="0" borderId="1" xfId="0" applyFont="1" applyBorder="1" applyAlignment="1" applyProtection="1">
      <alignment vertical="center" wrapText="1"/>
      <protection locked="0"/>
    </xf>
    <xf numFmtId="0" fontId="107" fillId="6" borderId="5" xfId="0" applyFont="1" applyFill="1" applyBorder="1" applyAlignment="1" applyProtection="1">
      <alignment vertical="center"/>
    </xf>
    <xf numFmtId="0" fontId="107" fillId="6" borderId="54" xfId="0" applyFont="1" applyFill="1" applyBorder="1" applyAlignment="1" applyProtection="1">
      <alignment vertical="center"/>
    </xf>
    <xf numFmtId="0" fontId="107" fillId="6" borderId="48" xfId="0" applyFont="1" applyFill="1" applyBorder="1" applyAlignment="1" applyProtection="1">
      <alignment vertical="center"/>
    </xf>
    <xf numFmtId="0" fontId="59" fillId="6" borderId="12" xfId="0" applyFont="1" applyFill="1" applyBorder="1" applyAlignment="1" applyProtection="1">
      <alignment vertical="center" wrapText="1"/>
    </xf>
    <xf numFmtId="0" fontId="58" fillId="6" borderId="66" xfId="0" applyFont="1" applyFill="1" applyBorder="1" applyAlignment="1" applyProtection="1">
      <alignment horizontal="left" vertical="center" wrapText="1"/>
    </xf>
    <xf numFmtId="0" fontId="58" fillId="0" borderId="32" xfId="0" applyFont="1" applyBorder="1" applyAlignment="1" applyProtection="1">
      <alignment vertical="center" wrapText="1"/>
      <protection locked="0"/>
    </xf>
    <xf numFmtId="0" fontId="58" fillId="6" borderId="32" xfId="0" applyFont="1" applyFill="1" applyBorder="1" applyAlignment="1" applyProtection="1">
      <alignment vertical="center"/>
    </xf>
    <xf numFmtId="0" fontId="58" fillId="6" borderId="52" xfId="0" applyFont="1" applyFill="1" applyBorder="1" applyAlignment="1" applyProtection="1">
      <alignment vertical="center" wrapText="1"/>
    </xf>
    <xf numFmtId="0" fontId="58" fillId="6" borderId="68" xfId="0" applyFont="1" applyFill="1" applyBorder="1" applyAlignment="1" applyProtection="1">
      <alignment vertical="center" wrapText="1"/>
    </xf>
    <xf numFmtId="0" fontId="59" fillId="6" borderId="40" xfId="0" applyFont="1" applyFill="1" applyBorder="1" applyAlignment="1" applyProtection="1">
      <alignment vertical="center" wrapText="1"/>
    </xf>
    <xf numFmtId="0" fontId="59" fillId="6" borderId="39" xfId="0" applyFont="1" applyFill="1" applyBorder="1" applyAlignment="1" applyProtection="1">
      <alignment horizontal="left" vertical="center" wrapText="1"/>
    </xf>
    <xf numFmtId="0" fontId="58" fillId="6" borderId="20" xfId="0" applyFont="1" applyFill="1" applyBorder="1" applyAlignment="1" applyProtection="1">
      <alignment vertical="center"/>
    </xf>
    <xf numFmtId="0" fontId="58" fillId="6" borderId="30" xfId="0" applyFont="1" applyFill="1" applyBorder="1" applyAlignment="1" applyProtection="1">
      <alignment vertical="center"/>
    </xf>
    <xf numFmtId="0" fontId="59" fillId="6" borderId="7" xfId="0" applyFont="1" applyFill="1" applyBorder="1" applyAlignment="1" applyProtection="1">
      <alignment vertical="center" wrapText="1"/>
    </xf>
    <xf numFmtId="0" fontId="55" fillId="6" borderId="2" xfId="0" applyFont="1" applyFill="1" applyBorder="1" applyAlignment="1" applyProtection="1">
      <alignment horizontal="center" vertical="center" wrapText="1"/>
    </xf>
    <xf numFmtId="0" fontId="107" fillId="6" borderId="7" xfId="0" applyFont="1" applyFill="1" applyBorder="1" applyAlignment="1" applyProtection="1">
      <alignment horizontal="center" vertical="center" wrapText="1"/>
    </xf>
    <xf numFmtId="0" fontId="58" fillId="6" borderId="56" xfId="0" applyFont="1" applyFill="1" applyBorder="1" applyAlignment="1" applyProtection="1">
      <alignment horizontal="center" vertical="center" wrapText="1"/>
    </xf>
    <xf numFmtId="0" fontId="59" fillId="6" borderId="14" xfId="0" applyFont="1" applyFill="1" applyBorder="1" applyAlignment="1" applyProtection="1">
      <alignment vertical="center" wrapText="1"/>
    </xf>
    <xf numFmtId="0" fontId="58" fillId="6" borderId="16" xfId="0" applyFont="1" applyFill="1" applyBorder="1" applyAlignment="1" applyProtection="1">
      <alignment vertical="center"/>
      <protection locked="0"/>
    </xf>
    <xf numFmtId="0" fontId="58" fillId="6" borderId="31" xfId="0" applyFont="1" applyFill="1" applyBorder="1" applyAlignment="1" applyProtection="1">
      <alignment vertical="center" wrapText="1"/>
      <protection locked="0"/>
    </xf>
    <xf numFmtId="9" fontId="58" fillId="6" borderId="24" xfId="0" applyNumberFormat="1" applyFont="1" applyFill="1" applyBorder="1" applyAlignment="1" applyProtection="1">
      <alignment horizontal="center" vertical="center"/>
    </xf>
    <xf numFmtId="0" fontId="107" fillId="6" borderId="66" xfId="0" applyFont="1" applyFill="1" applyBorder="1" applyAlignment="1" applyProtection="1">
      <alignment horizontal="center" vertical="center" wrapText="1"/>
    </xf>
    <xf numFmtId="0" fontId="58" fillId="6" borderId="43" xfId="0" applyFont="1" applyFill="1" applyBorder="1" applyAlignment="1" applyProtection="1">
      <alignment horizontal="center" vertical="center" wrapText="1"/>
    </xf>
    <xf numFmtId="0" fontId="58" fillId="6" borderId="25" xfId="0" applyFont="1" applyFill="1" applyBorder="1" applyAlignment="1" applyProtection="1">
      <alignment vertical="center" wrapText="1"/>
    </xf>
    <xf numFmtId="9" fontId="58" fillId="6" borderId="49" xfId="0" applyNumberFormat="1" applyFont="1" applyFill="1" applyBorder="1" applyAlignment="1" applyProtection="1">
      <alignment horizontal="center" vertical="center" wrapText="1"/>
    </xf>
    <xf numFmtId="0" fontId="58" fillId="7" borderId="0" xfId="0" applyFont="1" applyFill="1" applyAlignment="1" applyProtection="1">
      <alignment horizontal="left" vertical="center" wrapText="1"/>
      <protection locked="0"/>
    </xf>
    <xf numFmtId="0" fontId="117" fillId="6" borderId="0" xfId="0" applyFont="1" applyFill="1" applyProtection="1">
      <alignment vertical="center"/>
    </xf>
    <xf numFmtId="187" fontId="106" fillId="6" borderId="0" xfId="0" applyNumberFormat="1" applyFont="1" applyFill="1" applyAlignment="1" applyProtection="1">
      <alignment horizontal="center" vertical="center" wrapText="1"/>
    </xf>
    <xf numFmtId="0" fontId="117" fillId="6" borderId="51" xfId="0" applyFont="1" applyFill="1" applyBorder="1" applyAlignment="1" applyProtection="1">
      <alignment vertical="center"/>
    </xf>
    <xf numFmtId="187" fontId="223" fillId="6" borderId="19" xfId="0" applyNumberFormat="1" applyFont="1" applyFill="1" applyBorder="1" applyAlignment="1" applyProtection="1">
      <alignment horizontal="center" vertical="center" wrapText="1"/>
    </xf>
    <xf numFmtId="0" fontId="106" fillId="6" borderId="19" xfId="0" applyFont="1" applyFill="1" applyBorder="1" applyProtection="1">
      <alignment vertical="center"/>
    </xf>
    <xf numFmtId="0" fontId="117" fillId="6" borderId="0" xfId="0" applyFont="1" applyFill="1" applyBorder="1" applyAlignment="1" applyProtection="1">
      <alignment horizontal="center" vertical="center"/>
    </xf>
    <xf numFmtId="0" fontId="107" fillId="6" borderId="23" xfId="0" applyFont="1" applyFill="1" applyBorder="1" applyAlignment="1" applyProtection="1">
      <alignment horizontal="center" vertical="center" wrapText="1"/>
    </xf>
    <xf numFmtId="0" fontId="122" fillId="6" borderId="58" xfId="0" applyFont="1" applyFill="1" applyBorder="1" applyAlignment="1" applyProtection="1">
      <alignment horizontal="center" vertical="center" wrapText="1"/>
    </xf>
    <xf numFmtId="0" fontId="122" fillId="6" borderId="1" xfId="0" applyFont="1" applyFill="1" applyBorder="1" applyAlignment="1" applyProtection="1">
      <alignment horizontal="center" vertical="center" wrapText="1"/>
    </xf>
    <xf numFmtId="49" fontId="107" fillId="6" borderId="1" xfId="0" applyNumberFormat="1" applyFont="1" applyFill="1" applyBorder="1" applyAlignment="1" applyProtection="1">
      <alignment horizontal="center" vertical="center" wrapText="1"/>
    </xf>
    <xf numFmtId="0" fontId="107" fillId="6" borderId="1" xfId="0" applyNumberFormat="1" applyFont="1" applyFill="1" applyBorder="1" applyAlignment="1" applyProtection="1">
      <alignment horizontal="center" vertical="center" wrapText="1"/>
    </xf>
    <xf numFmtId="0" fontId="182" fillId="0" borderId="1" xfId="0" applyNumberFormat="1" applyFont="1" applyFill="1" applyBorder="1" applyAlignment="1" applyProtection="1">
      <alignment horizontal="center" vertical="center" wrapText="1"/>
      <protection locked="0"/>
    </xf>
    <xf numFmtId="0" fontId="182" fillId="0" borderId="13" xfId="0" applyNumberFormat="1" applyFont="1" applyFill="1" applyBorder="1" applyAlignment="1" applyProtection="1">
      <alignment horizontal="center" vertical="center" wrapText="1"/>
      <protection locked="0"/>
    </xf>
    <xf numFmtId="0" fontId="107" fillId="6" borderId="37" xfId="0" applyFont="1" applyFill="1" applyBorder="1" applyAlignment="1" applyProtection="1">
      <alignment horizontal="center" vertical="center" wrapText="1"/>
    </xf>
    <xf numFmtId="0" fontId="107" fillId="6" borderId="25" xfId="0" applyFont="1" applyFill="1" applyBorder="1" applyAlignment="1" applyProtection="1">
      <alignment horizontal="center" vertical="center" wrapText="1"/>
    </xf>
    <xf numFmtId="49" fontId="107" fillId="6" borderId="74" xfId="0" applyNumberFormat="1" applyFont="1" applyFill="1" applyBorder="1" applyAlignment="1" applyProtection="1">
      <alignment horizontal="center" vertical="center" wrapText="1"/>
    </xf>
    <xf numFmtId="49" fontId="107" fillId="6" borderId="32" xfId="0" applyNumberFormat="1" applyFont="1" applyFill="1" applyBorder="1" applyAlignment="1" applyProtection="1">
      <alignment horizontal="center" vertical="center" wrapText="1"/>
    </xf>
    <xf numFmtId="0" fontId="58" fillId="0" borderId="0" xfId="0" applyFont="1" applyAlignment="1" applyProtection="1">
      <alignment horizontal="center" vertical="center" wrapText="1"/>
      <protection locked="0"/>
    </xf>
    <xf numFmtId="0" fontId="182" fillId="0" borderId="32" xfId="0" applyNumberFormat="1" applyFont="1" applyFill="1" applyBorder="1" applyAlignment="1" applyProtection="1">
      <alignment horizontal="center" vertical="center" wrapText="1"/>
      <protection locked="0"/>
    </xf>
    <xf numFmtId="0" fontId="107" fillId="6" borderId="32" xfId="0" applyNumberFormat="1" applyFont="1" applyFill="1" applyBorder="1" applyAlignment="1" applyProtection="1">
      <alignment horizontal="center" vertical="center" wrapText="1"/>
    </xf>
    <xf numFmtId="0" fontId="110" fillId="6" borderId="0" xfId="0" applyFont="1" applyFill="1" applyAlignment="1" applyProtection="1">
      <alignment horizontal="center" vertical="center"/>
    </xf>
    <xf numFmtId="0" fontId="107" fillId="6" borderId="3" xfId="0" applyFont="1" applyFill="1" applyBorder="1" applyAlignment="1" applyProtection="1">
      <alignment vertical="center"/>
    </xf>
    <xf numFmtId="0" fontId="107" fillId="6" borderId="0" xfId="0" applyFont="1" applyFill="1" applyBorder="1" applyAlignment="1" applyProtection="1">
      <alignment horizontal="center" vertical="center"/>
    </xf>
    <xf numFmtId="186" fontId="107" fillId="6" borderId="1" xfId="0" applyNumberFormat="1" applyFont="1" applyFill="1" applyBorder="1" applyAlignment="1" applyProtection="1">
      <alignment horizontal="center" vertical="center"/>
    </xf>
    <xf numFmtId="187" fontId="107" fillId="6" borderId="1" xfId="0" applyNumberFormat="1" applyFont="1" applyFill="1" applyBorder="1" applyAlignment="1" applyProtection="1">
      <alignment horizontal="center" vertical="center"/>
    </xf>
    <xf numFmtId="177" fontId="122" fillId="6" borderId="1" xfId="0" applyNumberFormat="1" applyFont="1" applyFill="1" applyBorder="1" applyAlignment="1" applyProtection="1">
      <alignment horizontal="center" vertical="center"/>
    </xf>
    <xf numFmtId="187" fontId="122" fillId="6" borderId="1" xfId="0" applyNumberFormat="1" applyFont="1" applyFill="1" applyBorder="1" applyAlignment="1" applyProtection="1">
      <alignment horizontal="center" vertical="center" wrapText="1"/>
    </xf>
    <xf numFmtId="186" fontId="107" fillId="6" borderId="2" xfId="0" applyNumberFormat="1" applyFont="1" applyFill="1" applyBorder="1" applyAlignment="1" applyProtection="1">
      <alignment horizontal="center" vertical="center" wrapText="1"/>
    </xf>
    <xf numFmtId="179" fontId="122" fillId="6" borderId="1" xfId="0" applyNumberFormat="1" applyFont="1" applyFill="1" applyBorder="1" applyAlignment="1" applyProtection="1">
      <alignment horizontal="center" vertical="center"/>
    </xf>
    <xf numFmtId="0" fontId="107" fillId="0" borderId="0" xfId="0" applyFont="1" applyAlignment="1" applyProtection="1">
      <alignment horizontal="left" vertical="center"/>
    </xf>
    <xf numFmtId="0" fontId="58" fillId="0" borderId="0" xfId="0" applyFont="1" applyAlignment="1" applyProtection="1">
      <alignment horizontal="left" vertical="center" wrapText="1"/>
    </xf>
    <xf numFmtId="0" fontId="188" fillId="6" borderId="1" xfId="3" applyNumberFormat="1" applyFont="1" applyFill="1" applyBorder="1" applyAlignment="1" applyProtection="1">
      <alignment horizontal="center" vertical="center"/>
    </xf>
    <xf numFmtId="0" fontId="106" fillId="0" borderId="0" xfId="0" applyNumberFormat="1" applyFont="1" applyProtection="1">
      <alignment vertical="center"/>
    </xf>
    <xf numFmtId="0" fontId="58" fillId="6" borderId="9" xfId="3" applyNumberFormat="1" applyFont="1" applyFill="1" applyBorder="1" applyAlignment="1" applyProtection="1">
      <alignment horizontal="center" vertical="center"/>
    </xf>
    <xf numFmtId="0" fontId="58" fillId="6" borderId="2" xfId="3" applyNumberFormat="1" applyFont="1" applyFill="1" applyBorder="1" applyAlignment="1" applyProtection="1">
      <alignment horizontal="center" vertical="center"/>
    </xf>
    <xf numFmtId="0" fontId="58" fillId="6" borderId="2" xfId="3" applyNumberFormat="1" applyFont="1" applyFill="1" applyBorder="1" applyAlignment="1" applyProtection="1">
      <alignment horizontal="center" vertical="center" wrapText="1"/>
    </xf>
    <xf numFmtId="0" fontId="58" fillId="6" borderId="17" xfId="3" applyNumberFormat="1" applyFont="1" applyFill="1" applyBorder="1" applyAlignment="1" applyProtection="1">
      <alignment horizontal="center" vertical="center"/>
    </xf>
    <xf numFmtId="0" fontId="58" fillId="6" borderId="62" xfId="3" applyNumberFormat="1" applyFont="1" applyFill="1" applyBorder="1" applyAlignment="1" applyProtection="1">
      <alignment horizontal="center" vertical="center"/>
    </xf>
    <xf numFmtId="0" fontId="134" fillId="6" borderId="1" xfId="0" applyFont="1" applyFill="1" applyBorder="1">
      <alignment vertical="center"/>
    </xf>
    <xf numFmtId="0" fontId="106" fillId="6" borderId="1" xfId="0" applyFont="1" applyFill="1" applyBorder="1">
      <alignment vertical="center"/>
    </xf>
    <xf numFmtId="0" fontId="106" fillId="6" borderId="0" xfId="0" applyFont="1" applyFill="1">
      <alignment vertical="center"/>
    </xf>
    <xf numFmtId="0" fontId="134" fillId="6" borderId="0" xfId="0" applyFont="1" applyFill="1">
      <alignment vertical="center"/>
    </xf>
    <xf numFmtId="0" fontId="134" fillId="6" borderId="1" xfId="0" applyFont="1" applyFill="1" applyBorder="1" applyAlignment="1">
      <alignment vertical="center" wrapText="1"/>
    </xf>
    <xf numFmtId="0" fontId="134" fillId="5" borderId="1" xfId="0" applyFont="1" applyFill="1" applyBorder="1" applyAlignment="1" applyProtection="1">
      <alignment horizontal="center" vertical="center"/>
      <protection locked="0"/>
    </xf>
    <xf numFmtId="0" fontId="57" fillId="6" borderId="96" xfId="0" applyNumberFormat="1" applyFont="1" applyFill="1" applyBorder="1" applyAlignment="1" applyProtection="1">
      <alignment horizontal="center" vertical="center" wrapText="1"/>
    </xf>
    <xf numFmtId="0" fontId="52" fillId="10" borderId="16" xfId="0" applyNumberFormat="1" applyFont="1" applyFill="1" applyBorder="1" applyAlignment="1" applyProtection="1">
      <alignment horizontal="center" vertical="center" wrapText="1"/>
    </xf>
    <xf numFmtId="0" fontId="57" fillId="6" borderId="16" xfId="0" applyFont="1" applyFill="1" applyBorder="1" applyAlignment="1" applyProtection="1">
      <alignment horizontal="left" vertical="center"/>
      <protection locked="0"/>
    </xf>
    <xf numFmtId="0" fontId="59" fillId="5" borderId="38" xfId="1" applyFont="1" applyFill="1" applyBorder="1" applyAlignment="1" applyProtection="1">
      <alignment vertical="center"/>
      <protection locked="0"/>
    </xf>
    <xf numFmtId="0" fontId="62" fillId="5" borderId="49" xfId="1" applyFont="1" applyFill="1" applyBorder="1" applyAlignment="1" applyProtection="1">
      <alignment vertical="center"/>
      <protection locked="0"/>
    </xf>
    <xf numFmtId="0" fontId="110" fillId="0" borderId="0" xfId="9" applyFont="1" applyFill="1" applyBorder="1" applyAlignment="1" applyProtection="1">
      <alignment horizontal="center" vertical="center"/>
      <protection locked="0"/>
    </xf>
    <xf numFmtId="0" fontId="155" fillId="14" borderId="0" xfId="9" applyFont="1" applyFill="1" applyBorder="1" applyAlignment="1" applyProtection="1">
      <alignment horizontal="center" vertical="center"/>
      <protection locked="0"/>
    </xf>
    <xf numFmtId="0" fontId="122" fillId="6" borderId="0" xfId="0" applyFont="1" applyFill="1" applyProtection="1">
      <alignment vertical="center"/>
      <protection locked="0"/>
    </xf>
    <xf numFmtId="0" fontId="147" fillId="16" borderId="0" xfId="9" applyFont="1" applyFill="1">
      <alignment vertical="center"/>
    </xf>
    <xf numFmtId="0" fontId="122" fillId="5" borderId="0" xfId="9" applyFont="1" applyFill="1">
      <alignment vertical="center"/>
    </xf>
    <xf numFmtId="0" fontId="110" fillId="16" borderId="0" xfId="9" applyFont="1" applyFill="1">
      <alignment vertical="center"/>
    </xf>
    <xf numFmtId="0" fontId="106" fillId="16" borderId="0" xfId="10" applyFont="1" applyFill="1" applyAlignment="1" applyProtection="1">
      <alignment horizontal="center" vertical="center"/>
    </xf>
    <xf numFmtId="0" fontId="24" fillId="16" borderId="0" xfId="10" applyFont="1" applyFill="1" applyAlignment="1" applyProtection="1">
      <alignment horizontal="center" vertical="center"/>
    </xf>
    <xf numFmtId="0" fontId="110" fillId="16" borderId="122" xfId="9" applyFont="1" applyFill="1" applyBorder="1" applyAlignment="1">
      <alignment horizontal="center" vertical="center"/>
    </xf>
    <xf numFmtId="0" fontId="110" fillId="16" borderId="0" xfId="9" applyFont="1" applyFill="1" applyBorder="1" applyAlignment="1">
      <alignment horizontal="center" vertical="center"/>
    </xf>
    <xf numFmtId="0" fontId="155" fillId="16" borderId="0" xfId="9" applyFont="1" applyFill="1" applyBorder="1" applyAlignment="1" applyProtection="1">
      <alignment horizontal="center" vertical="center"/>
      <protection locked="0"/>
    </xf>
    <xf numFmtId="0" fontId="110" fillId="16" borderId="0" xfId="9" applyFont="1" applyFill="1" applyAlignment="1">
      <alignment horizontal="center" vertical="center"/>
    </xf>
    <xf numFmtId="0" fontId="107" fillId="16" borderId="0" xfId="9" applyFont="1" applyFill="1" applyAlignment="1">
      <alignment horizontal="center" vertical="center"/>
    </xf>
    <xf numFmtId="10" fontId="107" fillId="16" borderId="0" xfId="9" applyNumberFormat="1" applyFont="1" applyFill="1" applyAlignment="1">
      <alignment horizontal="center" vertical="center"/>
    </xf>
    <xf numFmtId="0" fontId="149" fillId="16" borderId="0" xfId="9" applyFont="1" applyFill="1">
      <alignment vertical="center"/>
    </xf>
    <xf numFmtId="192" fontId="128" fillId="0" borderId="1" xfId="5" applyNumberFormat="1" applyFont="1" applyFill="1" applyBorder="1" applyAlignment="1">
      <alignment horizontal="right" vertical="center"/>
    </xf>
    <xf numFmtId="181" fontId="107" fillId="6" borderId="1" xfId="0" applyNumberFormat="1" applyFont="1" applyFill="1" applyBorder="1" applyAlignment="1" applyProtection="1">
      <alignment horizontal="center" vertical="center" wrapText="1"/>
    </xf>
    <xf numFmtId="0" fontId="21" fillId="6" borderId="1" xfId="0" applyFont="1" applyFill="1" applyBorder="1" applyAlignment="1" applyProtection="1">
      <alignment vertical="center" wrapText="1"/>
    </xf>
    <xf numFmtId="0" fontId="154" fillId="12" borderId="126" xfId="9" applyFont="1" applyFill="1" applyBorder="1" applyAlignment="1" applyProtection="1">
      <alignment horizontal="center" vertical="center" wrapText="1"/>
    </xf>
    <xf numFmtId="0" fontId="154" fillId="12" borderId="126" xfId="9" applyFont="1" applyFill="1" applyBorder="1" applyAlignment="1" applyProtection="1">
      <alignment horizontal="center" vertical="center" wrapText="1"/>
    </xf>
    <xf numFmtId="0" fontId="154" fillId="12" borderId="124" xfId="16" applyFont="1" applyFill="1" applyBorder="1" applyAlignment="1" applyProtection="1">
      <alignment horizontal="center" vertical="center" wrapText="1"/>
    </xf>
    <xf numFmtId="0" fontId="154" fillId="12" borderId="125" xfId="16" applyFont="1" applyFill="1" applyBorder="1" applyAlignment="1" applyProtection="1">
      <alignment horizontal="center" vertical="center" wrapText="1"/>
    </xf>
    <xf numFmtId="0" fontId="59" fillId="6" borderId="9" xfId="0" applyFont="1" applyFill="1" applyBorder="1" applyAlignment="1" applyProtection="1">
      <alignment horizontal="center" vertical="center" wrapText="1"/>
    </xf>
    <xf numFmtId="0" fontId="58" fillId="6" borderId="33" xfId="0" applyFont="1" applyFill="1" applyBorder="1" applyAlignment="1" applyProtection="1">
      <alignment horizontal="center" vertical="center" wrapText="1"/>
    </xf>
    <xf numFmtId="0" fontId="58" fillId="5" borderId="32" xfId="0" applyFont="1" applyFill="1" applyBorder="1" applyAlignment="1" applyProtection="1">
      <alignment horizontal="right" vertical="center" wrapText="1"/>
      <protection locked="0"/>
    </xf>
    <xf numFmtId="0" fontId="58" fillId="6" borderId="66" xfId="0" applyFont="1" applyFill="1" applyBorder="1" applyAlignment="1" applyProtection="1">
      <alignment horizontal="center" vertical="center" wrapText="1"/>
    </xf>
    <xf numFmtId="0" fontId="58" fillId="5" borderId="28" xfId="0" applyFont="1" applyFill="1" applyBorder="1" applyAlignment="1" applyProtection="1">
      <alignment horizontal="center" vertical="center" wrapText="1"/>
      <protection locked="0"/>
    </xf>
    <xf numFmtId="49" fontId="55" fillId="6" borderId="12" xfId="0" applyNumberFormat="1" applyFont="1" applyFill="1" applyBorder="1" applyAlignment="1" applyProtection="1">
      <alignment horizontal="left" vertical="center" wrapText="1"/>
    </xf>
    <xf numFmtId="0" fontId="55" fillId="6" borderId="74" xfId="0" applyFont="1" applyFill="1" applyBorder="1" applyAlignment="1" applyProtection="1">
      <alignment horizontal="left" vertical="center" wrapText="1"/>
    </xf>
    <xf numFmtId="0" fontId="55" fillId="6" borderId="75" xfId="0" applyFont="1" applyFill="1" applyBorder="1" applyAlignment="1" applyProtection="1">
      <alignment horizontal="center" vertical="center" wrapText="1"/>
    </xf>
    <xf numFmtId="0" fontId="58" fillId="6" borderId="75" xfId="0" applyFont="1" applyFill="1" applyBorder="1" applyAlignment="1" applyProtection="1">
      <alignment vertical="center"/>
    </xf>
    <xf numFmtId="0" fontId="55" fillId="6" borderId="47" xfId="0" applyFont="1" applyFill="1" applyBorder="1" applyAlignment="1" applyProtection="1">
      <alignment horizontal="center" vertical="center" wrapText="1"/>
    </xf>
    <xf numFmtId="0" fontId="56" fillId="6" borderId="43" xfId="0" applyFont="1" applyFill="1" applyBorder="1" applyAlignment="1" applyProtection="1">
      <alignment vertical="center" wrapText="1"/>
    </xf>
    <xf numFmtId="0" fontId="58" fillId="6" borderId="32" xfId="0" applyFont="1" applyFill="1" applyBorder="1" applyAlignment="1" applyProtection="1">
      <alignment horizontal="left" vertical="center"/>
    </xf>
    <xf numFmtId="0" fontId="58" fillId="6" borderId="74" xfId="0" applyFont="1" applyFill="1" applyBorder="1" applyAlignment="1" applyProtection="1">
      <alignment horizontal="center" vertical="center" wrapText="1"/>
    </xf>
    <xf numFmtId="0" fontId="58" fillId="6" borderId="75" xfId="0" applyFont="1" applyFill="1" applyBorder="1" applyAlignment="1" applyProtection="1">
      <alignment horizontal="center" vertical="center" wrapText="1"/>
    </xf>
    <xf numFmtId="0" fontId="58" fillId="6" borderId="76" xfId="0" applyFont="1" applyFill="1" applyBorder="1" applyAlignment="1" applyProtection="1">
      <alignment horizontal="center" vertical="center" wrapText="1"/>
    </xf>
    <xf numFmtId="0" fontId="256" fillId="0" borderId="0" xfId="10" applyFont="1">
      <alignment vertical="center"/>
    </xf>
    <xf numFmtId="0" fontId="101" fillId="0" borderId="0" xfId="10">
      <alignment vertical="center"/>
    </xf>
    <xf numFmtId="0" fontId="257" fillId="0" borderId="6" xfId="10" applyFont="1" applyBorder="1" applyAlignment="1">
      <alignment horizontal="left" vertical="center" wrapText="1"/>
    </xf>
    <xf numFmtId="0" fontId="257" fillId="0" borderId="9" xfId="10" applyFont="1" applyBorder="1" applyAlignment="1">
      <alignment horizontal="left" vertical="center" wrapText="1"/>
    </xf>
    <xf numFmtId="49" fontId="257" fillId="0" borderId="9" xfId="10" applyNumberFormat="1" applyFont="1" applyBorder="1" applyAlignment="1">
      <alignment horizontal="left" vertical="center" wrapText="1"/>
    </xf>
    <xf numFmtId="0" fontId="257" fillId="0" borderId="10" xfId="10" applyFont="1" applyBorder="1" applyAlignment="1">
      <alignment horizontal="left" vertical="center" wrapText="1"/>
    </xf>
    <xf numFmtId="0" fontId="256" fillId="17" borderId="25" xfId="10" applyFont="1" applyFill="1" applyBorder="1" applyAlignment="1">
      <alignment horizontal="left" vertical="center" wrapText="1"/>
    </xf>
    <xf numFmtId="0" fontId="256" fillId="17" borderId="32" xfId="10" applyFont="1" applyFill="1" applyBorder="1" applyAlignment="1">
      <alignment horizontal="left" vertical="center" wrapText="1"/>
    </xf>
    <xf numFmtId="49" fontId="256" fillId="17" borderId="32" xfId="10" applyNumberFormat="1" applyFont="1" applyFill="1" applyBorder="1" applyAlignment="1">
      <alignment horizontal="left" vertical="center" wrapText="1"/>
    </xf>
    <xf numFmtId="14" fontId="256" fillId="17" borderId="49" xfId="10" applyNumberFormat="1" applyFont="1" applyFill="1" applyBorder="1" applyAlignment="1">
      <alignment horizontal="left" vertical="center" wrapText="1"/>
    </xf>
    <xf numFmtId="0" fontId="257" fillId="0" borderId="1" xfId="10" applyFont="1" applyFill="1" applyBorder="1" applyAlignment="1">
      <alignment horizontal="left" vertical="center" wrapText="1"/>
    </xf>
    <xf numFmtId="49" fontId="257" fillId="0" borderId="1" xfId="10" applyNumberFormat="1" applyFont="1" applyFill="1" applyBorder="1" applyAlignment="1">
      <alignment horizontal="left" vertical="center" wrapText="1"/>
    </xf>
    <xf numFmtId="0" fontId="257" fillId="0" borderId="24" xfId="10" applyFont="1" applyFill="1" applyBorder="1" applyAlignment="1">
      <alignment horizontal="left" vertical="center"/>
    </xf>
    <xf numFmtId="0" fontId="256" fillId="17" borderId="1" xfId="10" applyFont="1" applyFill="1" applyBorder="1" applyAlignment="1">
      <alignment horizontal="left" vertical="center" wrapText="1"/>
    </xf>
    <xf numFmtId="49" fontId="256" fillId="17" borderId="1" xfId="10" applyNumberFormat="1" applyFont="1" applyFill="1" applyBorder="1" applyAlignment="1">
      <alignment horizontal="left" vertical="center" wrapText="1"/>
    </xf>
    <xf numFmtId="0" fontId="256" fillId="17" borderId="1" xfId="10" applyFont="1" applyFill="1" applyBorder="1" applyAlignment="1">
      <alignment horizontal="left" vertical="center"/>
    </xf>
    <xf numFmtId="0" fontId="256" fillId="17" borderId="24" xfId="10" applyFont="1" applyFill="1" applyBorder="1" applyAlignment="1">
      <alignment horizontal="left" vertical="center"/>
    </xf>
    <xf numFmtId="0" fontId="101" fillId="0" borderId="0" xfId="10" applyAlignment="1">
      <alignment horizontal="left" vertical="center"/>
    </xf>
    <xf numFmtId="0" fontId="256" fillId="17" borderId="32" xfId="10" applyFont="1" applyFill="1" applyBorder="1" applyAlignment="1">
      <alignment horizontal="left" vertical="center"/>
    </xf>
    <xf numFmtId="0" fontId="256" fillId="17" borderId="49" xfId="10" applyFont="1" applyFill="1" applyBorder="1" applyAlignment="1">
      <alignment horizontal="left" vertical="center"/>
    </xf>
    <xf numFmtId="0" fontId="192" fillId="7" borderId="5" xfId="0" applyFont="1" applyFill="1" applyBorder="1" applyAlignment="1" applyProtection="1">
      <alignment vertical="center"/>
      <protection locked="0"/>
    </xf>
    <xf numFmtId="177" fontId="82" fillId="0" borderId="1" xfId="1" applyNumberFormat="1" applyFont="1" applyFill="1" applyBorder="1" applyAlignment="1" applyProtection="1">
      <alignment vertical="center"/>
      <protection locked="0" hidden="1"/>
    </xf>
    <xf numFmtId="9" fontId="52" fillId="6" borderId="0" xfId="0" applyNumberFormat="1" applyFont="1" applyFill="1" applyAlignment="1" applyProtection="1">
      <alignment vertical="center"/>
      <protection locked="0"/>
    </xf>
    <xf numFmtId="0" fontId="82" fillId="6" borderId="0" xfId="0" applyFont="1" applyFill="1" applyAlignment="1" applyProtection="1">
      <alignment vertical="center"/>
      <protection locked="0"/>
    </xf>
    <xf numFmtId="0" fontId="256" fillId="0" borderId="0" xfId="10" applyFont="1" applyAlignment="1">
      <alignment vertical="center" wrapText="1"/>
    </xf>
    <xf numFmtId="0" fontId="256" fillId="18" borderId="25" xfId="10" applyFont="1" applyFill="1" applyBorder="1" applyAlignment="1">
      <alignment horizontal="left" vertical="center" wrapText="1"/>
    </xf>
    <xf numFmtId="0" fontId="256" fillId="18" borderId="32" xfId="10" applyFont="1" applyFill="1" applyBorder="1" applyAlignment="1">
      <alignment horizontal="left" vertical="center" wrapText="1"/>
    </xf>
    <xf numFmtId="49" fontId="256" fillId="18" borderId="32" xfId="10" applyNumberFormat="1" applyFont="1" applyFill="1" applyBorder="1" applyAlignment="1">
      <alignment horizontal="left" vertical="center" wrapText="1"/>
    </xf>
    <xf numFmtId="14" fontId="256" fillId="18" borderId="49" xfId="10" applyNumberFormat="1" applyFont="1" applyFill="1" applyBorder="1" applyAlignment="1">
      <alignment horizontal="left" vertical="center" wrapText="1"/>
    </xf>
    <xf numFmtId="0" fontId="257" fillId="0" borderId="1" xfId="10" applyFont="1" applyBorder="1" applyAlignment="1">
      <alignment horizontal="left" vertical="center" wrapText="1"/>
    </xf>
    <xf numFmtId="49" fontId="257" fillId="0" borderId="1" xfId="10" applyNumberFormat="1" applyFont="1" applyBorder="1" applyAlignment="1">
      <alignment horizontal="left" vertical="center" wrapText="1"/>
    </xf>
    <xf numFmtId="0" fontId="257" fillId="0" borderId="5" xfId="10" applyFont="1" applyFill="1" applyBorder="1" applyAlignment="1">
      <alignment horizontal="left" vertical="center" wrapText="1"/>
    </xf>
    <xf numFmtId="0" fontId="257" fillId="0" borderId="24" xfId="10" applyFont="1" applyBorder="1" applyAlignment="1">
      <alignment horizontal="left" vertical="center" wrapText="1"/>
    </xf>
    <xf numFmtId="0" fontId="256" fillId="18" borderId="1" xfId="10" applyFont="1" applyFill="1" applyBorder="1" applyAlignment="1">
      <alignment horizontal="left" vertical="center" wrapText="1"/>
    </xf>
    <xf numFmtId="0" fontId="256" fillId="18" borderId="1" xfId="10" applyFont="1" applyFill="1" applyBorder="1" applyAlignment="1">
      <alignment horizontal="left" vertical="center"/>
    </xf>
    <xf numFmtId="0" fontId="256" fillId="18" borderId="5" xfId="10" applyFont="1" applyFill="1" applyBorder="1" applyAlignment="1">
      <alignment horizontal="left" vertical="center"/>
    </xf>
    <xf numFmtId="0" fontId="256" fillId="18" borderId="24" xfId="10" applyFont="1" applyFill="1" applyBorder="1" applyAlignment="1">
      <alignment horizontal="left" vertical="center"/>
    </xf>
    <xf numFmtId="0" fontId="258" fillId="18" borderId="24" xfId="10" applyFont="1" applyFill="1" applyBorder="1" applyAlignment="1">
      <alignment horizontal="left" vertical="center"/>
    </xf>
    <xf numFmtId="0" fontId="256" fillId="18" borderId="33" xfId="10" applyFont="1" applyFill="1" applyBorder="1" applyAlignment="1">
      <alignment horizontal="left" vertical="center" wrapText="1"/>
    </xf>
    <xf numFmtId="0" fontId="256" fillId="18" borderId="49" xfId="10" applyFont="1" applyFill="1" applyBorder="1" applyAlignment="1">
      <alignment horizontal="left" vertical="center"/>
    </xf>
    <xf numFmtId="0" fontId="21" fillId="7" borderId="1" xfId="19" applyFont="1" applyFill="1" applyBorder="1" applyAlignment="1">
      <alignment horizontal="center" vertical="center" wrapText="1"/>
    </xf>
    <xf numFmtId="0" fontId="259" fillId="7" borderId="0" xfId="19" applyFont="1" applyFill="1" applyAlignment="1">
      <alignment horizontal="center" vertical="center" wrapText="1"/>
    </xf>
    <xf numFmtId="0" fontId="259" fillId="7" borderId="0" xfId="19" applyFont="1" applyFill="1" applyAlignment="1">
      <alignment vertical="center" wrapText="1"/>
    </xf>
    <xf numFmtId="0" fontId="259" fillId="7" borderId="0" xfId="19" applyNumberFormat="1" applyFont="1" applyFill="1" applyAlignment="1">
      <alignment horizontal="right" vertical="center" wrapText="1"/>
    </xf>
    <xf numFmtId="0" fontId="2" fillId="7" borderId="0" xfId="19" applyFill="1" applyAlignment="1">
      <alignment horizontal="center" vertical="center"/>
    </xf>
    <xf numFmtId="0" fontId="205" fillId="0" borderId="0" xfId="5" applyFont="1" applyAlignment="1" applyProtection="1">
      <alignment horizontal="left" vertical="top" wrapText="1"/>
    </xf>
    <xf numFmtId="0" fontId="50" fillId="0" borderId="13" xfId="7" applyFont="1" applyFill="1" applyBorder="1" applyAlignment="1" applyProtection="1">
      <alignment horizontal="left" vertical="center" wrapText="1"/>
    </xf>
    <xf numFmtId="0" fontId="50" fillId="0" borderId="15" xfId="7" applyFont="1" applyFill="1" applyBorder="1" applyAlignment="1" applyProtection="1">
      <alignment horizontal="left" vertical="center" wrapText="1"/>
    </xf>
    <xf numFmtId="0" fontId="50" fillId="0" borderId="77" xfId="7" applyFont="1" applyFill="1" applyBorder="1" applyAlignment="1" applyProtection="1">
      <alignment horizontal="left" vertical="center" wrapText="1"/>
    </xf>
    <xf numFmtId="0" fontId="215" fillId="0" borderId="87" xfId="7" applyFont="1" applyBorder="1" applyAlignment="1" applyProtection="1">
      <alignment horizontal="center" vertical="center"/>
    </xf>
    <xf numFmtId="0" fontId="141" fillId="0" borderId="0" xfId="7" applyFont="1" applyAlignment="1" applyProtection="1">
      <alignment horizontal="left" vertical="center" wrapText="1"/>
    </xf>
    <xf numFmtId="0" fontId="215" fillId="0" borderId="0" xfId="7" applyFont="1" applyAlignment="1" applyProtection="1">
      <alignment horizontal="center" vertical="center"/>
    </xf>
    <xf numFmtId="0" fontId="50" fillId="0" borderId="2" xfId="7" applyFont="1" applyFill="1" applyBorder="1" applyAlignment="1" applyProtection="1">
      <alignment horizontal="left" vertical="center" wrapText="1"/>
    </xf>
    <xf numFmtId="0" fontId="50" fillId="0" borderId="13" xfId="7" applyFont="1" applyFill="1" applyBorder="1" applyAlignment="1" applyProtection="1">
      <alignment vertical="center" wrapText="1"/>
    </xf>
    <xf numFmtId="0" fontId="50" fillId="0" borderId="15" xfId="7" applyFont="1" applyFill="1" applyBorder="1" applyAlignment="1" applyProtection="1">
      <alignment vertical="center" wrapText="1"/>
    </xf>
    <xf numFmtId="0" fontId="50" fillId="0" borderId="2" xfId="7" applyFont="1" applyFill="1" applyBorder="1" applyAlignment="1" applyProtection="1">
      <alignment vertical="center" wrapText="1"/>
    </xf>
    <xf numFmtId="0" fontId="66" fillId="0" borderId="78" xfId="0" applyFont="1" applyFill="1" applyBorder="1" applyAlignment="1" applyProtection="1">
      <alignment horizontal="center" vertical="center" wrapText="1"/>
    </xf>
    <xf numFmtId="182" fontId="66" fillId="0" borderId="78" xfId="0" applyNumberFormat="1" applyFont="1" applyFill="1" applyBorder="1" applyAlignment="1" applyProtection="1">
      <alignment horizontal="center" vertical="center" wrapText="1"/>
    </xf>
    <xf numFmtId="0" fontId="52" fillId="0" borderId="0" xfId="0" applyFont="1" applyFill="1" applyBorder="1" applyAlignment="1" applyProtection="1">
      <alignment horizontal="left" vertical="center"/>
    </xf>
    <xf numFmtId="0" fontId="50"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182" fontId="66" fillId="0" borderId="1" xfId="0" applyNumberFormat="1" applyFont="1" applyFill="1" applyBorder="1" applyAlignment="1" applyProtection="1">
      <alignment horizontal="center" vertical="center" wrapText="1"/>
    </xf>
    <xf numFmtId="182" fontId="66" fillId="0" borderId="5" xfId="0" applyNumberFormat="1" applyFont="1" applyFill="1" applyBorder="1" applyAlignment="1" applyProtection="1">
      <alignment horizontal="center" vertical="center" wrapText="1"/>
    </xf>
    <xf numFmtId="182" fontId="66" fillId="0" borderId="54" xfId="0" applyNumberFormat="1" applyFont="1" applyFill="1" applyBorder="1" applyAlignment="1" applyProtection="1">
      <alignment horizontal="center" vertical="center" wrapText="1"/>
    </xf>
    <xf numFmtId="182" fontId="66" fillId="0" borderId="3" xfId="0" applyNumberFormat="1" applyFont="1" applyFill="1" applyBorder="1" applyAlignment="1" applyProtection="1">
      <alignment horizontal="center" vertical="center" wrapText="1"/>
    </xf>
    <xf numFmtId="0" fontId="224" fillId="0" borderId="0" xfId="0" applyFont="1" applyFill="1" applyBorder="1" applyAlignment="1" applyProtection="1">
      <alignment horizontal="center" vertical="center"/>
    </xf>
    <xf numFmtId="0" fontId="66" fillId="0" borderId="44" xfId="0" applyFont="1" applyFill="1" applyBorder="1" applyAlignment="1" applyProtection="1">
      <alignment horizontal="center" vertical="center" wrapText="1"/>
    </xf>
    <xf numFmtId="0" fontId="135" fillId="0" borderId="0" xfId="0" applyFont="1" applyBorder="1" applyAlignment="1" applyProtection="1">
      <alignment horizontal="left" vertical="center" wrapText="1"/>
    </xf>
    <xf numFmtId="194" fontId="219" fillId="0" borderId="0" xfId="0" applyNumberFormat="1" applyFont="1" applyAlignment="1" applyProtection="1">
      <alignment horizontal="right" vertical="center"/>
      <protection locked="0"/>
    </xf>
    <xf numFmtId="0" fontId="232" fillId="0" borderId="0" xfId="0" applyFont="1" applyBorder="1" applyAlignment="1" applyProtection="1">
      <alignment horizontal="left" vertical="center" wrapText="1"/>
      <protection locked="0"/>
    </xf>
    <xf numFmtId="0" fontId="106" fillId="0" borderId="0" xfId="0" applyFont="1" applyAlignment="1" applyProtection="1">
      <alignment vertical="center" wrapText="1"/>
    </xf>
    <xf numFmtId="0" fontId="180" fillId="0" borderId="0" xfId="0" applyFont="1" applyAlignment="1" applyProtection="1">
      <alignment vertical="center" wrapText="1"/>
      <protection locked="0"/>
    </xf>
    <xf numFmtId="0" fontId="134" fillId="0" borderId="0" xfId="0" applyFont="1" applyBorder="1" applyAlignment="1" applyProtection="1">
      <alignment horizontal="left" vertical="center" wrapText="1"/>
    </xf>
    <xf numFmtId="0" fontId="215" fillId="0" borderId="0" xfId="0" applyFont="1" applyBorder="1" applyAlignment="1" applyProtection="1">
      <alignment horizontal="left" vertical="center"/>
    </xf>
    <xf numFmtId="0" fontId="215" fillId="0" borderId="0" xfId="0" applyFont="1" applyBorder="1" applyAlignment="1" applyProtection="1">
      <alignment horizontal="justify" vertical="center" wrapText="1"/>
    </xf>
    <xf numFmtId="0" fontId="66" fillId="0" borderId="0" xfId="0" applyFont="1" applyBorder="1" applyAlignment="1" applyProtection="1">
      <alignment horizontal="left" vertical="center" wrapText="1"/>
    </xf>
    <xf numFmtId="0" fontId="236" fillId="0" borderId="5" xfId="0" applyFont="1" applyBorder="1" applyAlignment="1" applyProtection="1">
      <alignment horizontal="left" vertical="center"/>
    </xf>
    <xf numFmtId="0" fontId="101" fillId="0" borderId="3" xfId="0" applyFont="1" applyBorder="1" applyAlignment="1" applyProtection="1">
      <alignment horizontal="left" vertical="center"/>
    </xf>
    <xf numFmtId="0" fontId="101" fillId="0" borderId="5" xfId="0" applyFont="1" applyBorder="1" applyAlignment="1" applyProtection="1">
      <alignment horizontal="left" vertical="center"/>
    </xf>
    <xf numFmtId="0" fontId="101" fillId="0" borderId="1" xfId="0" applyFont="1" applyBorder="1" applyAlignment="1" applyProtection="1">
      <alignment horizontal="left" vertical="center"/>
    </xf>
    <xf numFmtId="0" fontId="101" fillId="9" borderId="1" xfId="0" applyFont="1" applyFill="1" applyBorder="1" applyAlignment="1" applyProtection="1">
      <alignment horizontal="left" vertical="center"/>
    </xf>
    <xf numFmtId="0" fontId="101" fillId="5" borderId="13" xfId="0" applyFont="1" applyFill="1" applyBorder="1" applyAlignment="1" applyProtection="1">
      <alignment horizontal="left" vertical="center"/>
    </xf>
    <xf numFmtId="0" fontId="101" fillId="5" borderId="15" xfId="0" applyFont="1" applyFill="1" applyBorder="1" applyAlignment="1" applyProtection="1">
      <alignment horizontal="left" vertical="center"/>
    </xf>
    <xf numFmtId="0" fontId="101" fillId="5" borderId="2" xfId="0" applyFont="1" applyFill="1" applyBorder="1" applyAlignment="1" applyProtection="1">
      <alignment horizontal="left" vertical="center"/>
    </xf>
    <xf numFmtId="0" fontId="127" fillId="5" borderId="1" xfId="5" applyFont="1" applyFill="1" applyBorder="1" applyAlignment="1">
      <alignment horizontal="center" vertical="center"/>
    </xf>
    <xf numFmtId="0" fontId="128" fillId="0" borderId="1" xfId="5" applyFont="1" applyBorder="1" applyAlignment="1">
      <alignment horizontal="center" vertical="center"/>
    </xf>
    <xf numFmtId="0" fontId="128" fillId="0" borderId="5" xfId="5" applyFont="1" applyBorder="1" applyAlignment="1">
      <alignment horizontal="center" vertical="center"/>
    </xf>
    <xf numFmtId="0" fontId="128" fillId="0" borderId="154" xfId="5" applyFont="1" applyBorder="1" applyAlignment="1">
      <alignment horizontal="center" vertical="center"/>
    </xf>
    <xf numFmtId="0" fontId="101" fillId="6" borderId="0"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66" fillId="6" borderId="15" xfId="0" applyFont="1" applyFill="1" applyBorder="1" applyAlignment="1" applyProtection="1">
      <alignment horizontal="left" vertical="center"/>
    </xf>
    <xf numFmtId="0" fontId="66" fillId="6" borderId="2" xfId="0" applyFont="1" applyFill="1" applyBorder="1" applyAlignment="1" applyProtection="1">
      <alignment horizontal="left" vertical="center"/>
    </xf>
    <xf numFmtId="0" fontId="66" fillId="0" borderId="5" xfId="0" applyFont="1" applyBorder="1" applyAlignment="1" applyProtection="1">
      <alignment horizontal="left" vertical="center" wrapText="1"/>
      <protection locked="0"/>
    </xf>
    <xf numFmtId="0" fontId="66" fillId="0" borderId="3" xfId="0" applyFont="1" applyBorder="1" applyAlignment="1" applyProtection="1">
      <alignment horizontal="left" vertical="center" wrapText="1"/>
      <protection locked="0"/>
    </xf>
    <xf numFmtId="0" fontId="66" fillId="6" borderId="22" xfId="0" applyFont="1" applyFill="1" applyBorder="1" applyAlignment="1" applyProtection="1">
      <alignment horizontal="left" vertical="center"/>
    </xf>
    <xf numFmtId="0" fontId="66" fillId="6" borderId="35" xfId="0" applyFont="1" applyFill="1" applyBorder="1" applyAlignment="1" applyProtection="1">
      <alignment horizontal="left" vertical="center"/>
    </xf>
    <xf numFmtId="0" fontId="66" fillId="6" borderId="1" xfId="0" applyNumberFormat="1" applyFont="1" applyFill="1" applyBorder="1" applyAlignment="1" applyProtection="1">
      <alignment horizontal="center" vertical="center" wrapText="1"/>
    </xf>
    <xf numFmtId="0" fontId="66" fillId="6" borderId="34" xfId="0" applyFont="1" applyFill="1" applyBorder="1" applyAlignment="1" applyProtection="1">
      <alignment horizontal="left" vertical="center" wrapText="1"/>
    </xf>
    <xf numFmtId="0" fontId="66" fillId="6" borderId="64" xfId="0" applyFont="1" applyFill="1" applyBorder="1" applyAlignment="1" applyProtection="1">
      <alignment horizontal="left" vertical="center" wrapText="1"/>
    </xf>
    <xf numFmtId="0" fontId="66" fillId="6" borderId="65" xfId="0" applyFont="1" applyFill="1" applyBorder="1" applyAlignment="1" applyProtection="1">
      <alignment horizontal="left" vertical="center" wrapText="1"/>
    </xf>
    <xf numFmtId="0" fontId="66" fillId="6" borderId="13" xfId="0" applyFont="1" applyFill="1" applyBorder="1" applyAlignment="1" applyProtection="1">
      <alignment horizontal="center" vertical="center" wrapText="1"/>
    </xf>
    <xf numFmtId="0" fontId="66" fillId="6" borderId="104" xfId="0" applyFont="1" applyFill="1" applyBorder="1" applyAlignment="1" applyProtection="1">
      <alignment horizontal="center" vertical="center" wrapText="1"/>
    </xf>
    <xf numFmtId="0" fontId="52" fillId="6" borderId="58" xfId="0" applyFont="1" applyFill="1" applyBorder="1" applyAlignment="1" applyProtection="1">
      <alignment horizontal="center" vertical="center" wrapText="1"/>
    </xf>
    <xf numFmtId="0" fontId="52" fillId="6" borderId="6" xfId="0" applyFont="1" applyFill="1" applyBorder="1" applyAlignment="1" applyProtection="1">
      <alignment horizontal="center" vertical="center"/>
    </xf>
    <xf numFmtId="0" fontId="52" fillId="6" borderId="10" xfId="0" applyFont="1" applyFill="1" applyBorder="1" applyAlignment="1" applyProtection="1">
      <alignment horizontal="center" vertical="center"/>
    </xf>
    <xf numFmtId="0" fontId="52" fillId="6" borderId="51" xfId="0" applyFont="1" applyFill="1" applyBorder="1" applyAlignment="1" applyProtection="1">
      <alignment horizontal="center" vertical="center"/>
    </xf>
    <xf numFmtId="0" fontId="52" fillId="6" borderId="20" xfId="0" applyFont="1" applyFill="1" applyBorder="1" applyAlignment="1" applyProtection="1">
      <alignment horizontal="center" vertical="center"/>
    </xf>
    <xf numFmtId="49" fontId="232" fillId="0" borderId="4" xfId="0" applyNumberFormat="1" applyFont="1" applyFill="1" applyBorder="1" applyAlignment="1" applyProtection="1">
      <alignment horizontal="left" vertical="center"/>
      <protection locked="0"/>
    </xf>
    <xf numFmtId="49" fontId="232" fillId="0" borderId="54" xfId="0" applyNumberFormat="1" applyFont="1" applyFill="1" applyBorder="1" applyAlignment="1" applyProtection="1">
      <alignment horizontal="left" vertical="center"/>
      <protection locked="0"/>
    </xf>
    <xf numFmtId="49" fontId="232" fillId="0" borderId="3" xfId="0" applyNumberFormat="1" applyFont="1" applyFill="1" applyBorder="1" applyAlignment="1" applyProtection="1">
      <alignment horizontal="left" vertical="center"/>
      <protection locked="0"/>
    </xf>
    <xf numFmtId="0" fontId="232" fillId="0" borderId="5" xfId="0" applyNumberFormat="1" applyFont="1" applyBorder="1" applyAlignment="1" applyProtection="1">
      <alignment horizontal="left" vertical="center"/>
      <protection locked="0"/>
    </xf>
    <xf numFmtId="0" fontId="232" fillId="0" borderId="54" xfId="0" applyNumberFormat="1" applyFont="1" applyBorder="1" applyAlignment="1" applyProtection="1">
      <alignment horizontal="left" vertical="center"/>
      <protection locked="0"/>
    </xf>
    <xf numFmtId="0" fontId="232" fillId="0" borderId="3" xfId="0" applyNumberFormat="1" applyFont="1" applyBorder="1" applyAlignment="1" applyProtection="1">
      <alignment horizontal="left" vertical="center"/>
      <protection locked="0"/>
    </xf>
    <xf numFmtId="49" fontId="232" fillId="7" borderId="5" xfId="0" applyNumberFormat="1" applyFont="1" applyFill="1" applyBorder="1" applyAlignment="1" applyProtection="1">
      <alignment horizontal="left" vertical="center"/>
      <protection locked="0"/>
    </xf>
    <xf numFmtId="49" fontId="232" fillId="7" borderId="54" xfId="0" applyNumberFormat="1" applyFont="1" applyFill="1" applyBorder="1" applyAlignment="1" applyProtection="1">
      <alignment horizontal="left" vertical="center"/>
      <protection locked="0"/>
    </xf>
    <xf numFmtId="49" fontId="232" fillId="7" borderId="3" xfId="0" applyNumberFormat="1" applyFont="1" applyFill="1" applyBorder="1" applyAlignment="1" applyProtection="1">
      <alignment horizontal="left" vertical="center"/>
      <protection locked="0"/>
    </xf>
    <xf numFmtId="49" fontId="232" fillId="7" borderId="85" xfId="0" applyNumberFormat="1" applyFont="1" applyFill="1" applyBorder="1" applyAlignment="1" applyProtection="1">
      <alignment horizontal="left" vertical="center"/>
      <protection locked="0"/>
    </xf>
    <xf numFmtId="49" fontId="232" fillId="7" borderId="88" xfId="0" applyNumberFormat="1" applyFont="1" applyFill="1" applyBorder="1" applyAlignment="1" applyProtection="1">
      <alignment horizontal="left" vertical="center"/>
      <protection locked="0"/>
    </xf>
    <xf numFmtId="49" fontId="232" fillId="7" borderId="119" xfId="0" applyNumberFormat="1" applyFont="1" applyFill="1" applyBorder="1" applyAlignment="1" applyProtection="1">
      <alignment horizontal="left" vertical="center"/>
      <protection locked="0"/>
    </xf>
    <xf numFmtId="0" fontId="25" fillId="0" borderId="1" xfId="0" applyFont="1" applyFill="1" applyBorder="1" applyAlignment="1" applyProtection="1">
      <alignment horizontal="center" vertical="center" wrapText="1"/>
    </xf>
    <xf numFmtId="0" fontId="105" fillId="0" borderId="1" xfId="0" applyFont="1" applyBorder="1" applyAlignment="1">
      <alignment horizontal="center" vertical="center" wrapText="1"/>
    </xf>
    <xf numFmtId="0" fontId="256" fillId="17" borderId="11" xfId="10" applyFont="1" applyFill="1" applyBorder="1" applyAlignment="1">
      <alignment horizontal="center" vertical="center" wrapText="1"/>
    </xf>
    <xf numFmtId="0" fontId="256" fillId="17" borderId="14" xfId="10" applyFont="1" applyFill="1" applyBorder="1" applyAlignment="1">
      <alignment horizontal="center" vertical="center" wrapText="1"/>
    </xf>
    <xf numFmtId="0" fontId="256" fillId="17" borderId="41" xfId="10" applyFont="1" applyFill="1" applyBorder="1" applyAlignment="1">
      <alignment horizontal="center" vertical="center" wrapText="1"/>
    </xf>
    <xf numFmtId="0" fontId="256" fillId="17" borderId="13" xfId="10" applyFont="1" applyFill="1" applyBorder="1" applyAlignment="1">
      <alignment horizontal="center" vertical="center" wrapText="1"/>
    </xf>
    <xf numFmtId="0" fontId="256" fillId="17" borderId="15" xfId="10" applyFont="1" applyFill="1" applyBorder="1" applyAlignment="1">
      <alignment horizontal="center" vertical="center" wrapText="1"/>
    </xf>
    <xf numFmtId="0" fontId="256" fillId="17" borderId="2" xfId="10" applyFont="1" applyFill="1" applyBorder="1" applyAlignment="1">
      <alignment horizontal="center" vertical="center" wrapText="1"/>
    </xf>
    <xf numFmtId="0" fontId="257" fillId="0" borderId="6" xfId="10" applyFont="1" applyFill="1" applyBorder="1" applyAlignment="1">
      <alignment horizontal="left" vertical="center" wrapText="1"/>
    </xf>
    <xf numFmtId="0" fontId="257" fillId="0" borderId="23" xfId="10" applyFont="1" applyFill="1" applyBorder="1" applyAlignment="1">
      <alignment horizontal="left" vertical="center" wrapText="1"/>
    </xf>
    <xf numFmtId="0" fontId="257" fillId="0" borderId="9" xfId="10" applyFont="1" applyFill="1" applyBorder="1" applyAlignment="1">
      <alignment horizontal="left" vertical="center" wrapText="1"/>
    </xf>
    <xf numFmtId="0" fontId="257" fillId="0" borderId="1" xfId="10" applyFont="1" applyFill="1" applyBorder="1" applyAlignment="1">
      <alignment horizontal="left" vertical="center" wrapText="1"/>
    </xf>
    <xf numFmtId="0" fontId="257" fillId="0" borderId="9" xfId="10" applyFont="1" applyFill="1" applyBorder="1" applyAlignment="1">
      <alignment horizontal="left" vertical="center"/>
    </xf>
    <xf numFmtId="0" fontId="257" fillId="0" borderId="10" xfId="10" applyFont="1" applyFill="1" applyBorder="1" applyAlignment="1">
      <alignment horizontal="left" vertical="center"/>
    </xf>
    <xf numFmtId="0" fontId="256" fillId="18" borderId="11" xfId="10" applyFont="1" applyFill="1" applyBorder="1" applyAlignment="1">
      <alignment horizontal="center" vertical="center" wrapText="1"/>
    </xf>
    <xf numFmtId="0" fontId="256" fillId="18" borderId="14" xfId="10" applyFont="1" applyFill="1" applyBorder="1" applyAlignment="1">
      <alignment horizontal="center" vertical="center" wrapText="1"/>
    </xf>
    <xf numFmtId="0" fontId="256" fillId="18" borderId="41" xfId="10" applyFont="1" applyFill="1" applyBorder="1" applyAlignment="1">
      <alignment horizontal="center" vertical="center" wrapText="1"/>
    </xf>
    <xf numFmtId="0" fontId="256" fillId="18" borderId="13" xfId="10" applyFont="1" applyFill="1" applyBorder="1" applyAlignment="1">
      <alignment horizontal="center" vertical="center" wrapText="1"/>
    </xf>
    <xf numFmtId="0" fontId="256" fillId="18" borderId="15" xfId="10" applyFont="1" applyFill="1" applyBorder="1" applyAlignment="1">
      <alignment horizontal="center" vertical="center" wrapText="1"/>
    </xf>
    <xf numFmtId="0" fontId="256" fillId="18" borderId="2" xfId="10" applyFont="1" applyFill="1" applyBorder="1" applyAlignment="1">
      <alignment horizontal="center" vertical="center" wrapText="1"/>
    </xf>
    <xf numFmtId="0" fontId="257" fillId="0" borderId="6" xfId="10" applyFont="1" applyBorder="1" applyAlignment="1">
      <alignment horizontal="left" vertical="center" wrapText="1"/>
    </xf>
    <xf numFmtId="0" fontId="257" fillId="0" borderId="23" xfId="10" applyFont="1" applyBorder="1" applyAlignment="1">
      <alignment horizontal="left" vertical="center" wrapText="1"/>
    </xf>
    <xf numFmtId="0" fontId="257" fillId="0" borderId="9" xfId="10" applyFont="1" applyBorder="1" applyAlignment="1">
      <alignment horizontal="left" vertical="center" wrapText="1"/>
    </xf>
    <xf numFmtId="0" fontId="257" fillId="0" borderId="1" xfId="10" applyFont="1" applyBorder="1" applyAlignment="1">
      <alignment horizontal="left" vertical="center" wrapText="1"/>
    </xf>
    <xf numFmtId="0" fontId="256" fillId="0" borderId="9" xfId="10" applyFont="1" applyBorder="1" applyAlignment="1">
      <alignment horizontal="left" vertical="center"/>
    </xf>
    <xf numFmtId="0" fontId="256" fillId="0" borderId="28" xfId="10" applyFont="1" applyBorder="1" applyAlignment="1">
      <alignment horizontal="left" vertical="center"/>
    </xf>
    <xf numFmtId="0" fontId="256" fillId="0" borderId="10" xfId="10" applyFont="1" applyBorder="1" applyAlignment="1">
      <alignment horizontal="left" vertical="center"/>
    </xf>
    <xf numFmtId="0" fontId="49" fillId="6" borderId="6"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10" xfId="0" applyFont="1" applyFill="1" applyBorder="1" applyAlignment="1" applyProtection="1">
      <alignment horizontal="center" vertical="center"/>
    </xf>
    <xf numFmtId="0" fontId="51" fillId="6" borderId="40" xfId="0" applyFont="1" applyFill="1" applyBorder="1" applyAlignment="1" applyProtection="1">
      <alignment horizontal="center" vertical="center"/>
    </xf>
    <xf numFmtId="0" fontId="51" fillId="6" borderId="17" xfId="0"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1" fillId="6" borderId="13" xfId="0" applyFont="1" applyFill="1" applyBorder="1" applyAlignment="1" applyProtection="1">
      <alignment horizontal="center" vertical="center"/>
    </xf>
    <xf numFmtId="0" fontId="51" fillId="6" borderId="51" xfId="0" applyFont="1" applyFill="1" applyBorder="1" applyAlignment="1" applyProtection="1">
      <alignment horizontal="center" vertical="center"/>
    </xf>
    <xf numFmtId="0" fontId="51" fillId="6" borderId="20" xfId="0" applyFont="1" applyFill="1" applyBorder="1" applyAlignment="1" applyProtection="1">
      <alignment horizontal="center" vertical="center"/>
    </xf>
    <xf numFmtId="0" fontId="51"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8" fillId="6" borderId="106" xfId="0" applyFont="1" applyFill="1" applyBorder="1" applyAlignment="1" applyProtection="1">
      <alignment horizontal="center" vertical="center"/>
    </xf>
    <xf numFmtId="0" fontId="48" fillId="6" borderId="102" xfId="0" applyFont="1" applyFill="1" applyBorder="1" applyAlignment="1" applyProtection="1">
      <alignment horizontal="center" vertical="center"/>
    </xf>
    <xf numFmtId="0" fontId="52" fillId="6" borderId="54" xfId="0" applyFont="1" applyFill="1" applyBorder="1" applyAlignment="1" applyProtection="1">
      <alignment horizontal="left" vertical="center" wrapText="1"/>
    </xf>
    <xf numFmtId="0" fontId="57" fillId="6" borderId="51" xfId="0"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21" xfId="0" applyFont="1" applyFill="1" applyBorder="1" applyAlignment="1" applyProtection="1">
      <alignment horizontal="center" vertical="center" wrapText="1"/>
    </xf>
    <xf numFmtId="0" fontId="57" fillId="6" borderId="46" xfId="0" applyFont="1" applyFill="1" applyBorder="1" applyAlignment="1" applyProtection="1">
      <alignment horizontal="left" vertical="center" wrapText="1"/>
    </xf>
    <xf numFmtId="0" fontId="57" fillId="6" borderId="36" xfId="0" applyFont="1" applyFill="1" applyBorder="1" applyAlignment="1" applyProtection="1">
      <alignment horizontal="left" vertical="center" wrapText="1"/>
    </xf>
    <xf numFmtId="0" fontId="57" fillId="6" borderId="22" xfId="0" applyFont="1" applyFill="1" applyBorder="1" applyAlignment="1" applyProtection="1">
      <alignment horizontal="left" vertical="center" wrapText="1"/>
    </xf>
    <xf numFmtId="0" fontId="51" fillId="6" borderId="40" xfId="0" applyFont="1" applyFill="1" applyBorder="1" applyAlignment="1" applyProtection="1">
      <alignment horizontal="left" vertical="center" wrapText="1"/>
    </xf>
    <xf numFmtId="0" fontId="51" fillId="6" borderId="41" xfId="0"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0" fontId="52" fillId="6" borderId="54" xfId="0" applyNumberFormat="1" applyFont="1" applyFill="1" applyBorder="1" applyAlignment="1" applyProtection="1">
      <alignment horizontal="left" vertical="center" wrapText="1"/>
    </xf>
    <xf numFmtId="0" fontId="51" fillId="6" borderId="21" xfId="0" applyFont="1" applyFill="1" applyBorder="1" applyAlignment="1" applyProtection="1">
      <alignment horizontal="center" vertical="center"/>
    </xf>
    <xf numFmtId="0" fontId="57" fillId="6" borderId="47" xfId="0" applyFont="1" applyFill="1" applyBorder="1" applyAlignment="1" applyProtection="1">
      <alignment horizontal="center" vertical="center"/>
    </xf>
    <xf numFmtId="0" fontId="49" fillId="6" borderId="1" xfId="0" applyFont="1" applyFill="1" applyBorder="1" applyAlignment="1" applyProtection="1">
      <alignment horizontal="left" vertical="center" wrapText="1"/>
    </xf>
    <xf numFmtId="0" fontId="52" fillId="6" borderId="23"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9" fillId="0" borderId="13" xfId="0" applyFont="1" applyBorder="1" applyAlignment="1" applyProtection="1">
      <alignment horizontal="center" vertical="center"/>
      <protection locked="0"/>
    </xf>
    <xf numFmtId="0" fontId="49" fillId="0" borderId="15" xfId="0" applyFont="1" applyBorder="1" applyAlignment="1" applyProtection="1">
      <alignment horizontal="center" vertical="center"/>
      <protection locked="0"/>
    </xf>
    <xf numFmtId="0" fontId="49" fillId="0" borderId="2" xfId="0" applyFont="1" applyBorder="1" applyAlignment="1" applyProtection="1">
      <alignment horizontal="center" vertical="center"/>
      <protection locked="0"/>
    </xf>
    <xf numFmtId="10" fontId="52" fillId="6" borderId="48" xfId="0" applyNumberFormat="1" applyFont="1" applyFill="1" applyBorder="1" applyAlignment="1" applyProtection="1">
      <alignment horizontal="left" vertical="center" wrapText="1"/>
    </xf>
    <xf numFmtId="10" fontId="122" fillId="6" borderId="5" xfId="0" applyNumberFormat="1" applyFont="1" applyFill="1" applyBorder="1" applyAlignment="1" applyProtection="1">
      <alignment horizontal="left" vertical="center" wrapText="1"/>
    </xf>
    <xf numFmtId="10" fontId="122" fillId="6" borderId="54" xfId="0" applyNumberFormat="1" applyFont="1" applyFill="1" applyBorder="1" applyAlignment="1" applyProtection="1">
      <alignment horizontal="left" vertical="center" wrapText="1"/>
    </xf>
    <xf numFmtId="10" fontId="122" fillId="6" borderId="48" xfId="0" applyNumberFormat="1" applyFont="1" applyFill="1" applyBorder="1" applyAlignment="1" applyProtection="1">
      <alignment horizontal="left" vertical="center" wrapText="1"/>
    </xf>
    <xf numFmtId="0" fontId="52" fillId="6" borderId="5" xfId="0" applyFont="1" applyFill="1" applyBorder="1" applyAlignment="1" applyProtection="1">
      <alignment horizontal="left" vertical="center" wrapText="1"/>
    </xf>
    <xf numFmtId="0" fontId="52" fillId="6" borderId="3" xfId="0" applyFont="1" applyFill="1" applyBorder="1" applyAlignment="1" applyProtection="1">
      <alignment horizontal="left" vertical="center" wrapText="1"/>
    </xf>
    <xf numFmtId="0" fontId="51" fillId="6" borderId="40"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2" xfId="0" applyFont="1" applyFill="1" applyBorder="1" applyAlignment="1" applyProtection="1">
      <alignment horizontal="center" vertical="center" wrapText="1"/>
    </xf>
    <xf numFmtId="0" fontId="59" fillId="6" borderId="6" xfId="0" applyFont="1" applyFill="1" applyBorder="1" applyAlignment="1" applyProtection="1">
      <alignment horizontal="center" vertical="center" wrapText="1"/>
    </xf>
    <xf numFmtId="0" fontId="59" fillId="6" borderId="9" xfId="0" applyFont="1" applyFill="1" applyBorder="1" applyAlignment="1" applyProtection="1">
      <alignment horizontal="center" vertical="center" wrapText="1"/>
    </xf>
    <xf numFmtId="0" fontId="52" fillId="6" borderId="5" xfId="0" applyFont="1" applyFill="1" applyBorder="1" applyAlignment="1" applyProtection="1">
      <alignment horizontal="center" vertical="center" wrapText="1"/>
    </xf>
    <xf numFmtId="0" fontId="52" fillId="6" borderId="54" xfId="0" applyFont="1" applyFill="1" applyBorder="1" applyAlignment="1" applyProtection="1">
      <alignment horizontal="center" vertical="center" wrapText="1"/>
    </xf>
    <xf numFmtId="0" fontId="52" fillId="6" borderId="11" xfId="0" applyFont="1" applyFill="1" applyBorder="1" applyAlignment="1" applyProtection="1">
      <alignment horizontal="left" vertical="center" wrapText="1"/>
    </xf>
    <xf numFmtId="0" fontId="108" fillId="6" borderId="63" xfId="0" applyFont="1" applyFill="1" applyBorder="1" applyAlignment="1" applyProtection="1">
      <alignment horizontal="center" vertical="center"/>
    </xf>
    <xf numFmtId="0" fontId="108" fillId="6" borderId="64" xfId="0" applyFont="1" applyFill="1" applyBorder="1" applyAlignment="1" applyProtection="1">
      <alignment horizontal="center" vertical="center"/>
    </xf>
    <xf numFmtId="0" fontId="108" fillId="6" borderId="65" xfId="0" applyFont="1" applyFill="1" applyBorder="1" applyAlignment="1" applyProtection="1">
      <alignment horizontal="center" vertical="center"/>
    </xf>
    <xf numFmtId="0" fontId="49" fillId="0" borderId="1" xfId="0" applyFont="1" applyBorder="1" applyAlignment="1" applyProtection="1">
      <alignment horizontal="center" vertical="center"/>
      <protection locked="0"/>
    </xf>
    <xf numFmtId="0" fontId="52" fillId="6" borderId="69" xfId="0" applyFont="1" applyFill="1" applyBorder="1" applyAlignment="1" applyProtection="1">
      <alignment horizontal="center" vertical="center"/>
    </xf>
    <xf numFmtId="0" fontId="52" fillId="6" borderId="60" xfId="0" applyFont="1" applyFill="1" applyBorder="1" applyAlignment="1" applyProtection="1">
      <alignment horizontal="center" vertical="center"/>
    </xf>
    <xf numFmtId="0" fontId="52" fillId="6" borderId="3" xfId="0" applyFont="1" applyFill="1" applyBorder="1" applyAlignment="1" applyProtection="1">
      <alignment horizontal="center" vertical="center" wrapText="1"/>
    </xf>
    <xf numFmtId="0" fontId="51" fillId="6" borderId="23" xfId="0" applyFont="1" applyFill="1" applyBorder="1" applyAlignment="1" applyProtection="1">
      <alignment horizontal="left" vertical="center"/>
    </xf>
    <xf numFmtId="0" fontId="51" fillId="6" borderId="1" xfId="0" applyFont="1" applyFill="1" applyBorder="1" applyAlignment="1" applyProtection="1">
      <alignment horizontal="left" vertical="center"/>
    </xf>
    <xf numFmtId="0" fontId="51" fillId="6" borderId="1" xfId="0" applyFont="1" applyFill="1" applyBorder="1" applyAlignment="1" applyProtection="1">
      <alignment horizontal="center" vertical="center" wrapText="1"/>
    </xf>
    <xf numFmtId="0" fontId="135" fillId="6" borderId="23" xfId="0" applyFont="1" applyFill="1" applyBorder="1" applyProtection="1">
      <alignment vertical="center"/>
    </xf>
    <xf numFmtId="0" fontId="135" fillId="6" borderId="25" xfId="0" applyFont="1" applyFill="1" applyBorder="1" applyProtection="1">
      <alignment vertical="center"/>
    </xf>
    <xf numFmtId="0" fontId="52" fillId="6" borderId="19" xfId="0" applyFont="1" applyFill="1" applyBorder="1" applyAlignment="1" applyProtection="1">
      <alignment horizontal="left" vertical="center" wrapText="1"/>
    </xf>
    <xf numFmtId="0" fontId="49" fillId="5" borderId="13" xfId="0" applyFont="1" applyFill="1" applyBorder="1" applyAlignment="1" applyProtection="1">
      <alignment horizontal="center" vertical="center" wrapText="1"/>
      <protection locked="0"/>
    </xf>
    <xf numFmtId="0" fontId="49" fillId="5" borderId="2" xfId="0" applyFont="1" applyFill="1" applyBorder="1" applyAlignment="1" applyProtection="1">
      <alignment horizontal="center" vertical="center" wrapText="1"/>
      <protection locked="0"/>
    </xf>
    <xf numFmtId="0" fontId="52" fillId="6" borderId="48" xfId="0" applyFont="1" applyFill="1" applyBorder="1" applyAlignment="1" applyProtection="1">
      <alignment horizontal="left" vertical="center" wrapText="1"/>
    </xf>
    <xf numFmtId="0" fontId="59" fillId="6" borderId="18"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182" fontId="49" fillId="6" borderId="5" xfId="0" applyNumberFormat="1" applyFont="1" applyFill="1" applyBorder="1" applyAlignment="1" applyProtection="1">
      <alignment horizontal="center" vertical="center" wrapText="1"/>
    </xf>
    <xf numFmtId="182" fontId="49" fillId="6" borderId="54" xfId="0" applyNumberFormat="1" applyFont="1" applyFill="1" applyBorder="1" applyAlignment="1" applyProtection="1">
      <alignment horizontal="center" vertical="center" wrapText="1"/>
    </xf>
    <xf numFmtId="182" fontId="49" fillId="6" borderId="3"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xf>
    <xf numFmtId="0" fontId="51" fillId="6" borderId="54" xfId="0" applyFont="1" applyFill="1" applyBorder="1" applyAlignment="1" applyProtection="1">
      <alignment horizontal="center" vertical="center"/>
    </xf>
    <xf numFmtId="0" fontId="51" fillId="6" borderId="3" xfId="0" applyFont="1" applyFill="1" applyBorder="1" applyAlignment="1" applyProtection="1">
      <alignment horizontal="center" vertical="center"/>
    </xf>
    <xf numFmtId="0" fontId="52" fillId="6" borderId="36" xfId="0" applyFont="1" applyFill="1" applyBorder="1" applyAlignment="1" applyProtection="1">
      <alignment horizontal="left" vertical="center"/>
    </xf>
    <xf numFmtId="0" fontId="49" fillId="5" borderId="5" xfId="0" applyFont="1" applyFill="1" applyBorder="1" applyAlignment="1" applyProtection="1">
      <alignment horizontal="center" vertical="center" wrapText="1"/>
      <protection locked="0"/>
    </xf>
    <xf numFmtId="0" fontId="49" fillId="5" borderId="3" xfId="0" applyFont="1" applyFill="1" applyBorder="1" applyAlignment="1" applyProtection="1">
      <alignment horizontal="center" vertical="center" wrapText="1"/>
      <protection locked="0"/>
    </xf>
    <xf numFmtId="0" fontId="110" fillId="6" borderId="1" xfId="0"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xf>
    <xf numFmtId="0" fontId="107" fillId="6" borderId="13" xfId="0" applyFont="1" applyFill="1" applyBorder="1" applyAlignment="1" applyProtection="1">
      <alignment horizontal="center" vertical="center" wrapText="1"/>
    </xf>
    <xf numFmtId="0" fontId="107" fillId="6" borderId="2" xfId="0" applyFont="1" applyFill="1" applyBorder="1" applyAlignment="1" applyProtection="1">
      <alignment horizontal="center" vertical="center" wrapText="1"/>
    </xf>
    <xf numFmtId="0" fontId="52" fillId="6" borderId="25" xfId="0"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2" fillId="6" borderId="61" xfId="0" applyFont="1" applyFill="1" applyBorder="1" applyAlignment="1" applyProtection="1">
      <alignment horizontal="center" vertical="center"/>
    </xf>
    <xf numFmtId="0" fontId="52" fillId="6" borderId="53" xfId="0" applyFont="1" applyFill="1" applyBorder="1" applyAlignment="1" applyProtection="1">
      <alignment horizontal="center" vertical="center"/>
    </xf>
    <xf numFmtId="0" fontId="52" fillId="6" borderId="8" xfId="0" applyFont="1" applyFill="1" applyBorder="1" applyAlignment="1" applyProtection="1">
      <alignment horizontal="center" vertical="center"/>
    </xf>
    <xf numFmtId="0" fontId="112" fillId="6" borderId="107" xfId="0" applyFont="1" applyFill="1" applyBorder="1" applyProtection="1">
      <alignment vertical="center"/>
    </xf>
    <xf numFmtId="0" fontId="112" fillId="6" borderId="108" xfId="0" applyFont="1" applyFill="1" applyBorder="1" applyProtection="1">
      <alignment vertical="center"/>
    </xf>
    <xf numFmtId="0" fontId="51" fillId="6" borderId="23" xfId="0" applyFont="1" applyFill="1" applyBorder="1" applyAlignment="1" applyProtection="1">
      <alignment horizontal="left" vertical="center" wrapText="1"/>
    </xf>
    <xf numFmtId="0" fontId="51" fillId="6" borderId="1" xfId="0" applyFont="1" applyFill="1" applyBorder="1" applyAlignment="1" applyProtection="1">
      <alignment horizontal="left" vertical="center" wrapText="1"/>
    </xf>
    <xf numFmtId="0" fontId="51" fillId="6" borderId="25" xfId="0" applyFont="1" applyFill="1" applyBorder="1" applyAlignment="1" applyProtection="1">
      <alignment horizontal="left" vertical="center" wrapText="1"/>
    </xf>
    <xf numFmtId="0" fontId="51" fillId="6" borderId="32" xfId="0" applyFont="1" applyFill="1" applyBorder="1" applyAlignment="1" applyProtection="1">
      <alignment horizontal="left" vertical="center" wrapText="1"/>
    </xf>
    <xf numFmtId="0" fontId="51" fillId="6" borderId="5" xfId="0" applyFont="1" applyFill="1" applyBorder="1" applyAlignment="1" applyProtection="1">
      <alignment horizontal="center" vertical="center" wrapText="1"/>
    </xf>
    <xf numFmtId="0" fontId="51" fillId="6" borderId="54"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1" fillId="5" borderId="37" xfId="0" applyFont="1" applyFill="1" applyBorder="1" applyAlignment="1" applyProtection="1">
      <alignment horizontal="left" vertical="center" wrapText="1"/>
      <protection locked="0"/>
    </xf>
    <xf numFmtId="0" fontId="51" fillId="5" borderId="3" xfId="0" applyFont="1" applyFill="1" applyBorder="1" applyAlignment="1" applyProtection="1">
      <alignment horizontal="left" vertical="center" wrapText="1"/>
      <protection locked="0"/>
    </xf>
    <xf numFmtId="0" fontId="136" fillId="6" borderId="1" xfId="0" applyFont="1" applyFill="1" applyBorder="1" applyAlignment="1" applyProtection="1">
      <alignment horizontal="center" vertical="center" wrapText="1"/>
      <protection locked="0"/>
    </xf>
    <xf numFmtId="192" fontId="136" fillId="6" borderId="1" xfId="0" applyNumberFormat="1" applyFont="1" applyFill="1" applyBorder="1" applyAlignment="1" applyProtection="1">
      <alignment horizontal="center" vertical="center" wrapText="1"/>
    </xf>
    <xf numFmtId="0" fontId="136" fillId="6" borderId="1" xfId="0" applyFont="1" applyFill="1" applyBorder="1" applyAlignment="1" applyProtection="1">
      <alignment horizontal="center" vertical="center" wrapText="1"/>
    </xf>
    <xf numFmtId="0" fontId="51" fillId="6" borderId="3" xfId="0" applyFont="1" applyFill="1" applyBorder="1" applyAlignment="1" applyProtection="1">
      <alignment horizontal="left" vertical="center"/>
    </xf>
    <xf numFmtId="0" fontId="52" fillId="6" borderId="5" xfId="0" applyFont="1" applyFill="1" applyBorder="1" applyAlignment="1" applyProtection="1">
      <alignment horizontal="center" vertical="center"/>
    </xf>
    <xf numFmtId="0" fontId="52" fillId="6" borderId="54" xfId="0" applyFont="1" applyFill="1" applyBorder="1" applyAlignment="1" applyProtection="1">
      <alignment horizontal="center" vertical="center"/>
    </xf>
    <xf numFmtId="0" fontId="177" fillId="6" borderId="1" xfId="0" applyFont="1" applyFill="1" applyBorder="1" applyAlignment="1">
      <alignment horizontal="center" vertical="center" wrapText="1"/>
    </xf>
    <xf numFmtId="0" fontId="52" fillId="6" borderId="5" xfId="0" applyFont="1" applyFill="1" applyBorder="1" applyAlignment="1" applyProtection="1">
      <alignment horizontal="left" vertical="center"/>
    </xf>
    <xf numFmtId="0" fontId="52" fillId="6" borderId="3" xfId="0" applyFont="1" applyFill="1" applyBorder="1" applyAlignment="1" applyProtection="1">
      <alignment horizontal="left" vertical="center"/>
    </xf>
    <xf numFmtId="0" fontId="58" fillId="6" borderId="61" xfId="0" applyFont="1" applyFill="1" applyBorder="1" applyAlignment="1" applyProtection="1">
      <alignment horizontal="left" vertical="center"/>
    </xf>
    <xf numFmtId="0" fontId="58" fillId="6" borderId="53" xfId="0" applyFont="1" applyFill="1" applyBorder="1" applyAlignment="1" applyProtection="1">
      <alignment horizontal="left" vertical="center"/>
    </xf>
    <xf numFmtId="0" fontId="58" fillId="6" borderId="8" xfId="0" applyFont="1" applyFill="1" applyBorder="1" applyAlignment="1" applyProtection="1">
      <alignment horizontal="left" vertical="center"/>
    </xf>
    <xf numFmtId="0" fontId="58" fillId="6" borderId="54" xfId="8" applyFont="1" applyFill="1" applyBorder="1" applyAlignment="1" applyProtection="1">
      <alignment horizontal="right" vertical="center" wrapText="1"/>
      <protection locked="0"/>
    </xf>
    <xf numFmtId="0" fontId="58" fillId="6" borderId="3" xfId="8" applyFont="1" applyFill="1" applyBorder="1" applyAlignment="1" applyProtection="1">
      <alignment horizontal="right" vertical="center" wrapText="1"/>
      <protection locked="0"/>
    </xf>
    <xf numFmtId="0" fontId="58" fillId="6" borderId="3" xfId="8" applyFont="1" applyFill="1" applyBorder="1" applyAlignment="1" applyProtection="1">
      <alignment horizontal="center" vertical="center" wrapText="1"/>
      <protection locked="0"/>
    </xf>
    <xf numFmtId="0" fontId="62" fillId="6" borderId="5" xfId="0" applyFont="1" applyFill="1" applyBorder="1" applyAlignment="1" applyProtection="1">
      <alignment horizontal="center" vertical="center" wrapText="1"/>
    </xf>
    <xf numFmtId="0" fontId="62" fillId="6" borderId="54" xfId="0" applyFont="1" applyFill="1" applyBorder="1" applyAlignment="1" applyProtection="1">
      <alignment horizontal="center" vertical="center" wrapText="1"/>
    </xf>
    <xf numFmtId="0" fontId="62" fillId="6" borderId="0" xfId="0" applyFont="1" applyFill="1" applyBorder="1" applyAlignment="1" applyProtection="1">
      <alignment horizontal="center" vertical="center" wrapText="1"/>
    </xf>
    <xf numFmtId="0" fontId="62" fillId="6" borderId="22" xfId="0" applyFont="1" applyFill="1" applyBorder="1" applyAlignment="1" applyProtection="1">
      <alignment horizontal="center" vertical="center" wrapText="1"/>
    </xf>
    <xf numFmtId="49" fontId="58" fillId="6" borderId="40" xfId="0" applyNumberFormat="1" applyFont="1" applyFill="1" applyBorder="1" applyAlignment="1" applyProtection="1">
      <alignment horizontal="center" vertical="center" wrapText="1"/>
    </xf>
    <xf numFmtId="49" fontId="58" fillId="6" borderId="14" xfId="0" applyNumberFormat="1" applyFont="1" applyFill="1" applyBorder="1" applyAlignment="1" applyProtection="1">
      <alignment horizontal="center" vertical="center" wrapText="1"/>
    </xf>
    <xf numFmtId="49" fontId="106" fillId="6" borderId="18" xfId="0" applyNumberFormat="1" applyFont="1" applyFill="1" applyBorder="1" applyAlignment="1" applyProtection="1">
      <alignment horizontal="center" vertical="center" wrapText="1"/>
    </xf>
    <xf numFmtId="49" fontId="106" fillId="6" borderId="12" xfId="0" applyNumberFormat="1" applyFont="1" applyFill="1" applyBorder="1" applyAlignment="1" applyProtection="1">
      <alignment horizontal="center" vertical="center" wrapText="1"/>
    </xf>
    <xf numFmtId="49" fontId="58" fillId="6" borderId="12" xfId="0" applyNumberFormat="1" applyFont="1" applyFill="1" applyBorder="1" applyAlignment="1" applyProtection="1">
      <alignment horizontal="center" vertical="center" wrapText="1"/>
    </xf>
    <xf numFmtId="0" fontId="110" fillId="6" borderId="0" xfId="0" applyFont="1" applyFill="1" applyAlignment="1" applyProtection="1">
      <alignment horizontal="center" vertical="center"/>
    </xf>
    <xf numFmtId="0" fontId="107" fillId="0" borderId="0" xfId="0" applyFont="1" applyAlignment="1" applyProtection="1">
      <alignment horizontal="left" vertical="center"/>
    </xf>
    <xf numFmtId="0" fontId="107" fillId="6" borderId="1" xfId="0" applyFont="1" applyFill="1" applyBorder="1" applyAlignment="1" applyProtection="1">
      <alignment horizontal="center" vertical="center"/>
    </xf>
    <xf numFmtId="0" fontId="107" fillId="6" borderId="13" xfId="0" applyFont="1" applyFill="1" applyBorder="1" applyAlignment="1" applyProtection="1">
      <alignment horizontal="center" vertical="center"/>
    </xf>
    <xf numFmtId="0" fontId="107" fillId="6" borderId="15" xfId="0" applyFont="1" applyFill="1" applyBorder="1" applyAlignment="1" applyProtection="1">
      <alignment horizontal="center" vertical="center"/>
    </xf>
    <xf numFmtId="0" fontId="107" fillId="6" borderId="2" xfId="0" applyFont="1" applyFill="1" applyBorder="1" applyAlignment="1" applyProtection="1">
      <alignment horizontal="center" vertical="center"/>
    </xf>
    <xf numFmtId="0" fontId="150" fillId="6" borderId="13" xfId="0" applyFont="1" applyFill="1" applyBorder="1" applyAlignment="1" applyProtection="1">
      <alignment vertical="center" wrapText="1"/>
    </xf>
    <xf numFmtId="0" fontId="150" fillId="6" borderId="15" xfId="0" applyFont="1" applyFill="1" applyBorder="1" applyAlignment="1" applyProtection="1">
      <alignment vertical="center" wrapText="1"/>
    </xf>
    <xf numFmtId="0" fontId="150" fillId="6" borderId="2" xfId="0" applyFont="1" applyFill="1" applyBorder="1" applyAlignment="1" applyProtection="1">
      <alignment vertical="center" wrapText="1"/>
    </xf>
    <xf numFmtId="0" fontId="58" fillId="6" borderId="29" xfId="0" applyFont="1" applyFill="1" applyBorder="1" applyAlignment="1" applyProtection="1">
      <alignment horizontal="center" vertical="center" wrapText="1"/>
    </xf>
    <xf numFmtId="0" fontId="58" fillId="6" borderId="39" xfId="0" applyFont="1" applyFill="1" applyBorder="1" applyAlignment="1" applyProtection="1">
      <alignment horizontal="center" vertical="center" wrapText="1"/>
    </xf>
    <xf numFmtId="0" fontId="122" fillId="6" borderId="34" xfId="0" applyFont="1" applyFill="1" applyBorder="1" applyAlignment="1" applyProtection="1">
      <alignment horizontal="left" vertical="center" wrapText="1"/>
    </xf>
    <xf numFmtId="0" fontId="122" fillId="6" borderId="65" xfId="0" applyFont="1" applyFill="1" applyBorder="1" applyAlignment="1" applyProtection="1">
      <alignment horizontal="left" vertical="center" wrapText="1"/>
    </xf>
    <xf numFmtId="0" fontId="52" fillId="6" borderId="13" xfId="0" applyFont="1" applyFill="1" applyBorder="1" applyAlignment="1" applyProtection="1">
      <alignment vertical="top" wrapText="1"/>
    </xf>
    <xf numFmtId="0" fontId="52" fillId="6" borderId="15" xfId="0" applyFont="1" applyFill="1" applyBorder="1" applyAlignment="1" applyProtection="1">
      <alignment vertical="top" wrapText="1"/>
    </xf>
    <xf numFmtId="0" fontId="52" fillId="6" borderId="2" xfId="0" applyFont="1" applyFill="1" applyBorder="1" applyAlignment="1" applyProtection="1">
      <alignment vertical="top" wrapText="1"/>
    </xf>
    <xf numFmtId="0" fontId="223" fillId="6" borderId="1" xfId="0" applyFont="1" applyFill="1" applyBorder="1" applyAlignment="1">
      <alignment horizontal="center" vertical="center"/>
    </xf>
    <xf numFmtId="0" fontId="147" fillId="11" borderId="5" xfId="0" applyFont="1" applyFill="1" applyBorder="1" applyAlignment="1">
      <alignment horizontal="left" vertical="center"/>
    </xf>
    <xf numFmtId="0" fontId="147" fillId="11" borderId="54" xfId="0" applyFont="1" applyFill="1" applyBorder="1" applyAlignment="1">
      <alignment horizontal="left" vertical="center"/>
    </xf>
    <xf numFmtId="0" fontId="147" fillId="11" borderId="3" xfId="0" applyFont="1" applyFill="1" applyBorder="1" applyAlignment="1">
      <alignment horizontal="left" vertical="center"/>
    </xf>
    <xf numFmtId="0" fontId="86" fillId="11" borderId="1" xfId="0" applyFont="1" applyFill="1" applyBorder="1" applyAlignment="1">
      <alignment horizontal="center" vertical="center"/>
    </xf>
    <xf numFmtId="0" fontId="21" fillId="0" borderId="1" xfId="0" applyFont="1" applyBorder="1" applyAlignment="1">
      <alignment horizontal="center"/>
    </xf>
    <xf numFmtId="0" fontId="21" fillId="0" borderId="1" xfId="0" applyFont="1" applyBorder="1" applyAlignment="1"/>
    <xf numFmtId="0" fontId="86" fillId="6" borderId="23" xfId="0" applyFont="1" applyFill="1" applyBorder="1" applyAlignment="1">
      <alignment horizontal="left" vertical="center" wrapText="1"/>
    </xf>
    <xf numFmtId="0" fontId="21" fillId="0" borderId="1" xfId="0" applyFont="1" applyFill="1" applyBorder="1" applyAlignment="1">
      <alignment horizontal="center" vertical="center"/>
    </xf>
    <xf numFmtId="0" fontId="86" fillId="0" borderId="1" xfId="0" applyFont="1" applyFill="1" applyBorder="1" applyAlignment="1">
      <alignment horizontal="center" vertical="center"/>
    </xf>
    <xf numFmtId="0" fontId="86" fillId="6" borderId="1" xfId="0" applyFont="1" applyFill="1" applyBorder="1" applyAlignment="1">
      <alignment horizontal="left" vertical="center" wrapText="1"/>
    </xf>
    <xf numFmtId="0" fontId="147" fillId="6" borderId="55" xfId="0" applyFont="1" applyFill="1" applyBorder="1" applyAlignment="1">
      <alignment vertical="center"/>
    </xf>
    <xf numFmtId="0" fontId="147" fillId="6" borderId="36" xfId="0" applyFont="1" applyFill="1" applyBorder="1" applyAlignment="1">
      <alignment vertical="center"/>
    </xf>
    <xf numFmtId="0" fontId="147" fillId="6" borderId="22" xfId="0" applyFont="1" applyFill="1" applyBorder="1" applyAlignment="1">
      <alignment vertical="center"/>
    </xf>
    <xf numFmtId="0" fontId="147" fillId="6" borderId="42" xfId="0" applyFont="1" applyFill="1" applyBorder="1" applyAlignment="1">
      <alignment vertical="center"/>
    </xf>
    <xf numFmtId="0" fontId="147" fillId="6" borderId="47" xfId="0" applyFont="1" applyFill="1" applyBorder="1" applyAlignment="1">
      <alignment vertical="center"/>
    </xf>
    <xf numFmtId="0" fontId="147" fillId="6" borderId="73" xfId="0" applyFont="1" applyFill="1" applyBorder="1" applyAlignment="1">
      <alignment vertical="center"/>
    </xf>
    <xf numFmtId="0" fontId="144" fillId="6" borderId="37" xfId="0" applyFont="1" applyFill="1" applyBorder="1" applyAlignment="1">
      <alignment horizontal="left" vertical="center"/>
    </xf>
    <xf numFmtId="0" fontId="144" fillId="6" borderId="54" xfId="0" applyFont="1" applyFill="1" applyBorder="1" applyAlignment="1">
      <alignment horizontal="left" vertical="center"/>
    </xf>
    <xf numFmtId="0" fontId="144" fillId="6" borderId="3" xfId="0" applyFont="1" applyFill="1" applyBorder="1" applyAlignment="1">
      <alignment horizontal="left" vertical="center"/>
    </xf>
    <xf numFmtId="0" fontId="146" fillId="6" borderId="1" xfId="0" applyFont="1" applyFill="1" applyBorder="1" applyAlignment="1">
      <alignment horizontal="center" vertical="center"/>
    </xf>
    <xf numFmtId="0" fontId="146" fillId="6" borderId="24" xfId="0" applyFont="1" applyFill="1" applyBorder="1" applyAlignment="1">
      <alignment horizontal="center" vertical="center"/>
    </xf>
    <xf numFmtId="0" fontId="56" fillId="6" borderId="5" xfId="0" applyFont="1" applyFill="1" applyBorder="1" applyAlignment="1" applyProtection="1">
      <alignment horizontal="center" vertical="center" wrapText="1"/>
    </xf>
    <xf numFmtId="0" fontId="56" fillId="6" borderId="3" xfId="0" applyFont="1" applyFill="1" applyBorder="1" applyAlignment="1" applyProtection="1">
      <alignment horizontal="center" vertical="center" wrapText="1"/>
    </xf>
    <xf numFmtId="0" fontId="55" fillId="6" borderId="1" xfId="0"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wrapText="1"/>
    </xf>
    <xf numFmtId="0" fontId="56" fillId="6" borderId="1" xfId="0" applyNumberFormat="1" applyFont="1" applyFill="1" applyBorder="1" applyAlignment="1" applyProtection="1">
      <alignment horizontal="center" vertical="center"/>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11" xfId="0" applyFont="1" applyFill="1" applyBorder="1" applyAlignment="1" applyProtection="1">
      <alignment horizontal="center" vertical="center" textRotation="255" wrapText="1"/>
    </xf>
    <xf numFmtId="0" fontId="56" fillId="6" borderId="14" xfId="0" applyFont="1" applyFill="1" applyBorder="1" applyAlignment="1" applyProtection="1">
      <alignment horizontal="center" vertical="center" textRotation="255" wrapText="1"/>
    </xf>
    <xf numFmtId="0" fontId="56" fillId="6" borderId="41" xfId="0" applyFont="1" applyFill="1" applyBorder="1" applyAlignment="1" applyProtection="1">
      <alignment horizontal="center" vertical="center" textRotation="255" wrapText="1"/>
    </xf>
    <xf numFmtId="0" fontId="56" fillId="6" borderId="15" xfId="0" applyFont="1" applyFill="1" applyBorder="1" applyAlignment="1" applyProtection="1">
      <alignment horizontal="center" vertical="center" textRotation="255" wrapText="1"/>
    </xf>
    <xf numFmtId="0" fontId="56" fillId="6" borderId="2" xfId="0" applyFont="1" applyFill="1" applyBorder="1" applyAlignment="1" applyProtection="1">
      <alignment horizontal="center" vertical="center" textRotation="255" wrapText="1"/>
    </xf>
    <xf numFmtId="0" fontId="56" fillId="6" borderId="11" xfId="0" applyFont="1" applyFill="1" applyBorder="1" applyAlignment="1" applyProtection="1">
      <alignment horizontal="center" vertical="center" wrapText="1"/>
    </xf>
    <xf numFmtId="0" fontId="56" fillId="6" borderId="14" xfId="0" applyFont="1" applyFill="1" applyBorder="1" applyAlignment="1" applyProtection="1">
      <alignment horizontal="center" vertical="center" wrapText="1"/>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xf>
    <xf numFmtId="0" fontId="56" fillId="6" borderId="15" xfId="0" applyFont="1" applyFill="1" applyBorder="1" applyAlignment="1" applyProtection="1">
      <alignment horizontal="center" vertical="center"/>
    </xf>
    <xf numFmtId="0" fontId="56" fillId="6" borderId="2" xfId="0" applyFont="1" applyFill="1" applyBorder="1" applyAlignment="1" applyProtection="1">
      <alignment horizontal="center" vertical="center"/>
    </xf>
    <xf numFmtId="0" fontId="56" fillId="6" borderId="6" xfId="0" applyFont="1" applyFill="1" applyBorder="1" applyAlignment="1" applyProtection="1">
      <alignment horizontal="center" vertical="center" wrapText="1"/>
    </xf>
    <xf numFmtId="0" fontId="56" fillId="6" borderId="10" xfId="0" applyFont="1" applyFill="1" applyBorder="1" applyAlignment="1" applyProtection="1">
      <alignment horizontal="center" vertical="center" wrapText="1"/>
    </xf>
    <xf numFmtId="0" fontId="56" fillId="6" borderId="30" xfId="0" applyFont="1" applyFill="1" applyBorder="1" applyAlignment="1" applyProtection="1">
      <alignment horizontal="center" vertical="center" wrapText="1"/>
    </xf>
    <xf numFmtId="0" fontId="56" fillId="6" borderId="28" xfId="0" applyFont="1" applyFill="1" applyBorder="1" applyAlignment="1" applyProtection="1">
      <alignment horizontal="center" vertical="center" wrapText="1"/>
    </xf>
    <xf numFmtId="0" fontId="56" fillId="6" borderId="46" xfId="0" applyFont="1" applyFill="1" applyBorder="1" applyAlignment="1" applyProtection="1">
      <alignment horizontal="center" vertical="center" wrapText="1"/>
    </xf>
    <xf numFmtId="0" fontId="56" fillId="6" borderId="22" xfId="0" applyFont="1" applyFill="1" applyBorder="1" applyAlignment="1" applyProtection="1">
      <alignment horizontal="center" vertical="center" wrapText="1"/>
    </xf>
    <xf numFmtId="0" fontId="56" fillId="6" borderId="58" xfId="0" applyFont="1" applyFill="1" applyBorder="1" applyAlignment="1" applyProtection="1">
      <alignment horizontal="center" vertical="center" wrapText="1"/>
    </xf>
    <xf numFmtId="0" fontId="56" fillId="6" borderId="35"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0" fontId="56" fillId="6" borderId="7" xfId="0" applyFont="1" applyFill="1" applyBorder="1" applyAlignment="1" applyProtection="1">
      <alignment horizontal="center" vertical="center" wrapText="1"/>
    </xf>
    <xf numFmtId="0" fontId="56" fillId="6" borderId="46" xfId="0" applyFont="1" applyFill="1" applyBorder="1" applyAlignment="1" applyProtection="1">
      <alignment horizontal="center" vertical="center"/>
    </xf>
    <xf numFmtId="0" fontId="56" fillId="6" borderId="22" xfId="0" applyFont="1" applyFill="1" applyBorder="1" applyAlignment="1" applyProtection="1">
      <alignment horizontal="center" vertical="center"/>
    </xf>
    <xf numFmtId="0" fontId="56" fillId="6" borderId="58" xfId="0" applyFont="1" applyFill="1" applyBorder="1" applyAlignment="1" applyProtection="1">
      <alignment horizontal="center" vertical="center"/>
    </xf>
    <xf numFmtId="0" fontId="56" fillId="6" borderId="35" xfId="0" applyFont="1" applyFill="1" applyBorder="1" applyAlignment="1" applyProtection="1">
      <alignment horizontal="center" vertical="center"/>
    </xf>
    <xf numFmtId="0" fontId="56" fillId="6" borderId="4" xfId="0" applyFont="1" applyFill="1" applyBorder="1" applyAlignment="1" applyProtection="1">
      <alignment horizontal="center" vertical="center"/>
    </xf>
    <xf numFmtId="0" fontId="56" fillId="6" borderId="7" xfId="0"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0" fontId="180" fillId="0" borderId="11" xfId="0" applyFont="1" applyFill="1" applyBorder="1" applyAlignment="1" applyProtection="1">
      <alignment horizontal="center" vertical="center" wrapText="1"/>
      <protection locked="0"/>
    </xf>
    <xf numFmtId="0" fontId="180" fillId="0" borderId="61" xfId="0" applyFont="1" applyFill="1" applyBorder="1" applyAlignment="1" applyProtection="1">
      <alignment horizontal="center" vertical="center" wrapText="1"/>
      <protection locked="0"/>
    </xf>
    <xf numFmtId="0" fontId="180" fillId="0" borderId="23" xfId="0" applyFont="1" applyFill="1" applyBorder="1" applyAlignment="1" applyProtection="1">
      <alignment horizontal="center" vertical="center" wrapText="1"/>
      <protection locked="0"/>
    </xf>
    <xf numFmtId="0" fontId="180" fillId="0" borderId="24" xfId="0"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180" fillId="0" borderId="22" xfId="0" applyFont="1" applyFill="1" applyBorder="1" applyAlignment="1" applyProtection="1">
      <alignment horizontal="center" vertical="center" wrapText="1"/>
      <protection locked="0"/>
    </xf>
    <xf numFmtId="0" fontId="180" fillId="0" borderId="46" xfId="0" applyFont="1" applyFill="1" applyBorder="1" applyAlignment="1" applyProtection="1">
      <alignment horizontal="center" vertical="center" wrapText="1"/>
      <protection locked="0"/>
    </xf>
    <xf numFmtId="0" fontId="180" fillId="0" borderId="3" xfId="0" applyFont="1" applyFill="1" applyBorder="1" applyAlignment="1" applyProtection="1">
      <alignment horizontal="center" vertical="center" wrapText="1"/>
      <protection locked="0"/>
    </xf>
    <xf numFmtId="0" fontId="180" fillId="0" borderId="5" xfId="0" applyFont="1" applyFill="1" applyBorder="1" applyAlignment="1" applyProtection="1">
      <alignment horizontal="center" vertical="center" wrapText="1"/>
      <protection locked="0"/>
    </xf>
    <xf numFmtId="0" fontId="56" fillId="6" borderId="38" xfId="0" applyFont="1" applyFill="1" applyBorder="1" applyAlignment="1" applyProtection="1">
      <alignment horizontal="center" vertical="center" wrapText="1"/>
    </xf>
    <xf numFmtId="0" fontId="56" fillId="6" borderId="66" xfId="0" applyFont="1" applyFill="1" applyBorder="1" applyAlignment="1" applyProtection="1">
      <alignment horizontal="center" vertical="center" wrapText="1"/>
    </xf>
    <xf numFmtId="0" fontId="55" fillId="6" borderId="32" xfId="0" applyNumberFormat="1" applyFont="1" applyFill="1" applyBorder="1" applyAlignment="1" applyProtection="1">
      <alignment horizontal="center" vertical="center"/>
    </xf>
    <xf numFmtId="0" fontId="56" fillId="6" borderId="62" xfId="0" applyFont="1" applyFill="1" applyBorder="1" applyAlignment="1" applyProtection="1">
      <alignment horizontal="center" vertical="center"/>
    </xf>
    <xf numFmtId="0" fontId="56" fillId="6" borderId="53" xfId="0" applyFont="1" applyFill="1" applyBorder="1" applyAlignment="1" applyProtection="1">
      <alignment horizontal="center" vertical="center"/>
    </xf>
    <xf numFmtId="0" fontId="56" fillId="6" borderId="8" xfId="0" applyFont="1" applyFill="1" applyBorder="1" applyAlignment="1" applyProtection="1">
      <alignment horizontal="center" vertical="center"/>
    </xf>
    <xf numFmtId="0" fontId="56" fillId="6" borderId="16"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18" xfId="0" applyFont="1" applyFill="1" applyBorder="1" applyAlignment="1" applyProtection="1">
      <alignment horizontal="center" vertical="center" wrapText="1"/>
    </xf>
    <xf numFmtId="0" fontId="56" fillId="6" borderId="69" xfId="0"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xf>
    <xf numFmtId="0" fontId="56" fillId="6" borderId="39" xfId="0" applyFont="1" applyFill="1" applyBorder="1" applyAlignment="1" applyProtection="1">
      <alignment horizontal="center" vertical="center"/>
    </xf>
    <xf numFmtId="0" fontId="56" fillId="6" borderId="9" xfId="0" applyFont="1" applyFill="1" applyBorder="1" applyAlignment="1" applyProtection="1">
      <alignment horizontal="center" vertical="center"/>
    </xf>
    <xf numFmtId="0" fontId="49" fillId="6" borderId="37" xfId="0" applyFont="1" applyFill="1" applyBorder="1" applyAlignment="1" applyProtection="1">
      <alignment horizontal="center" vertical="center"/>
    </xf>
    <xf numFmtId="0" fontId="56" fillId="6" borderId="17" xfId="0" applyFont="1" applyFill="1" applyBorder="1" applyAlignment="1" applyProtection="1">
      <alignment horizontal="center" vertical="center"/>
    </xf>
    <xf numFmtId="0" fontId="56" fillId="6" borderId="13" xfId="0" applyFont="1" applyFill="1" applyBorder="1" applyAlignment="1" applyProtection="1">
      <alignment horizontal="center" vertical="center" textRotation="255" wrapText="1"/>
    </xf>
    <xf numFmtId="186" fontId="56" fillId="6" borderId="1" xfId="0" applyNumberFormat="1" applyFont="1" applyFill="1" applyBorder="1" applyAlignment="1" applyProtection="1">
      <alignment horizontal="center" vertical="center"/>
    </xf>
    <xf numFmtId="186" fontId="55" fillId="6" borderId="1" xfId="0" applyNumberFormat="1" applyFont="1" applyFill="1" applyBorder="1" applyAlignment="1" applyProtection="1">
      <alignment horizontal="center" vertical="center"/>
    </xf>
    <xf numFmtId="0" fontId="56" fillId="6" borderId="9" xfId="0" applyFont="1" applyFill="1" applyBorder="1" applyAlignment="1" applyProtection="1">
      <alignment horizontal="center" vertical="center" wrapText="1"/>
    </xf>
    <xf numFmtId="0" fontId="107" fillId="6" borderId="23" xfId="0" applyFont="1" applyFill="1" applyBorder="1" applyAlignment="1" applyProtection="1">
      <alignment horizontal="center" vertical="center"/>
    </xf>
    <xf numFmtId="0" fontId="56" fillId="0" borderId="11" xfId="0" applyFont="1" applyFill="1" applyBorder="1" applyAlignment="1" applyProtection="1">
      <alignment horizontal="center" vertical="center" wrapText="1"/>
      <protection locked="0"/>
    </xf>
    <xf numFmtId="0" fontId="56" fillId="0" borderId="61" xfId="0" applyFont="1" applyFill="1" applyBorder="1" applyAlignment="1" applyProtection="1">
      <alignment horizontal="center" vertical="center" wrapText="1"/>
      <protection locked="0"/>
    </xf>
    <xf numFmtId="0" fontId="56" fillId="0" borderId="22" xfId="0" applyFont="1" applyFill="1" applyBorder="1" applyAlignment="1" applyProtection="1">
      <alignment horizontal="center" vertical="center" wrapText="1"/>
      <protection locked="0"/>
    </xf>
    <xf numFmtId="0" fontId="56" fillId="0" borderId="46" xfId="0" applyFont="1" applyFill="1" applyBorder="1" applyAlignment="1" applyProtection="1">
      <alignment horizontal="center" vertical="center" wrapText="1"/>
      <protection locked="0"/>
    </xf>
    <xf numFmtId="0" fontId="115" fillId="6" borderId="1" xfId="0" applyFont="1" applyFill="1" applyBorder="1" applyAlignment="1" applyProtection="1">
      <alignment horizontal="center" vertical="center"/>
    </xf>
    <xf numFmtId="0" fontId="154" fillId="12" borderId="132" xfId="9" applyFont="1" applyFill="1" applyBorder="1" applyAlignment="1" applyProtection="1">
      <alignment horizontal="center" vertical="center" wrapText="1"/>
    </xf>
    <xf numFmtId="0" fontId="154" fillId="12" borderId="126" xfId="9" applyFont="1" applyFill="1" applyBorder="1" applyAlignment="1" applyProtection="1">
      <alignment horizontal="center" vertical="center" wrapText="1"/>
    </xf>
    <xf numFmtId="0" fontId="154" fillId="12" borderId="128" xfId="9" applyFont="1" applyFill="1" applyBorder="1" applyAlignment="1" applyProtection="1">
      <alignment horizontal="center" vertical="center" wrapText="1"/>
    </xf>
    <xf numFmtId="0" fontId="147" fillId="0" borderId="0" xfId="9" applyFont="1" applyAlignment="1">
      <alignment horizontal="center" vertical="center"/>
    </xf>
    <xf numFmtId="0" fontId="110" fillId="0" borderId="0" xfId="9" applyFont="1" applyAlignment="1">
      <alignment horizontal="center" vertical="center"/>
    </xf>
    <xf numFmtId="0" fontId="152" fillId="0" borderId="0" xfId="9" applyFont="1" applyAlignment="1">
      <alignment horizontal="center" vertical="center"/>
    </xf>
    <xf numFmtId="0" fontId="154" fillId="12" borderId="123" xfId="9" applyFont="1" applyFill="1" applyBorder="1" applyAlignment="1" applyProtection="1">
      <alignment horizontal="center" vertical="center" wrapText="1"/>
    </xf>
    <xf numFmtId="0" fontId="107" fillId="12" borderId="132" xfId="9" applyFont="1" applyFill="1" applyBorder="1" applyAlignment="1" applyProtection="1">
      <alignment horizontal="center" vertical="center" wrapText="1"/>
    </xf>
    <xf numFmtId="0" fontId="107" fillId="12" borderId="126" xfId="9" applyFont="1" applyFill="1" applyBorder="1" applyAlignment="1" applyProtection="1">
      <alignment horizontal="center" vertical="center" wrapText="1"/>
    </xf>
    <xf numFmtId="0" fontId="107" fillId="12" borderId="128" xfId="9" applyFont="1" applyFill="1" applyBorder="1" applyAlignment="1" applyProtection="1">
      <alignment horizontal="center" vertical="center" wrapText="1"/>
    </xf>
    <xf numFmtId="0" fontId="154" fillId="12" borderId="155" xfId="9" applyFont="1" applyFill="1" applyBorder="1" applyAlignment="1" applyProtection="1">
      <alignment horizontal="center" vertical="center" wrapText="1"/>
    </xf>
    <xf numFmtId="0" fontId="52" fillId="6" borderId="3" xfId="0" applyFont="1" applyFill="1" applyBorder="1" applyAlignment="1" applyProtection="1">
      <alignment horizontal="center" vertical="center"/>
    </xf>
    <xf numFmtId="0" fontId="52" fillId="6" borderId="75" xfId="0" applyFont="1" applyFill="1" applyBorder="1" applyAlignment="1" applyProtection="1">
      <alignment horizontal="center" vertical="center"/>
      <protection locked="0"/>
    </xf>
    <xf numFmtId="0" fontId="52" fillId="6" borderId="47" xfId="0" applyFont="1" applyFill="1" applyBorder="1" applyAlignment="1" applyProtection="1">
      <alignment horizontal="center" vertical="center"/>
      <protection locked="0"/>
    </xf>
    <xf numFmtId="0" fontId="52" fillId="6" borderId="73" xfId="0" applyFont="1" applyFill="1" applyBorder="1" applyAlignment="1" applyProtection="1">
      <alignment horizontal="center" vertical="center"/>
      <protection locked="0"/>
    </xf>
    <xf numFmtId="0" fontId="131" fillId="6" borderId="0" xfId="0" applyFont="1" applyFill="1" applyAlignment="1" applyProtection="1">
      <alignment horizontal="center" vertical="center"/>
    </xf>
    <xf numFmtId="0" fontId="120" fillId="6" borderId="0" xfId="0" applyFont="1" applyFill="1" applyBorder="1" applyAlignment="1" applyProtection="1">
      <alignment horizontal="left" vertical="center"/>
    </xf>
    <xf numFmtId="0" fontId="119" fillId="6" borderId="6" xfId="0" applyFont="1" applyFill="1" applyBorder="1" applyAlignment="1" applyProtection="1">
      <alignment horizontal="center" vertical="center" wrapText="1"/>
    </xf>
    <xf numFmtId="0" fontId="119" fillId="6" borderId="25" xfId="0" applyFont="1" applyFill="1" applyBorder="1" applyAlignment="1" applyProtection="1">
      <alignment horizontal="center" vertical="center" wrapText="1"/>
    </xf>
    <xf numFmtId="0" fontId="261" fillId="19" borderId="1" xfId="19" applyFont="1" applyFill="1" applyBorder="1" applyAlignment="1">
      <alignment horizontal="center" vertical="center" wrapText="1"/>
    </xf>
    <xf numFmtId="0" fontId="262" fillId="19" borderId="2" xfId="19" applyFont="1" applyFill="1" applyBorder="1" applyAlignment="1">
      <alignment horizontal="center" vertical="center" wrapText="1"/>
    </xf>
    <xf numFmtId="0" fontId="262" fillId="19" borderId="1" xfId="19" applyFont="1" applyFill="1" applyBorder="1" applyAlignment="1">
      <alignment horizontal="center" vertical="center" wrapText="1"/>
    </xf>
    <xf numFmtId="0" fontId="262" fillId="19" borderId="1" xfId="19" applyNumberFormat="1" applyFont="1" applyFill="1" applyBorder="1" applyAlignment="1">
      <alignment horizontal="right" vertical="center" wrapText="1"/>
    </xf>
    <xf numFmtId="0" fontId="259" fillId="19" borderId="1" xfId="19" applyFont="1" applyFill="1" applyBorder="1" applyAlignment="1">
      <alignment horizontal="center" vertical="center" wrapText="1"/>
    </xf>
    <xf numFmtId="176" fontId="262" fillId="19" borderId="1" xfId="19" applyNumberFormat="1" applyFont="1" applyFill="1" applyBorder="1" applyAlignment="1">
      <alignment horizontal="center" vertical="center" wrapText="1"/>
    </xf>
    <xf numFmtId="0" fontId="262" fillId="19" borderId="0" xfId="19" applyFont="1" applyFill="1" applyAlignment="1">
      <alignment vertical="center" wrapText="1"/>
    </xf>
    <xf numFmtId="0" fontId="259" fillId="19" borderId="0" xfId="19" applyFont="1" applyFill="1" applyAlignment="1">
      <alignment vertical="center" wrapText="1"/>
    </xf>
    <xf numFmtId="0" fontId="259" fillId="19" borderId="1" xfId="19" applyNumberFormat="1" applyFont="1" applyFill="1" applyBorder="1" applyAlignment="1">
      <alignment horizontal="right" vertical="center" wrapText="1"/>
    </xf>
    <xf numFmtId="0" fontId="261" fillId="20" borderId="1" xfId="19" applyFont="1" applyFill="1" applyBorder="1" applyAlignment="1">
      <alignment horizontal="center" vertical="center" wrapText="1"/>
    </xf>
    <xf numFmtId="0" fontId="262" fillId="20" borderId="1" xfId="19" applyFont="1" applyFill="1" applyBorder="1" applyAlignment="1">
      <alignment horizontal="center" vertical="center" wrapText="1"/>
    </xf>
    <xf numFmtId="0" fontId="259" fillId="20" borderId="1" xfId="19" applyFont="1" applyFill="1" applyBorder="1" applyAlignment="1">
      <alignment horizontal="center" vertical="center" wrapText="1"/>
    </xf>
    <xf numFmtId="0" fontId="259" fillId="20" borderId="1" xfId="19" applyNumberFormat="1" applyFont="1" applyFill="1" applyBorder="1" applyAlignment="1">
      <alignment horizontal="right" vertical="center" wrapText="1"/>
    </xf>
    <xf numFmtId="176" fontId="262" fillId="20" borderId="1" xfId="19" applyNumberFormat="1" applyFont="1" applyFill="1" applyBorder="1" applyAlignment="1">
      <alignment horizontal="center" vertical="center" wrapText="1"/>
    </xf>
    <xf numFmtId="0" fontId="259" fillId="20" borderId="0" xfId="19" applyFont="1" applyFill="1" applyAlignment="1">
      <alignment vertical="center" wrapText="1"/>
    </xf>
    <xf numFmtId="0" fontId="262" fillId="20" borderId="1" xfId="19" applyNumberFormat="1" applyFont="1" applyFill="1" applyBorder="1" applyAlignment="1">
      <alignment horizontal="right" vertical="center" wrapText="1"/>
    </xf>
    <xf numFmtId="176" fontId="259" fillId="20" borderId="1" xfId="17" applyNumberFormat="1" applyFont="1" applyFill="1" applyBorder="1" applyAlignment="1">
      <alignment horizontal="center" vertical="center" wrapText="1"/>
    </xf>
    <xf numFmtId="0" fontId="262" fillId="20" borderId="1" xfId="17" applyFont="1" applyFill="1" applyBorder="1" applyAlignment="1">
      <alignment horizontal="center" vertical="center" wrapText="1"/>
    </xf>
    <xf numFmtId="0" fontId="262" fillId="20" borderId="13" xfId="19" applyNumberFormat="1" applyFont="1" applyFill="1" applyBorder="1" applyAlignment="1">
      <alignment horizontal="center" vertical="center" wrapText="1"/>
    </xf>
    <xf numFmtId="0" fontId="262" fillId="20" borderId="13" xfId="19" applyNumberFormat="1" applyFont="1" applyFill="1" applyBorder="1" applyAlignment="1">
      <alignment horizontal="right" vertical="center" wrapText="1"/>
    </xf>
    <xf numFmtId="0" fontId="262" fillId="20" borderId="1" xfId="17" applyNumberFormat="1" applyFont="1" applyFill="1" applyBorder="1" applyAlignment="1">
      <alignment horizontal="right" vertical="center" wrapText="1"/>
    </xf>
    <xf numFmtId="0" fontId="262" fillId="20" borderId="13" xfId="19" applyFont="1" applyFill="1" applyBorder="1" applyAlignment="1">
      <alignment horizontal="center" vertical="center" wrapText="1"/>
    </xf>
    <xf numFmtId="176" fontId="259" fillId="20" borderId="1" xfId="19" applyNumberFormat="1" applyFont="1" applyFill="1" applyBorder="1" applyAlignment="1">
      <alignment horizontal="center" vertical="center" wrapText="1"/>
    </xf>
    <xf numFmtId="176" fontId="262" fillId="20" borderId="13" xfId="19" applyNumberFormat="1" applyFont="1" applyFill="1" applyBorder="1" applyAlignment="1">
      <alignment horizontal="center" vertical="center" wrapText="1"/>
    </xf>
    <xf numFmtId="0" fontId="185" fillId="20" borderId="1" xfId="19" applyNumberFormat="1" applyFont="1" applyFill="1" applyBorder="1" applyAlignment="1">
      <alignment horizontal="right" vertical="center" wrapText="1"/>
    </xf>
    <xf numFmtId="186" fontId="259" fillId="20" borderId="1" xfId="19" applyNumberFormat="1" applyFont="1" applyFill="1" applyBorder="1" applyAlignment="1">
      <alignment horizontal="center" vertical="center" wrapText="1"/>
    </xf>
    <xf numFmtId="0" fontId="259" fillId="20" borderId="0" xfId="19" applyFont="1" applyFill="1" applyBorder="1" applyAlignment="1">
      <alignment vertical="center" wrapText="1"/>
    </xf>
    <xf numFmtId="186" fontId="262" fillId="20" borderId="1" xfId="19" applyNumberFormat="1" applyFont="1" applyFill="1" applyBorder="1" applyAlignment="1">
      <alignment horizontal="center" vertical="center" wrapText="1"/>
    </xf>
    <xf numFmtId="0" fontId="262" fillId="20" borderId="0" xfId="19" applyFont="1" applyFill="1" applyAlignment="1">
      <alignment vertical="center" wrapText="1"/>
    </xf>
    <xf numFmtId="189" fontId="262" fillId="20" borderId="1" xfId="19" applyNumberFormat="1" applyFont="1" applyFill="1" applyBorder="1" applyAlignment="1">
      <alignment horizontal="center" vertical="center" wrapText="1"/>
    </xf>
    <xf numFmtId="179" fontId="262" fillId="20" borderId="1" xfId="19" applyNumberFormat="1" applyFont="1" applyFill="1" applyBorder="1" applyAlignment="1">
      <alignment horizontal="center" vertical="center" wrapText="1"/>
    </xf>
    <xf numFmtId="0" fontId="262" fillId="20" borderId="2" xfId="19" applyFont="1" applyFill="1" applyBorder="1" applyAlignment="1">
      <alignment horizontal="center" vertical="center" wrapText="1"/>
    </xf>
    <xf numFmtId="0" fontId="263" fillId="20" borderId="0" xfId="19" applyFont="1" applyFill="1" applyAlignment="1">
      <alignment vertical="center" wrapText="1"/>
    </xf>
    <xf numFmtId="208" fontId="259" fillId="20" borderId="0" xfId="19" applyNumberFormat="1" applyFont="1" applyFill="1" applyAlignment="1">
      <alignment vertical="center" wrapText="1"/>
    </xf>
    <xf numFmtId="208" fontId="262" fillId="19" borderId="0" xfId="19" applyNumberFormat="1" applyFont="1" applyFill="1" applyAlignment="1">
      <alignment vertical="center" wrapText="1"/>
    </xf>
  </cellXfs>
  <cellStyles count="20">
    <cellStyle name="百分比 2" xfId="14"/>
    <cellStyle name="常规" xfId="0" builtinId="0"/>
    <cellStyle name="常规 10" xfId="19"/>
    <cellStyle name="常规 16" xfId="10"/>
    <cellStyle name="常规 2" xfId="1"/>
    <cellStyle name="常规 2 2" xfId="8"/>
    <cellStyle name="常规 2 2 2 2 3" xfId="15"/>
    <cellStyle name="常规 2 3" xfId="17"/>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 name="千位分隔 2" xfId="18"/>
  </cellStyles>
  <dxfs count="208">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9616;&#25151;&#65288;&#37070;&#22253;&#183;&#3519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dministrator/&#26700;&#38754;/&#12304;&#27979;&#31639;&#34920;&#12305;2018-1-0376-P01&#183;&#29616;&#25151;&#65288;&#37070;&#22253;&#183;&#35199;&#65289;&#19968;&#23457;-&#23425;&#23567;&#40151;20180529-103435-&#37073;&#29146;20180530-235443-&#23425;&#23567;&#40151;20180531-13043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东"/>
      <sheetName val="西"/>
      <sheetName val="数据-汇总表"/>
      <sheetName val="数据-取费表"/>
      <sheetName val="估价对象房地状况"/>
      <sheetName val="租金表"/>
      <sheetName val="系统读取表"/>
      <sheetName val="结果表"/>
      <sheetName val="成本法"/>
      <sheetName val="成本法 (元)"/>
      <sheetName val="假设开发法"/>
      <sheetName val="基准地价修正"/>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5">
          <cell r="A15" t="str">
            <v>杨红英</v>
          </cell>
        </row>
        <row r="16">
          <cell r="A16" t="str">
            <v>刘梅</v>
          </cell>
        </row>
        <row r="22">
          <cell r="A22" t="str">
            <v>刘敬东</v>
          </cell>
        </row>
        <row r="24">
          <cell r="A24" t="str">
            <v>——</v>
          </cell>
        </row>
      </sheetData>
      <sheetData sheetId="9">
        <row r="1">
          <cell r="A1" t="str">
            <v>用途类型</v>
          </cell>
          <cell r="B1" t="str">
            <v>估价方法</v>
          </cell>
          <cell r="C1" t="str">
            <v>土地级别</v>
          </cell>
          <cell r="D1" t="str">
            <v>判定</v>
          </cell>
          <cell r="F1" t="str">
            <v>主用途</v>
          </cell>
          <cell r="G1" t="str">
            <v>法定最高年限</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cell r="I7" t="str">
            <v>10-20（含）</v>
          </cell>
        </row>
        <row r="8">
          <cell r="A8" t="str">
            <v>叠拼</v>
          </cell>
          <cell r="B8" t="str">
            <v>比较法-住宅</v>
          </cell>
          <cell r="C8" t="str">
            <v>七级</v>
          </cell>
          <cell r="F8" t="str">
            <v>车库—办公</v>
          </cell>
          <cell r="I8" t="str">
            <v>0-10（含）</v>
          </cell>
        </row>
        <row r="9">
          <cell r="A9" t="str">
            <v>联排</v>
          </cell>
          <cell r="B9" t="str">
            <v>比较法-商业</v>
          </cell>
          <cell r="C9" t="str">
            <v>八级</v>
          </cell>
          <cell r="F9" t="str">
            <v>仓储</v>
          </cell>
        </row>
        <row r="10">
          <cell r="A10" t="str">
            <v>双拼</v>
          </cell>
          <cell r="B10" t="str">
            <v>比较法-办公</v>
          </cell>
          <cell r="C10" t="str">
            <v>九级</v>
          </cell>
          <cell r="F10" t="str">
            <v>——</v>
          </cell>
        </row>
        <row r="11">
          <cell r="A11" t="str">
            <v>独栋</v>
          </cell>
          <cell r="B11" t="str">
            <v>比较法-工业</v>
          </cell>
          <cell r="C11" t="str">
            <v>十级</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v>
          </cell>
        </row>
        <row r="18">
          <cell r="A18" t="str">
            <v>办公楼</v>
          </cell>
          <cell r="B18" t="str">
            <v>*</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sheetData sheetId="11"/>
      <sheetData sheetId="12"/>
      <sheetData sheetId="13"/>
      <sheetData sheetId="14"/>
      <sheetData sheetId="15">
        <row r="17">
          <cell r="C17" t="str">
            <v>项目类型</v>
          </cell>
        </row>
        <row r="19">
          <cell r="C19" t="str">
            <v>工业</v>
          </cell>
        </row>
      </sheetData>
      <sheetData sheetId="16">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7"/>
      <sheetData sheetId="18"/>
      <sheetData sheetId="19">
        <row r="14">
          <cell r="B14">
            <v>2864.5</v>
          </cell>
          <cell r="C14">
            <v>4638.1000000000004</v>
          </cell>
          <cell r="D14">
            <v>11465</v>
          </cell>
          <cell r="G14">
            <v>11465</v>
          </cell>
        </row>
      </sheetData>
      <sheetData sheetId="20"/>
      <sheetData sheetId="21"/>
      <sheetData sheetId="22"/>
      <sheetData sheetId="23"/>
      <sheetData sheetId="24"/>
      <sheetData sheetId="25"/>
      <sheetData sheetId="26"/>
      <sheetData sheetId="27"/>
      <sheetData sheetId="28"/>
      <sheetData sheetId="29">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30">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31">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2">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3">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34">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5">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36">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7">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8"/>
      <sheetData sheetId="39"/>
      <sheetData sheetId="40"/>
      <sheetData sheetId="41">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42"/>
      <sheetData sheetId="43"/>
      <sheetData sheetId="44"/>
      <sheetData sheetId="45"/>
      <sheetData sheetId="4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西"/>
      <sheetName val="数据-汇总表"/>
      <sheetName val="数据-取费表"/>
      <sheetName val="租约"/>
      <sheetName val="估价对象房地状况"/>
      <sheetName val="系统读取表"/>
      <sheetName val="结果表"/>
      <sheetName val="成本法"/>
      <sheetName val="成本法 (元)"/>
      <sheetName val="假设开发法"/>
      <sheetName val="基准地价修正"/>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2">
          <cell r="A12" t="str">
            <v>白景生</v>
          </cell>
        </row>
        <row r="13">
          <cell r="A13" t="str">
            <v>郑燚</v>
          </cell>
        </row>
        <row r="14">
          <cell r="A14" t="str">
            <v>马琳琳</v>
          </cell>
        </row>
        <row r="15">
          <cell r="A15" t="str">
            <v>杨红英</v>
          </cell>
        </row>
        <row r="16">
          <cell r="A16" t="str">
            <v>刘梅</v>
          </cell>
        </row>
        <row r="22">
          <cell r="A22" t="str">
            <v>刘敬东</v>
          </cell>
        </row>
        <row r="23">
          <cell r="A23" t="str">
            <v>王萌</v>
          </cell>
        </row>
        <row r="24">
          <cell r="A24" t="str">
            <v>——</v>
          </cell>
        </row>
      </sheetData>
      <sheetData sheetId="9">
        <row r="1">
          <cell r="A1" t="str">
            <v>用途类型</v>
          </cell>
          <cell r="B1" t="str">
            <v>估价方法</v>
          </cell>
          <cell r="C1" t="str">
            <v>土地级别</v>
          </cell>
          <cell r="D1" t="str">
            <v>判定</v>
          </cell>
          <cell r="F1" t="str">
            <v>主用途</v>
          </cell>
          <cell r="G1" t="str">
            <v>法定最高年限</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cell r="I7" t="str">
            <v>10-20（含）</v>
          </cell>
        </row>
        <row r="8">
          <cell r="A8" t="str">
            <v>叠拼</v>
          </cell>
          <cell r="B8" t="str">
            <v>比较法-住宅</v>
          </cell>
          <cell r="C8" t="str">
            <v>七级</v>
          </cell>
          <cell r="F8" t="str">
            <v>车库—办公</v>
          </cell>
          <cell r="I8" t="str">
            <v>0-10（含）</v>
          </cell>
        </row>
        <row r="9">
          <cell r="A9" t="str">
            <v>联排</v>
          </cell>
          <cell r="B9" t="str">
            <v>比较法-商业</v>
          </cell>
          <cell r="C9" t="str">
            <v>八级</v>
          </cell>
          <cell r="F9" t="str">
            <v>仓储</v>
          </cell>
        </row>
        <row r="10">
          <cell r="A10" t="str">
            <v>双拼</v>
          </cell>
          <cell r="B10" t="str">
            <v>比较法-办公</v>
          </cell>
          <cell r="C10" t="str">
            <v>九级</v>
          </cell>
          <cell r="F10" t="str">
            <v>——</v>
          </cell>
        </row>
        <row r="11">
          <cell r="A11" t="str">
            <v>独栋</v>
          </cell>
          <cell r="B11" t="str">
            <v>比较法-工业</v>
          </cell>
          <cell r="C11" t="str">
            <v>十级</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v>
          </cell>
        </row>
        <row r="18">
          <cell r="A18" t="str">
            <v>办公楼</v>
          </cell>
          <cell r="B18" t="str">
            <v>*</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efreshError="1"/>
      <sheetData sheetId="14">
        <row r="17">
          <cell r="C17" t="str">
            <v>项目类型</v>
          </cell>
        </row>
        <row r="19">
          <cell r="C19" t="str">
            <v>办公</v>
          </cell>
        </row>
      </sheetData>
      <sheetData sheetId="15">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9">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30">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1">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2">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33">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4">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35">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6">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7" refreshError="1"/>
      <sheetData sheetId="38" refreshError="1"/>
      <sheetData sheetId="39" refreshError="1"/>
      <sheetData sheetId="40">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41" refreshError="1"/>
      <sheetData sheetId="42" refreshError="1"/>
      <sheetData sheetId="43" refreshError="1"/>
      <sheetData sheetId="44" refreshError="1"/>
      <sheetData sheetId="4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1215</v>
      </c>
      <c r="B1" s="1585" t="s">
        <v>1294</v>
      </c>
    </row>
    <row r="2" spans="1:2" s="1590" customFormat="1" ht="15" thickTop="1">
      <c r="A2" s="1588" t="s">
        <v>1216</v>
      </c>
      <c r="B2" s="1589" t="str">
        <f>'预评函-封皮'!B37:I37</f>
        <v>北京市朝阳区建国门外郎家园6号“郎园Vintage”项目房地产抵押价值预评估</v>
      </c>
    </row>
    <row r="3" spans="1:2" s="1593" customFormat="1">
      <c r="A3" s="1591" t="s">
        <v>1217</v>
      </c>
      <c r="B3" s="1592" t="str">
        <f>'预评函-封皮'!B40</f>
        <v>北京农商银行股份有限公司东城支行</v>
      </c>
    </row>
    <row r="4" spans="1:2" s="1593" customFormat="1">
      <c r="A4" s="1591" t="s">
        <v>1218</v>
      </c>
      <c r="B4" s="1592" t="str">
        <f ca="1">'预评函-封皮'!B46</f>
        <v>郑燚（注册号：1120070131)、王鹏（注册号：1120050019)</v>
      </c>
    </row>
    <row r="5" spans="1:2" s="1587" customFormat="1" ht="15" thickBot="1">
      <c r="A5" s="1594" t="s">
        <v>1219</v>
      </c>
      <c r="B5" s="1595" t="str">
        <f>'预评函-封皮'!B49</f>
        <v>康正预评字号</v>
      </c>
    </row>
    <row r="6" spans="1:2" s="1590" customFormat="1" ht="15" thickTop="1">
      <c r="A6" s="1588" t="s">
        <v>1220</v>
      </c>
      <c r="B6" s="1589" t="str">
        <f>'预评函-1'!A4</f>
        <v>受贵公司委托，我公司对北京市朝阳区建国门外郎家园6号“郎园Vintage”项目房地产抵押价值进行了预评估。</v>
      </c>
    </row>
    <row r="7" spans="1:2" s="1593" customFormat="1">
      <c r="A7" s="1591" t="s">
        <v>1260</v>
      </c>
      <c r="B7" s="1592" t="str">
        <f>'预评函-1'!A7</f>
        <v>估价对象为北京市朝阳区建国门外郎家园6号“郎园Vintage”项目房地产，为北京尚博地投资顾问有限公司所有。根据《国有土地使用证》[]，估价对象（分摊）出让国有建设用地使用权面积为18455.76平方米。根据《房屋所有权证》[]、《测绘报告》[]，估价对象建筑面积为27202.3平方米。</v>
      </c>
    </row>
    <row r="8" spans="1:2" s="1593" customFormat="1">
      <c r="A8" s="1591" t="s">
        <v>1261</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1262</v>
      </c>
      <c r="B9" s="1592" t="str">
        <f>'预评函-1'!A10</f>
        <v>估价对象为北京市朝阳区建国门外郎家园6号“郎园Vintage”项目房地产,为北京尚博地投资顾问有限公司开发建设的综合项目（商业、办公），该项目尚在开发建设中。根据《国有土地使用证》[]，估价对象（分摊）出让国有建设用地使用权面积为18455.76平方米。根据《房屋所有权证》[]、《测绘报告》[]，估价对象规划建筑面积为27202.3平方米。</v>
      </c>
    </row>
    <row r="10" spans="1:2" s="1593" customFormat="1">
      <c r="A10" s="1591" t="s">
        <v>1263</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1221</v>
      </c>
      <c r="B11" s="1592" t="str">
        <f>'预评函-1'!A13</f>
        <v>北京尚博地投资顾问有限公司拟使用北京市朝阳区建国门外郎家园6号“郎园Vintage”项目房地产作为抵押担保物，向北京农商银行股份有限公司东城支行办理贷款手续。北京农商银行股份有限公司东城支行特委托北京康正宏基房地产评估有限公司对上述抵押物进行评估。本次评估为确定房地产抵押贷款额度提供参考依据而评估房地产抵押价值。</v>
      </c>
    </row>
    <row r="12" spans="1:2" s="1593" customFormat="1">
      <c r="A12" s="1591" t="s">
        <v>1222</v>
      </c>
      <c r="B12" s="1592" t="str">
        <f>'预评函-1'!A15</f>
        <v>2019年5月7日（评估专业人员实地查勘之日）</v>
      </c>
    </row>
    <row r="13" spans="1:2" s="1593" customFormat="1">
      <c r="A13" s="1591" t="s">
        <v>1223</v>
      </c>
      <c r="B13" s="1592" t="str">
        <f>'预评函-1'!A18</f>
        <v>本次估价的“房地产价值”是指在正常市场情况下，在价值时点2019年5月7日，估价对象规划用途为，土地取得方式为出让，出让国有建设用地使用权剩余土地使用年限为，假定未设立法定优先受偿款下的房地产市场价值。</v>
      </c>
    </row>
    <row r="14" spans="1:2" s="1593" customFormat="1">
      <c r="A14" s="1591" t="s">
        <v>1224</v>
      </c>
      <c r="B14" s="1592" t="str">
        <f>'预评函-1'!A19</f>
        <v>其中，“出让国有建设用地使用权价值”是指估价对象用途为，实际开发程度为宗地红线外“七通”（即通路、通电、通讯、通上水、通下水、燃气、通热）、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593" customFormat="1">
      <c r="A15" s="1591" t="s">
        <v>1225</v>
      </c>
      <c r="B15" s="1592" t="str">
        <f>'预评函-1'!A20</f>
        <v>本次估价的“房地产抵押价值”是指估价对象在价值时点的“房地产价值”扣减估价师于价值时点所知悉的法定优先受偿款后的余额。</v>
      </c>
    </row>
    <row r="16" spans="1:2" s="1593" customFormat="1">
      <c r="A16" s="1591" t="s">
        <v>1226</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1227</v>
      </c>
      <c r="B17" s="1592" t="str">
        <f>'预评函-1'!A22</f>
        <v/>
      </c>
    </row>
    <row r="18" spans="1:2" s="1587" customFormat="1" ht="15" thickBot="1">
      <c r="A18" s="1594" t="s">
        <v>1228</v>
      </c>
      <c r="B18" s="1595" t="str">
        <f>'预评函-1'!A24</f>
        <v>本次评估采用的主估价方法为成本法和收益法。</v>
      </c>
    </row>
    <row r="19" spans="1:2" s="1590" customFormat="1" ht="15" thickTop="1">
      <c r="A19" s="1588" t="s">
        <v>1229</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1230</v>
      </c>
      <c r="B20" s="1592">
        <f ca="1">'预评函-2'!D5</f>
        <v>73513</v>
      </c>
    </row>
    <row r="21" spans="1:2" s="1593" customFormat="1">
      <c r="A21" s="1591" t="s">
        <v>1231</v>
      </c>
      <c r="B21" s="1592">
        <f ca="1">'预评函-2'!D7</f>
        <v>27025</v>
      </c>
    </row>
    <row r="22" spans="1:2" s="1593" customFormat="1">
      <c r="A22" s="1591" t="s">
        <v>1232</v>
      </c>
      <c r="B22" s="1592" t="str">
        <f ca="1">'预评函-2'!D6</f>
        <v>柒亿叁仟伍佰壹拾叁万元整</v>
      </c>
    </row>
    <row r="23" spans="1:2" s="1593" customFormat="1">
      <c r="A23" s="1591" t="s">
        <v>1283</v>
      </c>
      <c r="B23" s="1592" t="str">
        <f>'预评函-2'!B8</f>
        <v>2.估价师知悉的法定优先受偿款</v>
      </c>
    </row>
    <row r="24" spans="1:2" s="1593" customFormat="1">
      <c r="A24" s="1591" t="s">
        <v>1289</v>
      </c>
      <c r="B24" s="1592">
        <f>'预评函-2'!D8</f>
        <v>0</v>
      </c>
    </row>
    <row r="25" spans="1:2" s="1593" customFormat="1">
      <c r="A25" s="1591" t="s">
        <v>1233</v>
      </c>
      <c r="B25" s="1592" t="str">
        <f>'预评函-2'!D9</f>
        <v>零元整</v>
      </c>
    </row>
    <row r="26" spans="1:2" s="1593" customFormat="1">
      <c r="A26" s="1591" t="s">
        <v>1234</v>
      </c>
      <c r="B26" s="1592">
        <f>'预评函-2'!D10</f>
        <v>0</v>
      </c>
    </row>
    <row r="27" spans="1:2" s="1593" customFormat="1">
      <c r="A27" s="1591" t="s">
        <v>1235</v>
      </c>
      <c r="B27" s="1592">
        <f>'预评函-2'!D11</f>
        <v>0</v>
      </c>
    </row>
    <row r="28" spans="1:2" s="1593" customFormat="1">
      <c r="A28" s="1591" t="s">
        <v>1236</v>
      </c>
      <c r="B28" s="1592">
        <f>'预评函-2'!D12</f>
        <v>0</v>
      </c>
    </row>
    <row r="29" spans="1:2" s="1593" customFormat="1">
      <c r="A29" s="1591" t="s">
        <v>1287</v>
      </c>
      <c r="B29" s="1592" t="str">
        <f>'预评函-2'!B13</f>
        <v>3.房地产抵押价值</v>
      </c>
    </row>
    <row r="30" spans="1:2" s="1593" customFormat="1">
      <c r="A30" s="1591" t="s">
        <v>1288</v>
      </c>
      <c r="B30" s="1592">
        <f ca="1">'预评函-2'!D13</f>
        <v>73513</v>
      </c>
    </row>
    <row r="31" spans="1:2" s="1593" customFormat="1">
      <c r="A31" s="1591" t="s">
        <v>1270</v>
      </c>
      <c r="B31" s="1592">
        <f ca="1">'预评函-2'!D15</f>
        <v>27025</v>
      </c>
    </row>
    <row r="32" spans="1:2" s="1593" customFormat="1">
      <c r="A32" s="1591" t="s">
        <v>1237</v>
      </c>
      <c r="B32" s="1592" t="str">
        <f ca="1">'预评函-2'!D14</f>
        <v>柒亿叁仟伍佰壹拾叁万元整</v>
      </c>
    </row>
    <row r="33" spans="1:2" s="1593" customFormat="1">
      <c r="A33" s="1591" t="s">
        <v>1272</v>
      </c>
      <c r="B33" s="1592" t="str">
        <f>'预评函-2'!B16</f>
        <v>——</v>
      </c>
    </row>
    <row r="34" spans="1:2" s="1593" customFormat="1">
      <c r="A34" s="1591" t="s">
        <v>1290</v>
      </c>
      <c r="B34" s="1592" t="str">
        <f>'预评函-2'!D16</f>
        <v>——</v>
      </c>
    </row>
    <row r="35" spans="1:2" s="1593" customFormat="1">
      <c r="A35" s="1591" t="s">
        <v>1271</v>
      </c>
      <c r="B35" s="1592" t="str">
        <f>'预评函-2'!D18</f>
        <v>——</v>
      </c>
    </row>
    <row r="36" spans="1:2" s="1593" customFormat="1">
      <c r="A36" s="1591" t="s">
        <v>1238</v>
      </c>
      <c r="B36" s="1592" t="e">
        <f>'预评函-2'!D17</f>
        <v>#VALUE!</v>
      </c>
    </row>
    <row r="37" spans="1:2" s="1593" customFormat="1">
      <c r="A37" s="1591" t="s">
        <v>1273</v>
      </c>
      <c r="B37" s="1592" t="str">
        <f>'预评函-2'!B19</f>
        <v>——</v>
      </c>
    </row>
    <row r="38" spans="1:2" s="1593" customFormat="1">
      <c r="A38" s="1591" t="s">
        <v>1291</v>
      </c>
      <c r="B38" s="1592" t="str">
        <f>'预评函-2'!D19</f>
        <v>——</v>
      </c>
    </row>
    <row r="39" spans="1:2" s="1593" customFormat="1">
      <c r="A39" s="1591" t="s">
        <v>1239</v>
      </c>
      <c r="B39" s="1592" t="str">
        <f>'预评函-2'!D21</f>
        <v>——</v>
      </c>
    </row>
    <row r="40" spans="1:2" s="1593" customFormat="1">
      <c r="A40" s="1591" t="s">
        <v>1240</v>
      </c>
      <c r="B40" s="1592" t="e">
        <f>'预评函-2'!D20</f>
        <v>#VALUE!</v>
      </c>
    </row>
    <row r="41" spans="1:2" s="1593" customFormat="1">
      <c r="A41" s="1591" t="s">
        <v>1286</v>
      </c>
      <c r="B41" s="1592" t="str">
        <f>'预评函-3'!A4</f>
        <v>北京市朝阳区建国门外郎家园6号“郎园Vintage”项目房地产</v>
      </c>
    </row>
    <row r="42" spans="1:2" s="1593" customFormat="1">
      <c r="A42" s="1591" t="s">
        <v>1284</v>
      </c>
      <c r="B42" s="1592" t="str">
        <f>'预评函-3'!B2</f>
        <v>建筑面积</v>
      </c>
    </row>
    <row r="43" spans="1:2" s="1593" customFormat="1">
      <c r="A43" s="1591" t="s">
        <v>1285</v>
      </c>
      <c r="B43" s="1592">
        <f>'预评函-3'!B4</f>
        <v>27202.3</v>
      </c>
    </row>
    <row r="44" spans="1:2" s="1593" customFormat="1">
      <c r="A44" s="1591" t="s">
        <v>1269</v>
      </c>
      <c r="B44" s="1592" t="str">
        <f>'预评函-3'!C2</f>
        <v>(分摊)土地面积</v>
      </c>
    </row>
    <row r="45" spans="1:2" s="1593" customFormat="1">
      <c r="A45" s="1591" t="s">
        <v>1241</v>
      </c>
      <c r="B45" s="1592">
        <f>'预评函-3'!C4</f>
        <v>18455.759999999998</v>
      </c>
    </row>
    <row r="46" spans="1:2" s="1593" customFormat="1">
      <c r="A46" s="1591" t="s">
        <v>1267</v>
      </c>
      <c r="B46" s="1592" t="str">
        <f>'预评函-3'!D2</f>
        <v>出让国有建设用地使用权价值</v>
      </c>
    </row>
    <row r="47" spans="1:2" s="1593" customFormat="1">
      <c r="A47" s="1591" t="s">
        <v>1242</v>
      </c>
      <c r="B47" s="1592">
        <f ca="1">'预评函-3'!D4</f>
        <v>58810</v>
      </c>
    </row>
    <row r="48" spans="1:2" s="1593" customFormat="1">
      <c r="A48" s="1591" t="s">
        <v>1243</v>
      </c>
      <c r="B48" s="1592">
        <f ca="1">'预评函-3'!E4</f>
        <v>21620</v>
      </c>
    </row>
    <row r="49" spans="1:2" s="1593" customFormat="1">
      <c r="A49" s="1591" t="s">
        <v>1244</v>
      </c>
      <c r="B49" s="1592" t="str">
        <f ca="1">'预评函-3'!D5</f>
        <v>伍亿捌仟捌佰壹拾万元整</v>
      </c>
    </row>
    <row r="50" spans="1:2" s="1593" customFormat="1">
      <c r="A50" s="1591" t="s">
        <v>1268</v>
      </c>
      <c r="B50" s="1592" t="str">
        <f>'预评函-3'!F2</f>
        <v>建筑物价值</v>
      </c>
    </row>
    <row r="51" spans="1:2" s="1593" customFormat="1">
      <c r="A51" s="1591" t="s">
        <v>1245</v>
      </c>
      <c r="B51" s="1592">
        <f ca="1">'预评函-3'!F4</f>
        <v>14703</v>
      </c>
    </row>
    <row r="52" spans="1:2" s="1593" customFormat="1">
      <c r="A52" s="1591" t="s">
        <v>1246</v>
      </c>
      <c r="B52" s="1592">
        <f ca="1">'预评函-3'!G4</f>
        <v>5405</v>
      </c>
    </row>
    <row r="53" spans="1:2" s="1593" customFormat="1">
      <c r="A53" s="1591" t="s">
        <v>1274</v>
      </c>
      <c r="B53" s="1592" t="str">
        <f ca="1">'预评函-3'!F5</f>
        <v>壹亿肆仟柒佰零叁万元整</v>
      </c>
    </row>
    <row r="54" spans="1:2" s="1593" customFormat="1">
      <c r="A54" s="1591" t="s">
        <v>1292</v>
      </c>
      <c r="B54" s="1592" t="str">
        <f>'预评函-3'!A8</f>
        <v>房地产抵押价值</v>
      </c>
    </row>
    <row r="55" spans="1:2" s="1593" customFormat="1">
      <c r="A55" s="1591" t="s">
        <v>1275</v>
      </c>
      <c r="B55" s="1592" t="str">
        <f>'预评函-3'!A10</f>
        <v/>
      </c>
    </row>
    <row r="56" spans="1:2" s="1593" customFormat="1">
      <c r="A56" s="1591" t="s">
        <v>1276</v>
      </c>
      <c r="B56" s="1592" t="str">
        <f>'预评函-3'!A12</f>
        <v/>
      </c>
    </row>
    <row r="57" spans="1:2" s="1587" customFormat="1" ht="15" thickBot="1">
      <c r="A57" s="1594" t="s">
        <v>1293</v>
      </c>
      <c r="B57" s="1595" t="str">
        <f>'预评函-3'!A6</f>
        <v>估价师知悉的法定优先受偿款</v>
      </c>
    </row>
    <row r="58" spans="1:2" s="1590" customFormat="1" ht="15" thickTop="1">
      <c r="A58" s="1588" t="s">
        <v>1247</v>
      </c>
      <c r="B58" s="1589" t="str">
        <f>'预评函-4'!A12</f>
        <v>2.本《评估意见函》仅供金融机构进行内部审核使用，不做其他目的之用。</v>
      </c>
    </row>
    <row r="59" spans="1:2" s="1593" customFormat="1">
      <c r="A59" s="1591" t="s">
        <v>1248</v>
      </c>
      <c r="B59" s="1592" t="str">
        <f>'预评函-4'!A13</f>
        <v>3.抵押双方在办理抵押登记手续时，应使用本公司出具的正式《房地产评估报告》，特提醒报告使用者注意。</v>
      </c>
    </row>
    <row r="60" spans="1:2" s="1593" customFormat="1">
      <c r="A60" s="1591" t="s">
        <v>1249</v>
      </c>
      <c r="B60" s="1592" t="str">
        <f>'预评函-4'!A14</f>
        <v>4.本次评估估价师所知悉的法定优先受偿款情况说明如下：</v>
      </c>
    </row>
    <row r="61" spans="1:2" s="1593" customFormat="1">
      <c r="A61" s="1591" t="s">
        <v>1250</v>
      </c>
      <c r="B61" s="159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3" customFormat="1">
      <c r="A62" s="1591" t="s">
        <v>1251</v>
      </c>
      <c r="B62" s="1592" t="str">
        <f>'预评函-4'!A16</f>
        <v>（2）根据《工程款支付情况说明》，截至价值时点，估价对象不存在应付未付工程款项。（只要没有施工方盖章的，均“设定”进行表述）</v>
      </c>
    </row>
    <row r="63" spans="1:2" s="1593" customFormat="1">
      <c r="A63" s="1591" t="s">
        <v>1252</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1264</v>
      </c>
      <c r="B64" s="1592" t="str">
        <f>'预评函-4'!A18</f>
        <v>故，本次评估不存在估价师知悉的法定优先受偿款</v>
      </c>
    </row>
    <row r="65" spans="1:2" s="1593" customFormat="1">
      <c r="A65" s="1591" t="s">
        <v>1253</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1254</v>
      </c>
      <c r="B66" s="1592" t="str">
        <f>'预评函-4'!A20</f>
        <v>——</v>
      </c>
    </row>
    <row r="67" spans="1:2" s="1593" customFormat="1">
      <c r="A67" s="1591" t="s">
        <v>1265</v>
      </c>
      <c r="B67" s="1592" t="str">
        <f>'预评函-4'!A21</f>
        <v>——</v>
      </c>
    </row>
    <row r="68" spans="1:2" s="1593" customFormat="1">
      <c r="A68" s="1591" t="s">
        <v>1266</v>
      </c>
      <c r="B68" s="1592" t="str">
        <f>'预评函-4'!A22</f>
        <v>8.其他需特殊说明事项：无（注意调整序号）</v>
      </c>
    </row>
    <row r="69" spans="1:2" s="1587" customFormat="1" ht="15" thickBot="1">
      <c r="A69" s="1594" t="s">
        <v>1255</v>
      </c>
      <c r="B69" s="1596">
        <f>'预评函-4'!C31</f>
        <v>42551</v>
      </c>
    </row>
    <row r="70" spans="1:2" ht="15" thickTop="1">
      <c r="A70" s="1597" t="s">
        <v>1256</v>
      </c>
      <c r="B70" s="1598" t="str">
        <f>'预评函-4'!A4</f>
        <v>郑燚</v>
      </c>
    </row>
    <row r="71" spans="1:2">
      <c r="A71" s="1591" t="s">
        <v>1257</v>
      </c>
      <c r="B71" s="1592">
        <f ca="1">'预评函-4'!B4</f>
        <v>1120070131</v>
      </c>
    </row>
    <row r="72" spans="1:2">
      <c r="A72" s="1591" t="s">
        <v>1258</v>
      </c>
      <c r="B72" s="1600" t="str">
        <f>'预评函-4'!A5</f>
        <v>王鹏</v>
      </c>
    </row>
    <row r="73" spans="1:2" s="1587" customFormat="1" ht="15" thickBot="1">
      <c r="A73" s="1594" t="s">
        <v>1259</v>
      </c>
      <c r="B73" s="1595">
        <f ca="1">'预评函-4'!B5</f>
        <v>1120050019</v>
      </c>
    </row>
    <row r="74" spans="1:2" ht="15" thickTop="1">
      <c r="A74" s="1584" t="s">
        <v>1295</v>
      </c>
      <c r="B74" s="1601" t="str">
        <f>'预评函-4'!A8</f>
        <v>XX</v>
      </c>
    </row>
  </sheetData>
  <sheetProtection sheet="1" objects="1" scenarios="1"/>
  <phoneticPr fontId="14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24" customWidth="1"/>
    <col min="2" max="2" width="23.25" style="1975" customWidth="1"/>
    <col min="3" max="3" width="13" style="2019" customWidth="1"/>
    <col min="4" max="4" width="5.75" style="2016" customWidth="1"/>
    <col min="5" max="5" width="7.125" style="2016" customWidth="1"/>
    <col min="6" max="6" width="10.625" style="2016" customWidth="1"/>
    <col min="7" max="7" width="7.5" style="2016" customWidth="1"/>
    <col min="8" max="8" width="9" style="2019" customWidth="1"/>
    <col min="9" max="9" width="11.625" style="2019" customWidth="1"/>
    <col min="10" max="10" width="9" style="2019" customWidth="1"/>
    <col min="11" max="19" width="9" style="2016" customWidth="1"/>
    <col min="20" max="23" width="9" style="2019" customWidth="1"/>
    <col min="24" max="24" width="21.125" style="1975" customWidth="1"/>
    <col min="25" max="16384" width="9" style="1975"/>
  </cols>
  <sheetData>
    <row r="1" spans="1:23" s="2013" customFormat="1" ht="27">
      <c r="A1" s="2007" t="s">
        <v>71</v>
      </c>
      <c r="B1" s="2008" t="s">
        <v>1685</v>
      </c>
      <c r="C1" s="2009" t="s">
        <v>759</v>
      </c>
      <c r="D1" s="2010" t="s">
        <v>1686</v>
      </c>
      <c r="E1" s="2010" t="s">
        <v>1687</v>
      </c>
      <c r="F1" s="2010" t="s">
        <v>1688</v>
      </c>
      <c r="G1" s="2010" t="s">
        <v>1689</v>
      </c>
      <c r="H1" s="2010" t="s">
        <v>1690</v>
      </c>
      <c r="I1" s="2010" t="s">
        <v>1691</v>
      </c>
      <c r="J1" s="2010" t="s">
        <v>1692</v>
      </c>
      <c r="K1" s="2010" t="s">
        <v>1693</v>
      </c>
      <c r="L1" s="2010" t="s">
        <v>1694</v>
      </c>
      <c r="M1" s="2010" t="s">
        <v>1695</v>
      </c>
      <c r="N1" s="2010" t="s">
        <v>1696</v>
      </c>
      <c r="O1" s="2010" t="s">
        <v>1697</v>
      </c>
      <c r="P1" s="2011" t="s">
        <v>753</v>
      </c>
      <c r="Q1" s="2011" t="s">
        <v>1141</v>
      </c>
      <c r="R1" s="2010" t="s">
        <v>1135</v>
      </c>
      <c r="S1" s="2010" t="s">
        <v>1698</v>
      </c>
      <c r="T1" s="2012" t="s">
        <v>1699</v>
      </c>
      <c r="U1" s="2010" t="s">
        <v>1700</v>
      </c>
      <c r="V1" s="2010" t="s">
        <v>1701</v>
      </c>
      <c r="W1" s="2010" t="s">
        <v>755</v>
      </c>
    </row>
    <row r="2" spans="1:23">
      <c r="A2" s="2014" t="s">
        <v>22</v>
      </c>
      <c r="B2" s="2014" t="s">
        <v>1702</v>
      </c>
      <c r="C2" s="2015" t="s">
        <v>760</v>
      </c>
      <c r="D2" s="2016" t="s">
        <v>1703</v>
      </c>
      <c r="E2" s="2016" t="s">
        <v>1704</v>
      </c>
      <c r="F2" s="2016" t="s">
        <v>1705</v>
      </c>
      <c r="G2" s="2016">
        <v>40</v>
      </c>
      <c r="H2" s="2016" t="s">
        <v>1705</v>
      </c>
      <c r="I2" s="2016" t="s">
        <v>1706</v>
      </c>
      <c r="J2" s="2016" t="s">
        <v>1707</v>
      </c>
      <c r="K2" s="2016" t="s">
        <v>1708</v>
      </c>
      <c r="L2" s="2016" t="s">
        <v>1708</v>
      </c>
      <c r="M2" s="2016" t="s">
        <v>1708</v>
      </c>
      <c r="N2" s="2016" t="s">
        <v>1708</v>
      </c>
      <c r="O2" s="2016" t="s">
        <v>1708</v>
      </c>
      <c r="P2" s="2016" t="s">
        <v>1708</v>
      </c>
      <c r="Q2" s="2016" t="s">
        <v>1708</v>
      </c>
      <c r="R2" s="2016" t="s">
        <v>1137</v>
      </c>
      <c r="S2" s="2016" t="s">
        <v>1708</v>
      </c>
      <c r="T2" s="2016" t="s">
        <v>1709</v>
      </c>
      <c r="U2" s="2016" t="s">
        <v>1708</v>
      </c>
      <c r="V2" s="2016" t="s">
        <v>1710</v>
      </c>
      <c r="W2" s="2016" t="s">
        <v>1708</v>
      </c>
    </row>
    <row r="3" spans="1:23">
      <c r="A3" s="2014" t="s">
        <v>1711</v>
      </c>
      <c r="B3" s="2017" t="s">
        <v>1142</v>
      </c>
      <c r="C3" s="2018" t="s">
        <v>761</v>
      </c>
      <c r="D3" s="2016" t="s">
        <v>1712</v>
      </c>
      <c r="E3" s="2016" t="s">
        <v>16</v>
      </c>
      <c r="F3" s="2016" t="s">
        <v>1713</v>
      </c>
      <c r="G3" s="2016">
        <v>50</v>
      </c>
      <c r="H3" s="2016" t="s">
        <v>1713</v>
      </c>
      <c r="I3" s="2016" t="s">
        <v>1714</v>
      </c>
      <c r="J3" s="2016" t="s">
        <v>1715</v>
      </c>
      <c r="K3" s="2016" t="s">
        <v>1716</v>
      </c>
      <c r="L3" s="2016" t="s">
        <v>1716</v>
      </c>
      <c r="M3" s="2016" t="s">
        <v>1716</v>
      </c>
      <c r="N3" s="2016" t="s">
        <v>1716</v>
      </c>
      <c r="O3" s="2016" t="s">
        <v>1716</v>
      </c>
      <c r="P3" s="2016" t="s">
        <v>1716</v>
      </c>
      <c r="Q3" s="2016" t="s">
        <v>1716</v>
      </c>
      <c r="R3" s="2016" t="s">
        <v>1136</v>
      </c>
      <c r="S3" s="2016" t="s">
        <v>1716</v>
      </c>
      <c r="T3" s="2016" t="s">
        <v>1717</v>
      </c>
      <c r="U3" s="2016" t="s">
        <v>1716</v>
      </c>
      <c r="V3" s="2016" t="s">
        <v>1718</v>
      </c>
      <c r="W3" s="2016" t="s">
        <v>1716</v>
      </c>
    </row>
    <row r="4" spans="1:23">
      <c r="A4" s="2014" t="s">
        <v>1719</v>
      </c>
      <c r="B4" s="2014" t="s">
        <v>1720</v>
      </c>
      <c r="C4" s="2015" t="s">
        <v>762</v>
      </c>
      <c r="D4" s="2016" t="s">
        <v>865</v>
      </c>
      <c r="E4" s="2016" t="s">
        <v>1721</v>
      </c>
      <c r="F4" s="2016" t="s">
        <v>1722</v>
      </c>
      <c r="G4" s="2016">
        <v>70</v>
      </c>
      <c r="H4" s="2016" t="s">
        <v>1722</v>
      </c>
      <c r="I4" s="2016" t="s">
        <v>1723</v>
      </c>
      <c r="K4" s="2016" t="s">
        <v>1724</v>
      </c>
      <c r="L4" s="2016" t="s">
        <v>1724</v>
      </c>
      <c r="M4" s="2016" t="s">
        <v>1724</v>
      </c>
      <c r="N4" s="2016" t="s">
        <v>1724</v>
      </c>
      <c r="O4" s="2016" t="s">
        <v>1724</v>
      </c>
      <c r="P4" s="2016" t="s">
        <v>1724</v>
      </c>
      <c r="Q4" s="2016" t="s">
        <v>1724</v>
      </c>
      <c r="R4" s="2016" t="s">
        <v>1138</v>
      </c>
      <c r="S4" s="2016" t="s">
        <v>1724</v>
      </c>
      <c r="T4" s="2016" t="s">
        <v>1725</v>
      </c>
      <c r="U4" s="2016" t="s">
        <v>1724</v>
      </c>
      <c r="W4" s="2016" t="s">
        <v>1724</v>
      </c>
    </row>
    <row r="5" spans="1:23">
      <c r="A5" s="2014" t="s">
        <v>1726</v>
      </c>
      <c r="B5" s="2014" t="s">
        <v>1727</v>
      </c>
      <c r="C5" s="2015" t="s">
        <v>763</v>
      </c>
      <c r="F5" s="2016" t="s">
        <v>1728</v>
      </c>
      <c r="H5" s="2016" t="s">
        <v>1729</v>
      </c>
      <c r="I5" s="2016" t="s">
        <v>1730</v>
      </c>
      <c r="K5" s="2016" t="s">
        <v>1731</v>
      </c>
      <c r="L5" s="2016" t="s">
        <v>1731</v>
      </c>
      <c r="M5" s="2016" t="s">
        <v>1731</v>
      </c>
      <c r="N5" s="2016" t="s">
        <v>1731</v>
      </c>
      <c r="O5" s="2016" t="s">
        <v>1731</v>
      </c>
      <c r="P5" s="2016" t="s">
        <v>1731</v>
      </c>
      <c r="Q5" s="2016" t="s">
        <v>1731</v>
      </c>
      <c r="R5" s="2016" t="s">
        <v>1139</v>
      </c>
      <c r="S5" s="2016" t="s">
        <v>1731</v>
      </c>
      <c r="T5" s="2016" t="s">
        <v>1732</v>
      </c>
      <c r="U5" s="2016" t="s">
        <v>1731</v>
      </c>
      <c r="W5" s="2016" t="s">
        <v>1731</v>
      </c>
    </row>
    <row r="6" spans="1:23">
      <c r="A6" s="2014" t="s">
        <v>1733</v>
      </c>
      <c r="B6" s="2017" t="s">
        <v>1143</v>
      </c>
      <c r="C6" s="2020" t="s">
        <v>30</v>
      </c>
      <c r="F6" s="2016" t="s">
        <v>1729</v>
      </c>
      <c r="H6" s="2016" t="s">
        <v>1734</v>
      </c>
      <c r="I6" s="2016" t="s">
        <v>1735</v>
      </c>
      <c r="K6" s="2016" t="s">
        <v>1736</v>
      </c>
      <c r="L6" s="2016" t="s">
        <v>1736</v>
      </c>
      <c r="M6" s="2016" t="s">
        <v>1736</v>
      </c>
      <c r="N6" s="2016" t="s">
        <v>1736</v>
      </c>
      <c r="O6" s="2016" t="s">
        <v>1736</v>
      </c>
      <c r="P6" s="2016" t="s">
        <v>1736</v>
      </c>
      <c r="Q6" s="2016" t="s">
        <v>1736</v>
      </c>
      <c r="R6" s="2016" t="s">
        <v>1140</v>
      </c>
      <c r="S6" s="2016" t="s">
        <v>1736</v>
      </c>
      <c r="T6" s="2016"/>
      <c r="U6" s="2016" t="s">
        <v>1736</v>
      </c>
      <c r="W6" s="2016" t="s">
        <v>1736</v>
      </c>
    </row>
    <row r="7" spans="1:23">
      <c r="A7" s="2014" t="s">
        <v>1737</v>
      </c>
      <c r="B7" s="2017" t="s">
        <v>1144</v>
      </c>
      <c r="C7" s="2015" t="s">
        <v>31</v>
      </c>
      <c r="F7" s="2016" t="s">
        <v>1738</v>
      </c>
      <c r="H7" s="2016" t="s">
        <v>1739</v>
      </c>
      <c r="I7" s="2016" t="s">
        <v>1740</v>
      </c>
    </row>
    <row r="8" spans="1:23">
      <c r="A8" s="2014" t="s">
        <v>1741</v>
      </c>
      <c r="B8" s="2014" t="s">
        <v>1742</v>
      </c>
      <c r="C8" s="2015" t="s">
        <v>764</v>
      </c>
      <c r="F8" s="2016" t="s">
        <v>1743</v>
      </c>
      <c r="H8" s="2016"/>
      <c r="I8" s="2016" t="s">
        <v>1744</v>
      </c>
    </row>
    <row r="9" spans="1:23">
      <c r="A9" s="2014" t="s">
        <v>1745</v>
      </c>
      <c r="B9" s="2014" t="s">
        <v>1746</v>
      </c>
      <c r="C9" s="2015" t="s">
        <v>765</v>
      </c>
      <c r="F9" s="2016" t="s">
        <v>1747</v>
      </c>
      <c r="H9" s="2016"/>
    </row>
    <row r="10" spans="1:23">
      <c r="A10" s="2014" t="s">
        <v>1748</v>
      </c>
      <c r="B10" s="2014" t="s">
        <v>1749</v>
      </c>
      <c r="C10" s="2015" t="s">
        <v>766</v>
      </c>
      <c r="F10" s="2016" t="s">
        <v>16</v>
      </c>
    </row>
    <row r="11" spans="1:23">
      <c r="A11" s="2014" t="s">
        <v>1750</v>
      </c>
      <c r="B11" s="2014" t="s">
        <v>1751</v>
      </c>
      <c r="C11" s="2015" t="s">
        <v>767</v>
      </c>
    </row>
    <row r="12" spans="1:23">
      <c r="A12" s="2014" t="s">
        <v>1752</v>
      </c>
      <c r="B12" s="2014" t="s">
        <v>1753</v>
      </c>
      <c r="C12" s="2015" t="s">
        <v>768</v>
      </c>
    </row>
    <row r="13" spans="1:23">
      <c r="A13" s="2014" t="s">
        <v>1754</v>
      </c>
      <c r="B13" s="2014" t="s">
        <v>1755</v>
      </c>
      <c r="C13" s="2015" t="s">
        <v>769</v>
      </c>
    </row>
    <row r="14" spans="1:23">
      <c r="A14" s="2014" t="s">
        <v>1756</v>
      </c>
      <c r="B14" s="2014" t="s">
        <v>1757</v>
      </c>
      <c r="C14" s="2016" t="s">
        <v>16</v>
      </c>
    </row>
    <row r="15" spans="1:23">
      <c r="A15" s="2014" t="s">
        <v>1758</v>
      </c>
      <c r="B15" s="2014" t="s">
        <v>1759</v>
      </c>
      <c r="C15" s="2015"/>
    </row>
    <row r="16" spans="1:23">
      <c r="A16" s="2014" t="s">
        <v>1760</v>
      </c>
      <c r="B16" s="2014" t="s">
        <v>756</v>
      </c>
      <c r="C16" s="2015"/>
    </row>
    <row r="17" spans="1:3">
      <c r="A17" s="2014" t="s">
        <v>1761</v>
      </c>
      <c r="B17" s="2014" t="s">
        <v>757</v>
      </c>
      <c r="C17" s="2015"/>
    </row>
    <row r="18" spans="1:3">
      <c r="A18" s="2014" t="s">
        <v>1762</v>
      </c>
      <c r="B18" s="2014" t="s">
        <v>757</v>
      </c>
      <c r="C18" s="2015"/>
    </row>
    <row r="19" spans="1:3">
      <c r="A19" s="2014" t="s">
        <v>1763</v>
      </c>
      <c r="B19" s="2014" t="s">
        <v>757</v>
      </c>
      <c r="C19" s="2015"/>
    </row>
    <row r="20" spans="1:3">
      <c r="A20" s="2014" t="s">
        <v>1764</v>
      </c>
      <c r="B20" s="2014" t="s">
        <v>757</v>
      </c>
      <c r="C20" s="2015"/>
    </row>
    <row r="21" spans="1:3">
      <c r="A21" s="2014" t="s">
        <v>1765</v>
      </c>
      <c r="B21" s="2014" t="s">
        <v>757</v>
      </c>
      <c r="C21" s="2015"/>
    </row>
    <row r="22" spans="1:3">
      <c r="A22" s="2014" t="s">
        <v>1766</v>
      </c>
      <c r="B22" s="2014" t="s">
        <v>757</v>
      </c>
      <c r="C22" s="2015"/>
    </row>
    <row r="23" spans="1:3">
      <c r="A23" s="2014" t="s">
        <v>1767</v>
      </c>
      <c r="B23" s="2014" t="s">
        <v>757</v>
      </c>
      <c r="C23" s="2015"/>
    </row>
    <row r="24" spans="1:3">
      <c r="A24" s="2014" t="s">
        <v>1768</v>
      </c>
      <c r="B24" s="2014" t="s">
        <v>757</v>
      </c>
      <c r="C24" s="2015"/>
    </row>
    <row r="25" spans="1:3">
      <c r="A25" s="2014" t="s">
        <v>1769</v>
      </c>
      <c r="B25" s="2014" t="s">
        <v>757</v>
      </c>
      <c r="C25" s="2015"/>
    </row>
    <row r="26" spans="1:3">
      <c r="A26" s="2014" t="s">
        <v>1770</v>
      </c>
      <c r="B26" s="2014" t="s">
        <v>757</v>
      </c>
      <c r="C26" s="2015"/>
    </row>
    <row r="27" spans="1:3">
      <c r="A27" s="2014" t="s">
        <v>757</v>
      </c>
      <c r="B27" s="2014" t="s">
        <v>757</v>
      </c>
      <c r="C27" s="2015"/>
    </row>
    <row r="28" spans="1:3">
      <c r="A28" s="2014" t="s">
        <v>757</v>
      </c>
      <c r="B28" s="2014" t="s">
        <v>757</v>
      </c>
      <c r="C28" s="2015"/>
    </row>
    <row r="29" spans="1:3">
      <c r="A29" s="2014" t="s">
        <v>757</v>
      </c>
      <c r="B29" s="2014" t="s">
        <v>757</v>
      </c>
      <c r="C29" s="2015"/>
    </row>
    <row r="30" spans="1:3">
      <c r="A30" s="2014" t="s">
        <v>757</v>
      </c>
      <c r="B30" s="2014" t="s">
        <v>757</v>
      </c>
      <c r="C30" s="2015"/>
    </row>
    <row r="31" spans="1:3">
      <c r="A31" s="2014" t="s">
        <v>757</v>
      </c>
      <c r="B31" s="2014" t="s">
        <v>757</v>
      </c>
      <c r="C31" s="2015"/>
    </row>
    <row r="32" spans="1:3">
      <c r="A32" s="2014" t="s">
        <v>757</v>
      </c>
      <c r="B32" s="2014" t="s">
        <v>757</v>
      </c>
      <c r="C32" s="2015"/>
    </row>
    <row r="33" spans="1:3">
      <c r="A33" s="2014" t="s">
        <v>757</v>
      </c>
      <c r="B33" s="2014" t="s">
        <v>757</v>
      </c>
      <c r="C33" s="2015"/>
    </row>
    <row r="34" spans="1:3">
      <c r="A34" s="2014" t="s">
        <v>757</v>
      </c>
      <c r="B34" s="2014" t="s">
        <v>757</v>
      </c>
      <c r="C34" s="2015"/>
    </row>
    <row r="35" spans="1:3">
      <c r="A35" s="2014" t="s">
        <v>757</v>
      </c>
      <c r="B35" s="2014" t="s">
        <v>757</v>
      </c>
      <c r="C35" s="2015"/>
    </row>
    <row r="36" spans="1:3">
      <c r="A36" s="2014" t="s">
        <v>757</v>
      </c>
      <c r="B36" s="2014" t="s">
        <v>757</v>
      </c>
      <c r="C36" s="2015"/>
    </row>
    <row r="37" spans="1:3">
      <c r="A37" s="2014" t="s">
        <v>757</v>
      </c>
      <c r="B37" s="2014" t="s">
        <v>757</v>
      </c>
      <c r="C37" s="2015"/>
    </row>
    <row r="38" spans="1:3">
      <c r="A38" s="2014" t="s">
        <v>757</v>
      </c>
      <c r="B38" s="2014" t="s">
        <v>757</v>
      </c>
      <c r="C38" s="2015"/>
    </row>
    <row r="39" spans="1:3">
      <c r="A39" s="2014" t="s">
        <v>757</v>
      </c>
      <c r="B39" s="2014" t="s">
        <v>757</v>
      </c>
      <c r="C39" s="2015"/>
    </row>
    <row r="40" spans="1:3">
      <c r="A40" s="2014" t="s">
        <v>757</v>
      </c>
      <c r="B40" s="2014" t="s">
        <v>757</v>
      </c>
      <c r="C40" s="2015"/>
    </row>
    <row r="41" spans="1:3">
      <c r="A41" s="2014" t="s">
        <v>757</v>
      </c>
      <c r="B41" s="2014" t="s">
        <v>757</v>
      </c>
      <c r="C41" s="2015"/>
    </row>
    <row r="42" spans="1:3">
      <c r="A42" s="2014" t="s">
        <v>757</v>
      </c>
      <c r="B42" s="2014" t="s">
        <v>757</v>
      </c>
      <c r="C42" s="2015"/>
    </row>
    <row r="43" spans="1:3">
      <c r="A43" s="2014" t="s">
        <v>757</v>
      </c>
      <c r="B43" s="2014" t="s">
        <v>757</v>
      </c>
      <c r="C43" s="2015"/>
    </row>
    <row r="44" spans="1:3">
      <c r="A44" s="2014" t="s">
        <v>757</v>
      </c>
      <c r="B44" s="2014" t="s">
        <v>757</v>
      </c>
      <c r="C44" s="2015"/>
    </row>
    <row r="45" spans="1:3">
      <c r="A45" s="2014" t="s">
        <v>757</v>
      </c>
      <c r="B45" s="2014" t="s">
        <v>757</v>
      </c>
      <c r="C45" s="2015"/>
    </row>
    <row r="46" spans="1:3">
      <c r="A46" s="2014" t="s">
        <v>757</v>
      </c>
      <c r="B46" s="2014" t="s">
        <v>757</v>
      </c>
      <c r="C46" s="2015"/>
    </row>
    <row r="47" spans="1:3">
      <c r="A47" s="2014" t="s">
        <v>757</v>
      </c>
      <c r="B47" s="2014" t="s">
        <v>757</v>
      </c>
      <c r="C47" s="2015"/>
    </row>
    <row r="48" spans="1:3">
      <c r="A48" s="2014" t="s">
        <v>757</v>
      </c>
      <c r="B48" s="2014" t="s">
        <v>757</v>
      </c>
      <c r="C48" s="2015"/>
    </row>
    <row r="49" spans="1:4">
      <c r="A49" s="2014" t="s">
        <v>757</v>
      </c>
      <c r="B49" s="2014" t="s">
        <v>757</v>
      </c>
      <c r="C49" s="2015"/>
    </row>
    <row r="50" spans="1:4">
      <c r="A50" s="2014" t="s">
        <v>757</v>
      </c>
      <c r="B50" s="2014" t="s">
        <v>757</v>
      </c>
      <c r="C50" s="2015"/>
    </row>
    <row r="51" spans="1:4">
      <c r="A51" s="2021" t="s">
        <v>854</v>
      </c>
      <c r="B51" s="2022" t="str">
        <f>"为估价委托人在向"&amp;项目基本情况!B6&amp;"办理贷款手续过程中，确定房地产抵押贷款额度提供参考依据而评估房地产抵押价值。"</f>
        <v>为估价委托人在向北京农商银行股份有限公司东城支行办理贷款手续过程中，确定房地产抵押贷款额度提供参考依据而评估房地产抵押价值。</v>
      </c>
      <c r="C51" s="201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尚博地投资顾问有限公司拟使用北京市朝阳区建国门外郎家园6号“郎园Vintage”项目房地产作为抵押担保物，向北京农商银行股份有限公司东城支行办理贷款手续。北京农商银行股份有限公司东城支行特委托北京康正宏基房地产评估有限公司对上述抵押物进行评估。本次评估为确定房地产抵押贷款额度提供参考依据而评估房地产抵押价值。</v>
      </c>
      <c r="D51" s="2022" t="s">
        <v>1280</v>
      </c>
    </row>
    <row r="52" spans="1:4">
      <c r="A52" s="2021" t="s">
        <v>855</v>
      </c>
      <c r="B52" s="2021" t="s">
        <v>856</v>
      </c>
      <c r="C52" s="2019" t="s">
        <v>857</v>
      </c>
      <c r="D52" s="2019" t="s">
        <v>858</v>
      </c>
    </row>
    <row r="53" spans="1:4">
      <c r="A53" s="3041" t="s">
        <v>859</v>
      </c>
      <c r="B53" s="2022" t="s">
        <v>860</v>
      </c>
      <c r="C53" s="201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5月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41"/>
      <c r="B54" s="2022" t="s">
        <v>861</v>
      </c>
      <c r="C54" s="2019" t="s">
        <v>1277</v>
      </c>
    </row>
    <row r="55" spans="1:4">
      <c r="A55" s="3041"/>
      <c r="B55" s="2022" t="s">
        <v>862</v>
      </c>
      <c r="C55" s="2019" t="s">
        <v>1278</v>
      </c>
    </row>
    <row r="56" spans="1:4">
      <c r="A56" s="3041"/>
      <c r="B56" s="2022" t="s">
        <v>863</v>
      </c>
      <c r="C56" s="2019" t="s">
        <v>1282</v>
      </c>
    </row>
    <row r="57" spans="1:4">
      <c r="A57" s="3041"/>
      <c r="B57" s="2022" t="s">
        <v>864</v>
      </c>
      <c r="C57" s="2019" t="s">
        <v>1279</v>
      </c>
    </row>
    <row r="58" spans="1:4">
      <c r="A58" s="2023"/>
      <c r="B58" s="2019"/>
    </row>
    <row r="59" spans="1:4">
      <c r="A59" s="2023"/>
      <c r="B59" s="2019"/>
    </row>
    <row r="60" spans="1:4">
      <c r="A60" s="2023"/>
      <c r="B60" s="2019"/>
    </row>
    <row r="61" spans="1:4">
      <c r="A61" s="2023"/>
      <c r="B61" s="2019"/>
    </row>
    <row r="62" spans="1:4">
      <c r="A62" s="2023"/>
      <c r="B62" s="2019"/>
    </row>
    <row r="63" spans="1:4">
      <c r="A63" s="2023"/>
      <c r="B63" s="2019"/>
    </row>
    <row r="64" spans="1:4">
      <c r="A64" s="2023"/>
      <c r="B64" s="2019"/>
    </row>
    <row r="65" spans="1:2">
      <c r="A65" s="2023"/>
      <c r="B65" s="2019"/>
    </row>
    <row r="66" spans="1:2">
      <c r="A66" s="2023"/>
      <c r="B66" s="2019"/>
    </row>
    <row r="67" spans="1:2">
      <c r="A67" s="2023"/>
      <c r="B67" s="2019"/>
    </row>
    <row r="68" spans="1:2">
      <c r="A68" s="2023"/>
      <c r="B68" s="2019"/>
    </row>
    <row r="69" spans="1:2">
      <c r="A69" s="2023"/>
      <c r="B69" s="2019"/>
    </row>
    <row r="70" spans="1:2">
      <c r="A70" s="2023"/>
      <c r="B70" s="2019"/>
    </row>
    <row r="71" spans="1:2">
      <c r="A71" s="2023"/>
      <c r="B71" s="2019"/>
    </row>
    <row r="72" spans="1:2">
      <c r="A72" s="2023"/>
      <c r="B72" s="2019"/>
    </row>
    <row r="73" spans="1:2">
      <c r="A73" s="2023"/>
      <c r="B73" s="2019"/>
    </row>
    <row r="74" spans="1:2">
      <c r="A74" s="2023"/>
      <c r="B74" s="2019"/>
    </row>
    <row r="75" spans="1:2">
      <c r="A75" s="2023"/>
      <c r="B75" s="2019"/>
    </row>
    <row r="76" spans="1:2">
      <c r="A76" s="2023"/>
      <c r="B76" s="2019"/>
    </row>
    <row r="77" spans="1:2">
      <c r="A77" s="2023"/>
      <c r="B77" s="2019"/>
    </row>
    <row r="78" spans="1:2">
      <c r="A78" s="2023"/>
      <c r="B78" s="2019"/>
    </row>
    <row r="79" spans="1:2">
      <c r="A79" s="2023"/>
      <c r="B79" s="2019"/>
    </row>
    <row r="80" spans="1:2">
      <c r="A80" s="2023"/>
      <c r="B80" s="2019"/>
    </row>
    <row r="81" spans="1:2">
      <c r="A81" s="2023"/>
      <c r="B81" s="2019"/>
    </row>
    <row r="82" spans="1:2">
      <c r="A82" s="2023"/>
      <c r="B82" s="2019"/>
    </row>
    <row r="83" spans="1:2">
      <c r="A83" s="2023"/>
      <c r="B83" s="2019"/>
    </row>
    <row r="84" spans="1:2">
      <c r="A84" s="2023"/>
      <c r="B84" s="2019"/>
    </row>
    <row r="85" spans="1:2">
      <c r="A85" s="2023"/>
      <c r="B85" s="2019"/>
    </row>
    <row r="86" spans="1:2">
      <c r="A86" s="2023"/>
      <c r="B86" s="2019"/>
    </row>
    <row r="87" spans="1:2">
      <c r="A87" s="2023"/>
      <c r="B87" s="2019"/>
    </row>
    <row r="88" spans="1:2">
      <c r="A88" s="2023"/>
      <c r="B88" s="2019"/>
    </row>
    <row r="89" spans="1:2">
      <c r="A89" s="2023"/>
      <c r="B89" s="2019"/>
    </row>
    <row r="90" spans="1:2">
      <c r="A90" s="2023"/>
      <c r="B90" s="2019"/>
    </row>
    <row r="91" spans="1:2">
      <c r="A91" s="2023"/>
      <c r="B91" s="2019"/>
    </row>
    <row r="92" spans="1:2">
      <c r="A92" s="2023"/>
      <c r="B92" s="2019"/>
    </row>
    <row r="93" spans="1:2">
      <c r="A93" s="2023"/>
      <c r="B93" s="2019"/>
    </row>
    <row r="94" spans="1:2">
      <c r="A94" s="2023"/>
      <c r="B94" s="2019"/>
    </row>
    <row r="95" spans="1:2">
      <c r="A95" s="2023"/>
      <c r="B95" s="2019"/>
    </row>
    <row r="96" spans="1:2">
      <c r="A96" s="2023"/>
      <c r="B96" s="2019"/>
    </row>
    <row r="97" spans="1:2">
      <c r="A97" s="2023"/>
      <c r="B97" s="2019"/>
    </row>
    <row r="98" spans="1:2">
      <c r="A98" s="2023"/>
      <c r="B98" s="2019"/>
    </row>
    <row r="99" spans="1:2">
      <c r="A99" s="2023"/>
      <c r="B99" s="2019"/>
    </row>
    <row r="100" spans="1:2">
      <c r="A100" s="2023"/>
      <c r="B100" s="2019"/>
    </row>
    <row r="101" spans="1:2">
      <c r="A101" s="2023"/>
      <c r="B101" s="2019"/>
    </row>
    <row r="102" spans="1:2">
      <c r="A102" s="2023"/>
      <c r="B102" s="2019"/>
    </row>
    <row r="103" spans="1:2">
      <c r="A103" s="2023"/>
      <c r="B103" s="2019"/>
    </row>
    <row r="104" spans="1:2">
      <c r="A104" s="2023"/>
      <c r="B104" s="2019"/>
    </row>
    <row r="105" spans="1:2">
      <c r="A105" s="2023"/>
      <c r="B105" s="2019"/>
    </row>
    <row r="106" spans="1:2">
      <c r="A106" s="2023"/>
      <c r="B106" s="2019"/>
    </row>
    <row r="107" spans="1:2">
      <c r="A107" s="2023"/>
      <c r="B107" s="2019"/>
    </row>
    <row r="108" spans="1:2">
      <c r="A108" s="2023"/>
      <c r="B108" s="2019"/>
    </row>
    <row r="109" spans="1:2">
      <c r="A109" s="2023"/>
      <c r="B109" s="2019"/>
    </row>
    <row r="110" spans="1:2">
      <c r="A110" s="2023"/>
      <c r="B110" s="2019"/>
    </row>
    <row r="111" spans="1:2">
      <c r="A111" s="2023"/>
      <c r="B111" s="2019"/>
    </row>
    <row r="112" spans="1:2">
      <c r="A112" s="2023"/>
      <c r="B112" s="2019"/>
    </row>
    <row r="113" spans="1:2">
      <c r="A113" s="2023"/>
      <c r="B113" s="2019"/>
    </row>
    <row r="114" spans="1:2">
      <c r="A114" s="2023"/>
      <c r="B114" s="2019"/>
    </row>
    <row r="115" spans="1:2">
      <c r="A115" s="2023"/>
      <c r="B115" s="2019"/>
    </row>
    <row r="116" spans="1:2">
      <c r="A116" s="2023"/>
      <c r="B116" s="2019"/>
    </row>
    <row r="117" spans="1:2">
      <c r="A117" s="2023"/>
      <c r="B117" s="2019"/>
    </row>
    <row r="118" spans="1:2">
      <c r="A118" s="2023"/>
      <c r="B118" s="2019"/>
    </row>
    <row r="119" spans="1:2">
      <c r="A119" s="2023"/>
      <c r="B119" s="2019"/>
    </row>
    <row r="120" spans="1:2">
      <c r="A120" s="2023"/>
      <c r="B120" s="2019"/>
    </row>
    <row r="121" spans="1:2">
      <c r="A121" s="2023"/>
      <c r="B121" s="2019"/>
    </row>
    <row r="122" spans="1:2">
      <c r="A122" s="2023"/>
      <c r="B122" s="2019"/>
    </row>
    <row r="123" spans="1:2">
      <c r="A123" s="2023"/>
      <c r="B123" s="2019"/>
    </row>
    <row r="124" spans="1:2">
      <c r="A124" s="2023"/>
      <c r="B124" s="2019"/>
    </row>
    <row r="125" spans="1:2">
      <c r="A125" s="2023"/>
      <c r="B125" s="2019"/>
    </row>
    <row r="126" spans="1:2">
      <c r="A126" s="2023"/>
      <c r="B126" s="2019"/>
    </row>
    <row r="127" spans="1:2">
      <c r="A127" s="2023"/>
      <c r="B127" s="2019"/>
    </row>
  </sheetData>
  <sheetProtection password="C66D" sheet="1" objects="1" scenarios="1" formatCells="0" formatColumns="0" formatRows="0"/>
  <mergeCells count="1">
    <mergeCell ref="A53:A57"/>
  </mergeCells>
  <phoneticPr fontId="18"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H26" sqref="H26"/>
    </sheetView>
  </sheetViews>
  <sheetFormatPr defaultColWidth="10" defaultRowHeight="18" customHeight="1"/>
  <cols>
    <col min="1" max="1" width="14.875" style="2032" customWidth="1"/>
    <col min="2" max="2" width="10" style="2032" customWidth="1"/>
    <col min="3" max="3" width="11.5" style="2032" customWidth="1"/>
    <col min="4" max="6" width="10" style="2032" customWidth="1"/>
    <col min="7" max="7" width="10.75" style="2032" customWidth="1"/>
    <col min="8" max="8" width="10" style="2032" customWidth="1"/>
    <col min="9" max="9" width="11.125" style="2159" customWidth="1"/>
    <col min="10" max="10" width="10" style="2032" customWidth="1"/>
    <col min="11" max="11" width="10" style="2160" customWidth="1"/>
    <col min="12" max="13" width="10" style="2161" customWidth="1"/>
    <col min="14" max="14" width="10" style="2032" customWidth="1"/>
    <col min="15" max="15" width="10" style="2159" customWidth="1"/>
    <col min="16" max="17" width="10" style="2032"/>
    <col min="18" max="18" width="10" style="2032" customWidth="1"/>
    <col min="19" max="16384" width="10" style="2032"/>
  </cols>
  <sheetData>
    <row r="1" spans="1:19" ht="38.25" customHeight="1" thickBot="1">
      <c r="A1" s="2025" t="s">
        <v>1771</v>
      </c>
      <c r="B1" s="3050" t="str">
        <f>IF(B10="北京市","北京市",C10)&amp;F10&amp;IF(结果表!G1="在建","出让国有建设用地使用权及在建建筑物",IF(结果表!G1="土地","出让国有建设用地使用权",))&amp;B9&amp;"预评估"</f>
        <v>北京市朝阳区建国门外郎家园6号“郎园Vintage”项目房地产抵押价值预评估</v>
      </c>
      <c r="C1" s="3051"/>
      <c r="D1" s="3051"/>
      <c r="E1" s="3051"/>
      <c r="F1" s="3051"/>
      <c r="G1" s="3051"/>
      <c r="H1" s="3051"/>
      <c r="I1" s="3052"/>
      <c r="J1" s="2026"/>
      <c r="K1" s="2027"/>
      <c r="L1" s="2028"/>
      <c r="M1" s="2028"/>
      <c r="N1" s="2029"/>
      <c r="O1" s="2030"/>
      <c r="P1" s="2029"/>
      <c r="Q1" s="2029"/>
      <c r="R1" s="2029"/>
      <c r="S1" s="2031" t="str">
        <f>IF(B10="北京市","北京市",C10)&amp;F10&amp;IF(结果表!G1="在建","出让国有建设用地使用权及在建建筑物房地产抵押价值",IF(结果表!G1="土地","出让国有建设用地使用权抵押价值",B9))</f>
        <v>北京市朝阳区建国门外郎家园6号“郎园Vintage”项目房地产抵押价值</v>
      </c>
    </row>
    <row r="2" spans="1:19" ht="18" customHeight="1">
      <c r="A2" s="2026" t="s">
        <v>1772</v>
      </c>
      <c r="B2" s="1039"/>
      <c r="C2" s="2033"/>
      <c r="D2" s="2026"/>
      <c r="E2" s="2034"/>
      <c r="F2" s="2034"/>
      <c r="G2" s="2026"/>
      <c r="H2" s="2026"/>
      <c r="I2" s="2026"/>
      <c r="J2" s="2026"/>
      <c r="K2" s="2027"/>
      <c r="L2" s="2028"/>
      <c r="M2" s="2028"/>
      <c r="N2" s="2029"/>
      <c r="O2" s="2030"/>
      <c r="P2" s="2029"/>
      <c r="Q2" s="2029"/>
      <c r="R2" s="2029"/>
      <c r="S2" s="2031" t="str">
        <f>IF(B10="北京市","北京市",C10)&amp;F10&amp;IF(结果表!G1="在建","出让国有建设用地使用权及在建建筑物房地产",IF(结果表!G1="土地","出让国有建设用地使用权","房地产"))</f>
        <v>北京市朝阳区建国门外郎家园6号“郎园Vintage”项目房地产</v>
      </c>
    </row>
    <row r="3" spans="1:19" ht="18" customHeight="1">
      <c r="A3" s="2035" t="s">
        <v>1773</v>
      </c>
      <c r="B3" s="2036">
        <v>43592</v>
      </c>
      <c r="C3" s="2037" t="s">
        <v>1774</v>
      </c>
      <c r="D3" s="2036">
        <f>B3</f>
        <v>43592</v>
      </c>
      <c r="E3" s="2026"/>
      <c r="F3" s="2026"/>
      <c r="G3" s="2026"/>
      <c r="H3" s="2026"/>
      <c r="I3" s="2026"/>
      <c r="J3" s="2026"/>
      <c r="K3" s="2027"/>
      <c r="L3" s="2028"/>
      <c r="M3" s="2028"/>
      <c r="N3" s="2029"/>
      <c r="O3" s="2030"/>
      <c r="P3" s="2029"/>
      <c r="Q3" s="2029"/>
      <c r="R3" s="2029"/>
      <c r="S3" s="2031"/>
    </row>
    <row r="4" spans="1:19" ht="18" customHeight="1" thickBot="1">
      <c r="A4" s="2038" t="s">
        <v>1775</v>
      </c>
      <c r="B4" s="2039" t="s">
        <v>3053</v>
      </c>
      <c r="C4" s="1037">
        <f ca="1">SUMIF(注册房地产估价师,B4,估价师及机构信息!B3:B24)</f>
        <v>1120070131</v>
      </c>
      <c r="D4" s="2039" t="s">
        <v>3054</v>
      </c>
      <c r="E4" s="1038">
        <f ca="1">SUMIF(注册房地产估价师,D4,估价师及机构信息!B3:B24)</f>
        <v>1120050019</v>
      </c>
      <c r="F4" s="2039" t="s">
        <v>70</v>
      </c>
      <c r="G4" s="2040">
        <f>SUMIF(注册房地产估价师,F4,估价师及机构信息!B3:B24)</f>
        <v>0</v>
      </c>
      <c r="H4" s="2039" t="s">
        <v>70</v>
      </c>
      <c r="I4" s="2041">
        <f>SUMIF(注册房地产估价师,H4,估价师及机构信息!B3:B24)</f>
        <v>0</v>
      </c>
      <c r="J4" s="2042"/>
      <c r="K4" s="2043" t="str">
        <f ca="1">CONCATENATE(B4,"（注册号：",C4,")、",D4,"（注册号：",E4,")")</f>
        <v>郑燚（注册号：1120070131)、王鹏（注册号：1120050019)</v>
      </c>
      <c r="L4" s="2028"/>
      <c r="M4" s="2028"/>
      <c r="N4" s="2029"/>
      <c r="O4" s="2030"/>
      <c r="P4" s="2029"/>
      <c r="Q4" s="2029"/>
      <c r="R4" s="2029"/>
      <c r="S4" s="2031"/>
    </row>
    <row r="5" spans="1:19" ht="18" customHeight="1" thickTop="1">
      <c r="A5" s="2044" t="s">
        <v>1776</v>
      </c>
      <c r="B5" s="2045" t="str">
        <f>B6</f>
        <v>北京农商银行股份有限公司东城支行</v>
      </c>
      <c r="C5" s="2046"/>
      <c r="D5" s="2047"/>
      <c r="E5" s="2042"/>
      <c r="F5" s="2042"/>
      <c r="G5" s="2042"/>
      <c r="H5" s="2042"/>
      <c r="I5" s="2042"/>
      <c r="J5" s="2042"/>
      <c r="K5" s="2043" t="str">
        <f>IF(F4="——","",IF(H4="——",F4&amp;"（注册号："&amp;G4&amp;")",CONCATENATE(F4,"（注册号：",G4,")、",H4,"（注册号：",I4,")")))</f>
        <v/>
      </c>
      <c r="L5" s="2028"/>
      <c r="M5" s="2028"/>
      <c r="N5" s="2029"/>
      <c r="O5" s="2030"/>
      <c r="P5" s="2029"/>
      <c r="Q5" s="2029"/>
      <c r="R5" s="2029"/>
    </row>
    <row r="6" spans="1:19" ht="18" customHeight="1">
      <c r="A6" s="2048" t="s">
        <v>1777</v>
      </c>
      <c r="B6" s="2973" t="s">
        <v>3167</v>
      </c>
      <c r="C6" s="2049"/>
      <c r="D6" s="2050"/>
      <c r="E6" s="2034"/>
      <c r="F6" s="2042"/>
      <c r="G6" s="2042"/>
      <c r="H6" s="2042"/>
      <c r="I6" s="2042"/>
      <c r="J6" s="2042"/>
      <c r="K6" s="2051" t="str">
        <f>IF(COUNTIF(B6,"*上海银行*"),"上海银行","")</f>
        <v/>
      </c>
      <c r="L6" s="2028"/>
      <c r="M6" s="2028"/>
      <c r="N6" s="2029"/>
      <c r="O6" s="2030"/>
      <c r="P6" s="2029"/>
      <c r="Q6" s="2029"/>
      <c r="R6" s="2029"/>
    </row>
    <row r="7" spans="1:19" ht="18" customHeight="1">
      <c r="A7" s="2048" t="s">
        <v>1778</v>
      </c>
      <c r="B7" s="2052" t="str">
        <f>C11</f>
        <v>北京尚博地投资顾问有限公司</v>
      </c>
      <c r="C7" s="2049"/>
      <c r="D7" s="2050"/>
      <c r="E7" s="2034"/>
      <c r="F7" s="2042"/>
      <c r="G7" s="2042"/>
      <c r="H7" s="2042"/>
      <c r="I7" s="2042"/>
      <c r="J7" s="2042"/>
      <c r="K7" s="2053"/>
      <c r="L7" s="2028"/>
      <c r="M7" s="2028"/>
      <c r="N7" s="2029"/>
      <c r="O7" s="2030"/>
      <c r="P7" s="2029"/>
      <c r="Q7" s="2029"/>
      <c r="R7" s="2029"/>
    </row>
    <row r="8" spans="1:19" ht="18" customHeight="1">
      <c r="A8" s="2048" t="s">
        <v>1779</v>
      </c>
      <c r="B8" s="2054" t="s">
        <v>3168</v>
      </c>
      <c r="C8" s="2055"/>
      <c r="D8" s="3053" t="s">
        <v>1780</v>
      </c>
      <c r="E8" s="2056" t="s">
        <v>3169</v>
      </c>
      <c r="F8" s="2057"/>
      <c r="G8" s="2026"/>
      <c r="H8" s="2026"/>
      <c r="I8" s="2026"/>
      <c r="J8" s="2042"/>
      <c r="K8" s="2043"/>
      <c r="L8" s="2028"/>
      <c r="M8" s="2028"/>
      <c r="N8" s="2029"/>
      <c r="O8" s="2030"/>
      <c r="P8" s="2029"/>
      <c r="Q8" s="2029"/>
      <c r="R8" s="2029"/>
    </row>
    <row r="9" spans="1:19" ht="18" customHeight="1" thickBot="1">
      <c r="A9" s="2040" t="s">
        <v>1781</v>
      </c>
      <c r="B9" s="2058" t="s">
        <v>3169</v>
      </c>
      <c r="C9" s="2059"/>
      <c r="D9" s="3054"/>
      <c r="E9" s="2058" t="s">
        <v>70</v>
      </c>
      <c r="F9" s="2060"/>
      <c r="G9" s="2061"/>
      <c r="H9" s="2061"/>
      <c r="I9" s="2061"/>
      <c r="J9" s="2042"/>
      <c r="K9" s="2053"/>
      <c r="L9" s="2028"/>
      <c r="M9" s="2028"/>
      <c r="N9" s="2029"/>
      <c r="O9" s="2030"/>
      <c r="P9" s="2029"/>
      <c r="Q9" s="2029"/>
      <c r="R9" s="2029"/>
    </row>
    <row r="10" spans="1:19" ht="18" customHeight="1" thickTop="1">
      <c r="A10" s="2062" t="s">
        <v>1782</v>
      </c>
      <c r="B10" s="2063" t="s">
        <v>3166</v>
      </c>
      <c r="C10" s="2064"/>
      <c r="D10" s="2047"/>
      <c r="E10" s="2065" t="s">
        <v>1783</v>
      </c>
      <c r="F10" s="2066" t="s">
        <v>3193</v>
      </c>
      <c r="G10" s="2067"/>
      <c r="H10" s="2068"/>
      <c r="I10" s="2047"/>
      <c r="J10" s="2042"/>
      <c r="K10" s="2053"/>
      <c r="L10" s="2028"/>
      <c r="M10" s="2028"/>
      <c r="N10" s="2029"/>
      <c r="O10" s="2030"/>
      <c r="P10" s="2029"/>
      <c r="Q10" s="2029"/>
      <c r="R10" s="2029"/>
    </row>
    <row r="11" spans="1:19" ht="18" customHeight="1">
      <c r="A11" s="2069" t="s">
        <v>1784</v>
      </c>
      <c r="B11" s="2070" t="s">
        <v>3165</v>
      </c>
      <c r="C11" s="2071" t="str">
        <f>东!C3</f>
        <v>北京尚博地投资顾问有限公司</v>
      </c>
      <c r="D11" s="2072"/>
      <c r="E11" s="2042"/>
      <c r="F11" s="2042"/>
      <c r="G11" s="2042"/>
      <c r="H11" s="2042"/>
      <c r="I11" s="2042"/>
      <c r="J11" s="2042"/>
      <c r="K11" s="2053"/>
      <c r="L11" s="2028"/>
      <c r="M11" s="2028"/>
      <c r="N11" s="2029"/>
      <c r="O11" s="2030"/>
      <c r="P11" s="2029"/>
      <c r="Q11" s="2029"/>
      <c r="R11" s="2029"/>
    </row>
    <row r="12" spans="1:19" ht="18" customHeight="1">
      <c r="A12" s="2073" t="s">
        <v>1785</v>
      </c>
      <c r="B12" s="2070" t="s">
        <v>3164</v>
      </c>
      <c r="C12" s="2074" t="s">
        <v>1786</v>
      </c>
      <c r="D12" s="2075" t="s">
        <v>1787</v>
      </c>
      <c r="E12" s="2075" t="s">
        <v>1788</v>
      </c>
      <c r="F12" s="2075" t="s">
        <v>1789</v>
      </c>
      <c r="G12" s="2075" t="s">
        <v>1790</v>
      </c>
      <c r="H12" s="2075" t="s">
        <v>1791</v>
      </c>
      <c r="I12" s="2075" t="s">
        <v>1792</v>
      </c>
      <c r="J12" s="2042"/>
      <c r="K12" s="2053"/>
      <c r="L12" s="2028"/>
      <c r="M12" s="2028"/>
      <c r="N12" s="2029"/>
      <c r="O12" s="2030"/>
      <c r="P12" s="2029"/>
      <c r="Q12" s="2029"/>
      <c r="R12" s="2029"/>
    </row>
    <row r="13" spans="1:19" ht="18" customHeight="1">
      <c r="A13" s="2076"/>
      <c r="B13" s="2077"/>
      <c r="C13" s="2078" t="s">
        <v>1793</v>
      </c>
      <c r="D13" s="2079"/>
      <c r="E13" s="2079">
        <v>45716</v>
      </c>
      <c r="F13" s="2079"/>
      <c r="G13" s="2079"/>
      <c r="H13" s="2079"/>
      <c r="I13" s="1047">
        <f>东!I3</f>
        <v>53775</v>
      </c>
      <c r="J13" s="2042"/>
      <c r="K13" s="2053"/>
      <c r="L13" s="2028"/>
      <c r="M13" s="2028"/>
      <c r="N13" s="2029"/>
      <c r="O13" s="2030"/>
      <c r="P13" s="2029"/>
      <c r="Q13" s="2029"/>
      <c r="R13" s="2029"/>
    </row>
    <row r="14" spans="1:19" ht="18" customHeight="1">
      <c r="A14" s="2076"/>
      <c r="B14" s="2077"/>
      <c r="C14" s="2078" t="s">
        <v>1794</v>
      </c>
      <c r="D14" s="1050"/>
      <c r="E14" s="1050"/>
      <c r="F14" s="1050"/>
      <c r="G14" s="1050"/>
      <c r="H14" s="1050"/>
      <c r="I14" s="1050">
        <v>50</v>
      </c>
      <c r="J14" s="2042"/>
      <c r="K14" s="2080"/>
      <c r="L14" s="2028"/>
      <c r="M14" s="2028"/>
      <c r="N14" s="2029"/>
      <c r="O14" s="2030"/>
      <c r="P14" s="2029"/>
      <c r="Q14" s="2029"/>
      <c r="R14" s="2029"/>
    </row>
    <row r="15" spans="1:19" ht="18" customHeight="1">
      <c r="A15" s="2062"/>
      <c r="B15" s="2081"/>
      <c r="C15" s="2078" t="s">
        <v>1795</v>
      </c>
      <c r="D15" s="1049" t="str">
        <f>IF(B12="出让",IF(D13="","",ROUNDDOWN(MIN((D13-$D$3)/365,D14),2)),D14)</f>
        <v/>
      </c>
      <c r="E15" s="1049">
        <f>IF(B12="出让",IF(E13="","",ROUNDDOWN(MIN((E13-$D$3)/365,E14),2)),E14)</f>
        <v>5.81</v>
      </c>
      <c r="F15" s="1049" t="str">
        <f>IF(B12="出让",IF(F13="","",ROUNDDOWN(MIN((F13-$D$3)/365,F14),2)),F14)</f>
        <v/>
      </c>
      <c r="G15" s="1049" t="str">
        <f>IF(B12="出让",IF(G13="","",ROUNDDOWN(MIN((G13-$D$3)/365,G14),2)),G14)</f>
        <v/>
      </c>
      <c r="H15" s="1049" t="str">
        <f>IF(B12="出让",IF(H13="","",ROUNDDOWN(MIN((H13-$D$3)/365,H14),2)),H14)</f>
        <v/>
      </c>
      <c r="I15" s="1049">
        <f>IF(B12="出让",IF(I13="","",ROUNDDOWN(MIN((I13-$D$3)/365,I14),2)),I14)</f>
        <v>27.89</v>
      </c>
      <c r="J15" s="2042"/>
      <c r="K15" s="2082"/>
      <c r="L15" s="2083"/>
      <c r="M15" s="2083"/>
      <c r="N15" s="2084"/>
      <c r="O15" s="2083"/>
      <c r="P15" s="2084"/>
      <c r="Q15" s="2029"/>
      <c r="R15" s="2029"/>
    </row>
    <row r="16" spans="1:19" ht="30.75" customHeight="1">
      <c r="A16" s="2065" t="s">
        <v>1796</v>
      </c>
      <c r="B16" s="3060"/>
      <c r="C16" s="3061"/>
      <c r="D16" s="3062"/>
      <c r="E16" s="2085" t="s">
        <v>1797</v>
      </c>
      <c r="F16" s="3063"/>
      <c r="G16" s="3064"/>
      <c r="H16" s="3064"/>
      <c r="I16" s="3065"/>
      <c r="J16" s="2029"/>
      <c r="K16" s="2082"/>
      <c r="L16" s="2083"/>
      <c r="M16" s="2083"/>
      <c r="N16" s="2084"/>
      <c r="O16" s="2083"/>
      <c r="P16" s="2084"/>
      <c r="Q16" s="2029"/>
      <c r="R16" s="2029"/>
    </row>
    <row r="17" spans="1:22" ht="18" customHeight="1">
      <c r="A17" s="2086" t="s">
        <v>1798</v>
      </c>
      <c r="B17" s="2035" t="s">
        <v>1799</v>
      </c>
      <c r="C17" s="1054">
        <f>'数据-汇总表'!E3</f>
        <v>27202.3</v>
      </c>
      <c r="D17" s="2087" t="s">
        <v>1800</v>
      </c>
      <c r="E17" s="3066" t="s">
        <v>1801</v>
      </c>
      <c r="F17" s="3067"/>
      <c r="G17" s="3067"/>
      <c r="H17" s="3067"/>
      <c r="I17" s="3068"/>
      <c r="J17" s="2029"/>
      <c r="K17" s="2088"/>
      <c r="L17" s="2083"/>
      <c r="M17" s="2083"/>
      <c r="N17" s="2084"/>
      <c r="O17" s="2083"/>
      <c r="P17" s="2084"/>
      <c r="Q17" s="2029"/>
      <c r="R17" s="2029"/>
      <c r="S17" s="2029"/>
      <c r="T17" s="2029"/>
      <c r="U17" s="2029"/>
      <c r="V17" s="2029"/>
    </row>
    <row r="18" spans="1:22" ht="36" customHeight="1" thickBot="1">
      <c r="A18" s="2089" t="s">
        <v>70</v>
      </c>
      <c r="B18" s="2038" t="s">
        <v>1802</v>
      </c>
      <c r="C18" s="1444">
        <f>'数据-汇总表'!D3</f>
        <v>18455.759999999998</v>
      </c>
      <c r="D18" s="2090" t="s">
        <v>1800</v>
      </c>
      <c r="E18" s="3069" t="s">
        <v>1803</v>
      </c>
      <c r="F18" s="3070"/>
      <c r="G18" s="3070"/>
      <c r="H18" s="3070"/>
      <c r="I18" s="3071"/>
      <c r="J18" s="2029"/>
      <c r="K18" s="2088"/>
      <c r="L18" s="2083"/>
      <c r="M18" s="2083"/>
      <c r="N18" s="2084"/>
      <c r="O18" s="2083"/>
      <c r="P18" s="2084"/>
      <c r="Q18" s="2029"/>
      <c r="R18" s="2029"/>
      <c r="S18" s="2029"/>
      <c r="T18" s="2029"/>
      <c r="U18" s="2029"/>
      <c r="V18" s="2029"/>
    </row>
    <row r="19" spans="1:22" ht="37.5" customHeight="1" thickTop="1" thickBot="1">
      <c r="A19" s="373" t="s">
        <v>1804</v>
      </c>
      <c r="B19" s="352" t="s">
        <v>1805</v>
      </c>
      <c r="C19" s="2091"/>
      <c r="D19" s="2092" t="s">
        <v>1806</v>
      </c>
      <c r="E19" s="2093"/>
      <c r="F19" s="2094" t="str">
        <f>IF(AND(C19="是",E19="否"),"是否提供他项权证或相关说明","")</f>
        <v/>
      </c>
      <c r="G19" s="2095"/>
      <c r="H19" s="2042"/>
      <c r="I19" s="2042"/>
      <c r="J19" s="2042"/>
      <c r="K19" s="2053"/>
      <c r="L19" s="2028"/>
      <c r="M19" s="2028"/>
      <c r="N19" s="2084"/>
      <c r="O19" s="2083"/>
      <c r="P19" s="2084"/>
      <c r="Q19" s="2029"/>
      <c r="R19" s="2029"/>
      <c r="S19" s="2029"/>
      <c r="T19" s="2029"/>
      <c r="U19" s="2029"/>
      <c r="V19" s="2029"/>
    </row>
    <row r="20" spans="1:22" ht="18" customHeight="1">
      <c r="A20" s="2096" t="s">
        <v>1807</v>
      </c>
      <c r="B20" s="3056" t="s">
        <v>1808</v>
      </c>
      <c r="C20" s="3057"/>
      <c r="D20" s="3058" t="s">
        <v>1809</v>
      </c>
      <c r="E20" s="3059"/>
      <c r="F20" s="2097" t="s">
        <v>1810</v>
      </c>
      <c r="G20" s="2042"/>
      <c r="H20" s="2042"/>
      <c r="I20" s="2042"/>
      <c r="J20" s="2042"/>
      <c r="K20" s="3055" t="s">
        <v>1811</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8"/>
      <c r="N20" s="2084"/>
      <c r="O20" s="2083"/>
      <c r="P20" s="2084"/>
      <c r="Q20" s="2029"/>
      <c r="R20" s="2029"/>
      <c r="S20" s="2029"/>
      <c r="T20" s="2029"/>
      <c r="U20" s="2029"/>
      <c r="V20" s="2029"/>
    </row>
    <row r="21" spans="1:22" ht="24.75" customHeight="1">
      <c r="A21" s="2096"/>
      <c r="B21" s="2098" t="s">
        <v>1812</v>
      </c>
      <c r="C21" s="2099" t="s">
        <v>1813</v>
      </c>
      <c r="D21" s="2100" t="s">
        <v>1814</v>
      </c>
      <c r="E21" s="2101" t="s">
        <v>1813</v>
      </c>
      <c r="F21" s="2102"/>
      <c r="G21" s="2042"/>
      <c r="H21" s="2042"/>
      <c r="I21" s="2042"/>
      <c r="J21" s="2042"/>
      <c r="K21" s="3055"/>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8"/>
      <c r="N21" s="2084"/>
      <c r="O21" s="2083"/>
      <c r="P21" s="2084"/>
      <c r="Q21" s="2029"/>
      <c r="R21" s="2029"/>
      <c r="S21" s="2029"/>
      <c r="T21" s="2029"/>
      <c r="U21" s="2029"/>
      <c r="V21" s="2029"/>
    </row>
    <row r="22" spans="1:22" ht="24.75" customHeight="1" thickBot="1">
      <c r="A22" s="2096"/>
      <c r="B22" s="2103" t="s">
        <v>1815</v>
      </c>
      <c r="C22" s="2099" t="s">
        <v>1816</v>
      </c>
      <c r="D22" s="2026"/>
      <c r="E22" s="2026"/>
      <c r="F22" s="2104"/>
      <c r="G22" s="2042"/>
      <c r="H22" s="2042"/>
      <c r="I22" s="2042"/>
      <c r="J22" s="2042"/>
      <c r="K22" s="3055"/>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8"/>
      <c r="N22" s="2084"/>
      <c r="O22" s="2083"/>
      <c r="P22" s="2084"/>
      <c r="Q22" s="2029"/>
      <c r="R22" s="2029"/>
      <c r="S22" s="2029"/>
      <c r="T22" s="2029"/>
      <c r="U22" s="2029"/>
      <c r="V22" s="2029"/>
    </row>
    <row r="23" spans="1:22" ht="18" customHeight="1">
      <c r="A23" s="2105" t="s">
        <v>1817</v>
      </c>
      <c r="B23" s="183" t="s">
        <v>1818</v>
      </c>
      <c r="C23" s="2106"/>
      <c r="D23" s="2107" t="s">
        <v>1818</v>
      </c>
      <c r="E23" s="2108"/>
      <c r="F23" s="2104"/>
      <c r="G23" s="2042"/>
      <c r="H23" s="2042"/>
      <c r="I23" s="2042"/>
      <c r="J23" s="2042"/>
      <c r="K23" s="2109"/>
      <c r="L23" s="748"/>
      <c r="M23" s="2028"/>
      <c r="N23" s="2084"/>
      <c r="O23" s="2083"/>
      <c r="P23" s="2084"/>
      <c r="Q23" s="2029"/>
      <c r="R23" s="2029"/>
      <c r="S23" s="2029"/>
      <c r="T23" s="2029"/>
      <c r="U23" s="2029"/>
      <c r="V23" s="2029"/>
    </row>
    <row r="24" spans="1:22" ht="18" customHeight="1">
      <c r="A24" s="2110"/>
      <c r="B24" s="183" t="s">
        <v>1819</v>
      </c>
      <c r="C24" s="2111"/>
      <c r="D24" s="2105" t="s">
        <v>1819</v>
      </c>
      <c r="E24" s="2112"/>
      <c r="F24" s="2104"/>
      <c r="G24" s="2042"/>
      <c r="H24" s="2042"/>
      <c r="I24" s="2042"/>
      <c r="J24" s="2042"/>
      <c r="K24" s="2109"/>
      <c r="L24" s="748"/>
      <c r="M24" s="2028"/>
      <c r="N24" s="2084"/>
      <c r="O24" s="2083"/>
      <c r="P24" s="2084"/>
      <c r="Q24" s="2029"/>
      <c r="R24" s="2029"/>
      <c r="S24" s="2029"/>
      <c r="T24" s="2029"/>
      <c r="U24" s="2029"/>
      <c r="V24" s="2029"/>
    </row>
    <row r="25" spans="1:22" ht="18" customHeight="1">
      <c r="A25" s="2110"/>
      <c r="B25" s="183" t="s">
        <v>1820</v>
      </c>
      <c r="C25" s="2111"/>
      <c r="D25" s="2105" t="s">
        <v>1820</v>
      </c>
      <c r="E25" s="2112"/>
      <c r="F25" s="2104"/>
      <c r="G25" s="2042"/>
      <c r="H25" s="2042"/>
      <c r="I25" s="2042"/>
      <c r="J25" s="2042"/>
      <c r="K25" s="2053"/>
      <c r="L25" s="2028"/>
      <c r="M25" s="2028"/>
      <c r="N25" s="2084"/>
      <c r="O25" s="2083"/>
      <c r="P25" s="2084"/>
      <c r="Q25" s="2029"/>
      <c r="R25" s="2029"/>
      <c r="S25" s="2029"/>
      <c r="T25" s="2029"/>
      <c r="U25" s="2029"/>
      <c r="V25" s="2029"/>
    </row>
    <row r="26" spans="1:22" ht="18" customHeight="1" thickBot="1">
      <c r="A26" s="2113"/>
      <c r="B26" s="2114" t="s">
        <v>1821</v>
      </c>
      <c r="C26" s="2115"/>
      <c r="D26" s="2116" t="s">
        <v>1822</v>
      </c>
      <c r="E26" s="2117"/>
      <c r="F26" s="2118"/>
      <c r="G26" s="2061"/>
      <c r="H26" s="2061"/>
      <c r="I26" s="2061"/>
      <c r="J26" s="2042"/>
      <c r="K26" s="2053"/>
      <c r="L26" s="2028"/>
      <c r="M26" s="2028"/>
      <c r="N26" s="2084"/>
      <c r="O26" s="2083"/>
      <c r="P26" s="2084"/>
      <c r="Q26" s="2029"/>
      <c r="R26" s="2029"/>
      <c r="S26" s="2029"/>
      <c r="T26" s="2029"/>
      <c r="U26" s="2029"/>
      <c r="V26" s="2029"/>
    </row>
    <row r="27" spans="1:22" ht="18" customHeight="1" thickTop="1">
      <c r="A27" s="3043" t="s">
        <v>1823</v>
      </c>
      <c r="B27" s="2062" t="s">
        <v>1824</v>
      </c>
      <c r="C27" s="2119" t="s">
        <v>3063</v>
      </c>
      <c r="D27" s="2120"/>
      <c r="E27" s="2042"/>
      <c r="F27" s="2042"/>
      <c r="G27" s="2042"/>
      <c r="H27" s="2042"/>
      <c r="I27" s="2042"/>
      <c r="J27" s="2029"/>
      <c r="K27" s="2082"/>
      <c r="L27" s="2083"/>
      <c r="M27" s="2083"/>
      <c r="N27" s="2084"/>
      <c r="O27" s="2083"/>
      <c r="P27" s="2084"/>
      <c r="Q27" s="2029"/>
      <c r="R27" s="2029"/>
      <c r="S27" s="2029"/>
      <c r="T27" s="2029"/>
      <c r="U27" s="2029"/>
      <c r="V27" s="2029"/>
    </row>
    <row r="28" spans="1:22" ht="18" customHeight="1">
      <c r="A28" s="3043"/>
      <c r="B28" s="2035" t="s">
        <v>1825</v>
      </c>
      <c r="C28" s="2121"/>
      <c r="D28" s="2122"/>
      <c r="E28" s="2042"/>
      <c r="F28" s="2042"/>
      <c r="G28" s="2042"/>
      <c r="H28" s="2042"/>
      <c r="I28" s="2042"/>
      <c r="J28" s="2029"/>
      <c r="K28" s="2123"/>
      <c r="L28" s="2028"/>
      <c r="M28" s="2028"/>
      <c r="N28" s="2029"/>
      <c r="O28" s="2030"/>
      <c r="P28" s="2029"/>
      <c r="Q28" s="2029"/>
      <c r="R28" s="2029"/>
      <c r="S28" s="2029"/>
      <c r="T28" s="2029"/>
      <c r="U28" s="2029"/>
      <c r="V28" s="2029"/>
    </row>
    <row r="29" spans="1:22" ht="18" customHeight="1">
      <c r="A29" s="3043"/>
      <c r="B29" s="2035" t="s">
        <v>1826</v>
      </c>
      <c r="C29" s="2124"/>
      <c r="D29" s="2125"/>
      <c r="E29" s="2042"/>
      <c r="F29" s="2042"/>
      <c r="G29" s="2042"/>
      <c r="H29" s="2042"/>
      <c r="I29" s="2042"/>
      <c r="J29" s="2029"/>
      <c r="K29" s="2123"/>
      <c r="L29" s="2028"/>
      <c r="M29" s="2028"/>
      <c r="N29" s="2029"/>
      <c r="O29" s="2030"/>
      <c r="P29" s="2029"/>
      <c r="Q29" s="2029"/>
      <c r="R29" s="2029"/>
      <c r="S29" s="2029"/>
      <c r="T29" s="2029"/>
      <c r="U29" s="2029"/>
      <c r="V29" s="2029"/>
    </row>
    <row r="30" spans="1:22" ht="18" customHeight="1">
      <c r="A30" s="3044"/>
      <c r="B30" s="2035" t="s">
        <v>1827</v>
      </c>
      <c r="C30" s="3045"/>
      <c r="D30" s="3046"/>
      <c r="E30" s="2042"/>
      <c r="F30" s="2042"/>
      <c r="G30" s="2042"/>
      <c r="H30" s="2042"/>
      <c r="I30" s="2042"/>
      <c r="J30" s="2029"/>
      <c r="K30" s="2123"/>
      <c r="L30" s="2028"/>
      <c r="M30" s="2028"/>
      <c r="N30" s="2029"/>
      <c r="O30" s="2030"/>
      <c r="P30" s="2029"/>
      <c r="Q30" s="2029"/>
      <c r="R30" s="2029"/>
      <c r="S30" s="2029"/>
      <c r="T30" s="2029"/>
      <c r="U30" s="2029"/>
      <c r="V30" s="2029"/>
    </row>
    <row r="31" spans="1:22" ht="18" customHeight="1">
      <c r="A31" s="3047" t="s">
        <v>1828</v>
      </c>
      <c r="B31" s="2126" t="s">
        <v>3062</v>
      </c>
      <c r="C31" s="2127" t="str">
        <f>IF(B31="现房","成新及维护状况正常否",IF(B31="在建","工程状态是否正常",IF(B31="土地","是否闲置","-")))</f>
        <v>成新及维护状况正常否</v>
      </c>
      <c r="D31" s="2128"/>
      <c r="E31" s="2129"/>
      <c r="F31" s="2042"/>
      <c r="G31" s="2042"/>
      <c r="H31" s="2042"/>
      <c r="I31" s="2042"/>
      <c r="J31" s="2042"/>
      <c r="K31" s="2051"/>
      <c r="L31" s="2028"/>
      <c r="M31" s="2028"/>
      <c r="N31" s="2029"/>
      <c r="O31" s="2030"/>
      <c r="P31" s="2029"/>
      <c r="Q31" s="2029"/>
      <c r="R31" s="2029"/>
      <c r="S31" s="2029"/>
      <c r="T31" s="2029"/>
      <c r="U31" s="2029"/>
      <c r="V31" s="2029"/>
    </row>
    <row r="32" spans="1:22" ht="18" customHeight="1">
      <c r="A32" s="3048"/>
      <c r="B32" s="2126"/>
      <c r="C32" s="2127" t="str">
        <f>IF(B32="现房","成新及维护状况是否正常",IF(B32="在建","工程状态是否正常",IF(B32="土地","是否闲置","-")))</f>
        <v>-</v>
      </c>
      <c r="D32" s="2128"/>
      <c r="E32" s="2129"/>
      <c r="F32" s="2042"/>
      <c r="G32" s="2042"/>
      <c r="H32" s="2042"/>
      <c r="I32" s="2042"/>
      <c r="J32" s="2042"/>
      <c r="K32" s="2053"/>
      <c r="L32" s="2028"/>
      <c r="M32" s="2028"/>
      <c r="N32" s="2029"/>
      <c r="O32" s="2030"/>
      <c r="P32" s="2029"/>
      <c r="Q32" s="2029"/>
      <c r="R32" s="2029"/>
      <c r="S32" s="2029"/>
      <c r="T32" s="2029"/>
      <c r="U32" s="2029"/>
      <c r="V32" s="2029"/>
    </row>
    <row r="33" spans="1:22" ht="18" customHeight="1">
      <c r="A33" s="3048"/>
      <c r="B33" s="2130"/>
      <c r="C33" s="2069" t="str">
        <f>IF(B33="现房","成新及维护状况是否正常",IF(B33="在建","工程状态是否正常",IF(B33="土地","是否闲置","-")))</f>
        <v>-</v>
      </c>
      <c r="D33" s="2131"/>
      <c r="E33" s="2132"/>
      <c r="F33" s="2042"/>
      <c r="G33" s="2042"/>
      <c r="H33" s="2042"/>
      <c r="I33" s="2042"/>
      <c r="J33" s="2042"/>
      <c r="K33" s="2053"/>
      <c r="L33" s="2028"/>
      <c r="M33" s="2028"/>
      <c r="N33" s="2029"/>
      <c r="O33" s="2030"/>
      <c r="P33" s="2029"/>
      <c r="Q33" s="2029"/>
      <c r="R33" s="2029"/>
      <c r="S33" s="2029"/>
      <c r="T33" s="2029"/>
      <c r="U33" s="2029"/>
      <c r="V33" s="2029"/>
    </row>
    <row r="34" spans="1:22" ht="18" customHeight="1">
      <c r="A34" s="2035" t="s">
        <v>1829</v>
      </c>
      <c r="B34" s="2133" t="s">
        <v>3055</v>
      </c>
      <c r="C34" s="2133" t="s">
        <v>3056</v>
      </c>
      <c r="D34" s="2133" t="s">
        <v>3057</v>
      </c>
      <c r="E34" s="2133" t="s">
        <v>3058</v>
      </c>
      <c r="F34" s="2133" t="s">
        <v>3059</v>
      </c>
      <c r="G34" s="2133" t="s">
        <v>3060</v>
      </c>
      <c r="H34" s="2133" t="s">
        <v>3061</v>
      </c>
      <c r="I34" s="2042"/>
      <c r="J34" s="2042"/>
      <c r="K34" s="1795">
        <f>COUNTIF(B34:H34,"——")</f>
        <v>0</v>
      </c>
      <c r="L34" s="2074" t="s">
        <v>1830</v>
      </c>
      <c r="M34" s="2074" t="s">
        <v>1831</v>
      </c>
      <c r="N34" s="2074" t="s">
        <v>1832</v>
      </c>
      <c r="O34" s="2074" t="s">
        <v>1833</v>
      </c>
      <c r="P34" s="2074" t="s">
        <v>1834</v>
      </c>
      <c r="Q34" s="2074" t="s">
        <v>1835</v>
      </c>
      <c r="R34" s="2074" t="s">
        <v>1836</v>
      </c>
      <c r="S34" s="3042" t="s">
        <v>1837</v>
      </c>
      <c r="T34" s="2134" t="str">
        <f>NUMBERSTRING(7-K34,1)&amp;"通"</f>
        <v>七通</v>
      </c>
      <c r="U34" s="2029"/>
      <c r="V34" s="2029"/>
    </row>
    <row r="35" spans="1:22" ht="18" customHeight="1">
      <c r="A35" s="2135"/>
      <c r="B35" s="3049" t="s">
        <v>1838</v>
      </c>
      <c r="C35" s="3049"/>
      <c r="D35" s="3049"/>
      <c r="E35" s="3049"/>
      <c r="F35" s="2136">
        <f>C10</f>
        <v>0</v>
      </c>
      <c r="G35" s="2042"/>
      <c r="H35" s="2042"/>
      <c r="I35" s="2042"/>
      <c r="J35" s="2042"/>
      <c r="K35" s="2074"/>
      <c r="L35" s="2074"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通路、通电、通讯、通上水、通下水、燃气、通热</v>
      </c>
      <c r="S35" s="3042"/>
      <c r="T35" s="48" t="str">
        <f>IF(T34="一通",L35,IF(T34="二通",M35,IF(T34="三通",N35,IF(T34="四通",O35,IF(T34="五通",P35,IF(T34="六通",Q35,R35))))))</f>
        <v>通路、通电、通讯、通上水、通下水、燃气、通热</v>
      </c>
      <c r="U35" s="2029"/>
      <c r="V35" s="2029"/>
    </row>
    <row r="36" spans="1:22" ht="18" customHeight="1">
      <c r="A36" s="2137"/>
      <c r="B36" s="2136" t="s">
        <v>1839</v>
      </c>
      <c r="C36" s="2136" t="s">
        <v>1840</v>
      </c>
      <c r="D36" s="2136" t="s">
        <v>1841</v>
      </c>
      <c r="E36" s="2136" t="s">
        <v>1842</v>
      </c>
      <c r="F36" s="2138"/>
      <c r="G36" s="2042"/>
      <c r="H36" s="2042"/>
      <c r="I36" s="2042"/>
      <c r="J36" s="2042"/>
      <c r="K36" s="2053"/>
      <c r="L36" s="2028"/>
      <c r="M36" s="2028"/>
      <c r="N36" s="2029"/>
      <c r="O36" s="2030"/>
      <c r="P36" s="2029"/>
      <c r="Q36" s="2029"/>
      <c r="R36" s="2029"/>
      <c r="S36" s="2029"/>
      <c r="T36" s="2029"/>
      <c r="U36" s="2029"/>
      <c r="V36" s="2029"/>
    </row>
    <row r="37" spans="1:22" ht="18" customHeight="1">
      <c r="A37" s="2139" t="s">
        <v>1843</v>
      </c>
      <c r="B37" s="2140" t="s">
        <v>269</v>
      </c>
      <c r="C37" s="2140" t="s">
        <v>269</v>
      </c>
      <c r="D37" s="2140"/>
      <c r="E37" s="2140" t="s">
        <v>442</v>
      </c>
      <c r="F37" s="2138"/>
      <c r="G37" s="2042"/>
      <c r="H37" s="2042"/>
      <c r="I37" s="2042"/>
      <c r="J37" s="2042"/>
      <c r="K37" s="2053"/>
      <c r="L37" s="2028"/>
      <c r="M37" s="2028"/>
      <c r="N37" s="2029"/>
      <c r="O37" s="2030"/>
      <c r="P37" s="2029"/>
      <c r="Q37" s="2029"/>
      <c r="R37" s="2029"/>
      <c r="S37" s="2029"/>
      <c r="T37" s="2029"/>
      <c r="U37" s="2029"/>
      <c r="V37" s="2029"/>
    </row>
    <row r="38" spans="1:22" ht="18" customHeight="1" thickBot="1">
      <c r="A38" s="2141" t="s">
        <v>1844</v>
      </c>
      <c r="B38" s="2142" t="s">
        <v>291</v>
      </c>
      <c r="C38" s="2142" t="s">
        <v>322</v>
      </c>
      <c r="D38" s="2142"/>
      <c r="E38" s="2142" t="s">
        <v>260</v>
      </c>
      <c r="F38" s="2143"/>
      <c r="G38" s="2061"/>
      <c r="H38" s="2061"/>
      <c r="I38" s="2061"/>
      <c r="J38" s="2042"/>
      <c r="K38" s="2053"/>
      <c r="L38" s="2028"/>
      <c r="M38" s="2028"/>
      <c r="N38" s="2029"/>
      <c r="O38" s="2030"/>
      <c r="P38" s="2029"/>
      <c r="Q38" s="2029"/>
      <c r="R38" s="2029"/>
      <c r="S38" s="2029"/>
      <c r="T38" s="2029"/>
      <c r="U38" s="2029"/>
      <c r="V38" s="2029"/>
    </row>
    <row r="39" spans="1:22" s="2148" customFormat="1" ht="18" customHeight="1" thickTop="1" thickBot="1">
      <c r="A39" s="2144" t="s">
        <v>1845</v>
      </c>
      <c r="B39" s="2145"/>
      <c r="C39" s="2145"/>
      <c r="D39" s="2145"/>
      <c r="E39" s="2145"/>
      <c r="F39" s="2145"/>
      <c r="G39" s="2145"/>
      <c r="H39" s="2145"/>
      <c r="I39" s="2145"/>
      <c r="J39" s="2145"/>
      <c r="K39" s="2146"/>
      <c r="L39" s="2145"/>
      <c r="M39" s="2145"/>
      <c r="N39" s="2145"/>
      <c r="O39" s="2147"/>
      <c r="P39" s="2145"/>
      <c r="Q39" s="2145"/>
      <c r="R39" s="2145"/>
      <c r="S39" s="2145"/>
      <c r="T39" s="2145"/>
      <c r="U39" s="2145"/>
      <c r="V39" s="2145"/>
    </row>
    <row r="40" spans="1:22" ht="18" customHeight="1">
      <c r="A40" s="2029"/>
      <c r="B40" s="2029"/>
      <c r="C40" s="2029"/>
      <c r="D40" s="2029"/>
      <c r="E40" s="2029"/>
      <c r="F40" s="2029"/>
      <c r="G40" s="2029"/>
      <c r="H40" s="2029"/>
      <c r="I40" s="2149"/>
      <c r="J40" s="2084"/>
      <c r="K40" s="666"/>
      <c r="L40" s="2083"/>
      <c r="M40" s="2083"/>
      <c r="N40" s="2084"/>
      <c r="O40" s="2083"/>
      <c r="P40" s="2029"/>
      <c r="Q40" s="2029"/>
      <c r="R40" s="2029"/>
      <c r="S40" s="2029"/>
      <c r="T40" s="2029"/>
      <c r="U40" s="2029"/>
      <c r="V40" s="2029"/>
    </row>
    <row r="41" spans="1:22" ht="18" customHeight="1">
      <c r="A41" s="8" t="s">
        <v>1846</v>
      </c>
      <c r="B41" s="2150"/>
      <c r="C41" s="2151"/>
      <c r="D41" s="2029"/>
      <c r="E41" s="2029"/>
      <c r="F41" s="2029"/>
      <c r="G41" s="2029"/>
      <c r="H41" s="2029"/>
      <c r="I41" s="2030"/>
      <c r="J41" s="2029"/>
      <c r="K41" s="2123"/>
      <c r="L41" s="2028"/>
      <c r="M41" s="2028"/>
      <c r="N41" s="2029"/>
      <c r="O41" s="2030"/>
      <c r="P41" s="2029"/>
      <c r="Q41" s="2029"/>
      <c r="R41" s="2029"/>
      <c r="S41" s="2029"/>
      <c r="T41" s="2029"/>
      <c r="U41" s="2029"/>
      <c r="V41" s="2029"/>
    </row>
    <row r="42" spans="1:22" ht="18" customHeight="1">
      <c r="A42" s="2074" t="s">
        <v>1847</v>
      </c>
      <c r="B42" s="1795" t="s">
        <v>1848</v>
      </c>
      <c r="C42" s="1795" t="s">
        <v>1849</v>
      </c>
      <c r="D42" s="1795" t="s">
        <v>1850</v>
      </c>
      <c r="E42" s="1795" t="s">
        <v>1851</v>
      </c>
      <c r="F42" s="1795" t="s">
        <v>1852</v>
      </c>
      <c r="G42" s="1795" t="s">
        <v>1853</v>
      </c>
      <c r="H42" s="1795" t="s">
        <v>1854</v>
      </c>
      <c r="I42" s="1795" t="s">
        <v>1855</v>
      </c>
      <c r="J42" s="2152" t="s">
        <v>1856</v>
      </c>
      <c r="K42" s="2075" t="s">
        <v>1857</v>
      </c>
      <c r="L42" s="2075" t="s">
        <v>1858</v>
      </c>
      <c r="M42" s="2075" t="s">
        <v>1859</v>
      </c>
      <c r="N42" s="1795" t="s">
        <v>1860</v>
      </c>
      <c r="O42" s="1795" t="s">
        <v>1861</v>
      </c>
      <c r="P42" s="1795" t="s">
        <v>1862</v>
      </c>
      <c r="Q42" s="2074" t="s">
        <v>1863</v>
      </c>
      <c r="R42" s="2074" t="s">
        <v>1864</v>
      </c>
      <c r="S42" s="2029"/>
      <c r="T42" s="2029"/>
      <c r="U42" s="2029"/>
      <c r="V42" s="2029"/>
    </row>
    <row r="43" spans="1:22" s="2157" customFormat="1" ht="18" customHeight="1">
      <c r="A43" s="2153"/>
      <c r="B43" s="1272"/>
      <c r="C43" s="1272"/>
      <c r="D43" s="1272"/>
      <c r="E43" s="1272"/>
      <c r="F43" s="1272"/>
      <c r="G43" s="1272"/>
      <c r="H43" s="9"/>
      <c r="I43" s="9"/>
      <c r="J43" s="2154"/>
      <c r="K43" s="2155"/>
      <c r="L43" s="2155"/>
      <c r="M43" s="9"/>
      <c r="N43" s="1272"/>
      <c r="O43" s="9"/>
      <c r="P43" s="1272"/>
      <c r="Q43" s="1272"/>
      <c r="R43" s="1272"/>
      <c r="S43" s="2156"/>
      <c r="T43" s="2156"/>
      <c r="U43" s="2156"/>
      <c r="V43" s="2156"/>
    </row>
    <row r="44" spans="1:22" s="2157" customFormat="1" ht="18" customHeight="1">
      <c r="A44" s="2153"/>
      <c r="B44" s="2153"/>
      <c r="C44" s="1272"/>
      <c r="D44" s="1272"/>
      <c r="E44" s="1272"/>
      <c r="F44" s="1272"/>
      <c r="G44" s="1272"/>
      <c r="H44" s="9"/>
      <c r="I44" s="9"/>
      <c r="J44" s="2154"/>
      <c r="K44" s="2155"/>
      <c r="L44" s="2155"/>
      <c r="M44" s="9"/>
      <c r="N44" s="1272"/>
      <c r="O44" s="9"/>
      <c r="P44" s="1272"/>
      <c r="Q44" s="1272"/>
      <c r="R44" s="1272"/>
      <c r="S44" s="2156"/>
      <c r="T44" s="2156"/>
      <c r="U44" s="2156"/>
      <c r="V44" s="2156"/>
    </row>
    <row r="45" spans="1:22" s="2157" customFormat="1" ht="18" customHeight="1">
      <c r="A45" s="2153"/>
      <c r="B45" s="2153"/>
      <c r="C45" s="1272"/>
      <c r="D45" s="1272"/>
      <c r="E45" s="1272"/>
      <c r="F45" s="1272"/>
      <c r="G45" s="1272"/>
      <c r="H45" s="9"/>
      <c r="I45" s="9"/>
      <c r="J45" s="2154"/>
      <c r="K45" s="2155"/>
      <c r="L45" s="2155"/>
      <c r="M45" s="9"/>
      <c r="N45" s="1272"/>
      <c r="O45" s="9"/>
      <c r="P45" s="1272"/>
      <c r="Q45" s="1272"/>
      <c r="R45" s="1272"/>
      <c r="S45" s="2156"/>
      <c r="T45" s="2156"/>
      <c r="U45" s="2156"/>
      <c r="V45" s="2156"/>
    </row>
    <row r="46" spans="1:22" s="2157" customFormat="1" ht="18" customHeight="1">
      <c r="A46" s="2153"/>
      <c r="B46" s="2153"/>
      <c r="C46" s="1272"/>
      <c r="D46" s="1272"/>
      <c r="E46" s="1272"/>
      <c r="F46" s="1272"/>
      <c r="G46" s="1272"/>
      <c r="H46" s="9"/>
      <c r="I46" s="9"/>
      <c r="J46" s="2154"/>
      <c r="K46" s="2155"/>
      <c r="L46" s="2155"/>
      <c r="M46" s="9"/>
      <c r="N46" s="1272"/>
      <c r="O46" s="9"/>
      <c r="P46" s="1272"/>
      <c r="Q46" s="1272"/>
      <c r="R46" s="1272"/>
      <c r="S46" s="2156"/>
      <c r="T46" s="2156"/>
      <c r="U46" s="2156"/>
      <c r="V46" s="2156"/>
    </row>
    <row r="47" spans="1:22" s="2157" customFormat="1" ht="18" customHeight="1">
      <c r="A47" s="2153"/>
      <c r="B47" s="2153"/>
      <c r="C47" s="1272"/>
      <c r="D47" s="1272"/>
      <c r="E47" s="1272"/>
      <c r="F47" s="1272"/>
      <c r="G47" s="1272"/>
      <c r="H47" s="9"/>
      <c r="I47" s="9"/>
      <c r="J47" s="2154"/>
      <c r="K47" s="2155"/>
      <c r="L47" s="2155"/>
      <c r="M47" s="9"/>
      <c r="N47" s="1272"/>
      <c r="O47" s="9"/>
      <c r="P47" s="1272"/>
      <c r="Q47" s="1272"/>
      <c r="R47" s="1272"/>
      <c r="S47" s="2156"/>
      <c r="T47" s="2156"/>
      <c r="U47" s="2156"/>
      <c r="V47" s="2156"/>
    </row>
    <row r="48" spans="1:22" s="2157" customFormat="1" ht="18" customHeight="1">
      <c r="A48" s="2153"/>
      <c r="B48" s="2153"/>
      <c r="C48" s="1272"/>
      <c r="D48" s="1272"/>
      <c r="E48" s="1272"/>
      <c r="F48" s="1272"/>
      <c r="G48" s="1272"/>
      <c r="H48" s="9"/>
      <c r="I48" s="9"/>
      <c r="J48" s="2154"/>
      <c r="K48" s="2155"/>
      <c r="L48" s="2155"/>
      <c r="M48" s="9"/>
      <c r="N48" s="1272"/>
      <c r="O48" s="9"/>
      <c r="P48" s="1272"/>
      <c r="Q48" s="1272"/>
      <c r="R48" s="1272"/>
      <c r="S48" s="2156"/>
      <c r="T48" s="2156"/>
      <c r="U48" s="2156"/>
      <c r="V48" s="2156"/>
    </row>
    <row r="49" spans="1:22" s="2157" customFormat="1" ht="18" customHeight="1">
      <c r="A49" s="2153"/>
      <c r="B49" s="2153"/>
      <c r="C49" s="1272"/>
      <c r="D49" s="1272"/>
      <c r="E49" s="1272"/>
      <c r="F49" s="1272"/>
      <c r="G49" s="1272"/>
      <c r="H49" s="9"/>
      <c r="I49" s="9"/>
      <c r="J49" s="2154"/>
      <c r="K49" s="2155"/>
      <c r="L49" s="2155"/>
      <c r="M49" s="9"/>
      <c r="N49" s="1272"/>
      <c r="O49" s="9"/>
      <c r="P49" s="1272"/>
      <c r="Q49" s="1272"/>
      <c r="R49" s="1272"/>
      <c r="S49" s="2156"/>
      <c r="T49" s="2156"/>
      <c r="U49" s="2156"/>
      <c r="V49" s="2156"/>
    </row>
    <row r="50" spans="1:22" s="2157" customFormat="1" ht="18" customHeight="1">
      <c r="A50" s="2153"/>
      <c r="B50" s="2153"/>
      <c r="C50" s="1272"/>
      <c r="D50" s="1272"/>
      <c r="E50" s="1272"/>
      <c r="F50" s="1272"/>
      <c r="G50" s="1272"/>
      <c r="H50" s="9"/>
      <c r="I50" s="9"/>
      <c r="J50" s="2154"/>
      <c r="K50" s="2155"/>
      <c r="L50" s="2155"/>
      <c r="M50" s="9"/>
      <c r="N50" s="1272"/>
      <c r="O50" s="9"/>
      <c r="P50" s="1272"/>
      <c r="Q50" s="1272"/>
      <c r="R50" s="1272"/>
      <c r="S50" s="2156"/>
      <c r="T50" s="2156"/>
      <c r="U50" s="2156"/>
      <c r="V50" s="2156"/>
    </row>
    <row r="51" spans="1:22" s="2157" customFormat="1" ht="18" customHeight="1">
      <c r="A51" s="2153"/>
      <c r="B51" s="2153"/>
      <c r="C51" s="1272"/>
      <c r="D51" s="1272"/>
      <c r="E51" s="1272"/>
      <c r="F51" s="1272"/>
      <c r="G51" s="1272"/>
      <c r="H51" s="9"/>
      <c r="I51" s="9"/>
      <c r="J51" s="2154"/>
      <c r="K51" s="2155"/>
      <c r="L51" s="2155"/>
      <c r="M51" s="9"/>
      <c r="N51" s="1272"/>
      <c r="O51" s="9"/>
      <c r="P51" s="1272"/>
      <c r="Q51" s="1272"/>
      <c r="R51" s="1272"/>
    </row>
    <row r="52" spans="1:22" s="2157" customFormat="1" ht="18" customHeight="1">
      <c r="A52" s="10"/>
      <c r="B52" s="10"/>
      <c r="C52" s="10"/>
      <c r="D52" s="10"/>
      <c r="E52" s="10"/>
      <c r="F52" s="9"/>
      <c r="G52" s="10"/>
      <c r="H52" s="10"/>
      <c r="I52" s="10"/>
      <c r="J52" s="2158"/>
      <c r="K52" s="2155"/>
      <c r="L52" s="2155"/>
      <c r="M52" s="2155"/>
      <c r="N52" s="10"/>
      <c r="O52" s="10"/>
      <c r="P52" s="10"/>
      <c r="Q52" s="10"/>
      <c r="R52" s="10"/>
    </row>
    <row r="53" spans="1:22" s="2157" customFormat="1" ht="18" customHeight="1">
      <c r="A53" s="10"/>
      <c r="B53" s="10"/>
      <c r="C53" s="10"/>
      <c r="D53" s="10"/>
      <c r="E53" s="10"/>
      <c r="F53" s="9"/>
      <c r="G53" s="10"/>
      <c r="H53" s="10"/>
      <c r="I53" s="10"/>
      <c r="J53" s="2158"/>
      <c r="K53" s="2155"/>
      <c r="L53" s="2155"/>
      <c r="M53" s="2155"/>
      <c r="N53" s="10"/>
      <c r="O53" s="10"/>
      <c r="P53" s="10"/>
      <c r="Q53" s="10"/>
      <c r="R53" s="10"/>
    </row>
    <row r="54" spans="1:22" s="2157" customFormat="1" ht="18" customHeight="1">
      <c r="A54" s="10"/>
      <c r="B54" s="10"/>
      <c r="C54" s="10"/>
      <c r="D54" s="10"/>
      <c r="E54" s="10"/>
      <c r="F54" s="9"/>
      <c r="G54" s="10"/>
      <c r="H54" s="10"/>
      <c r="I54" s="10"/>
      <c r="J54" s="2158"/>
      <c r="K54" s="2155"/>
      <c r="L54" s="2155"/>
      <c r="M54" s="2155"/>
      <c r="N54" s="10"/>
      <c r="O54" s="10"/>
      <c r="P54" s="10"/>
      <c r="Q54" s="10"/>
      <c r="R54" s="10"/>
    </row>
    <row r="55" spans="1:22" s="2157" customFormat="1" ht="18" customHeight="1">
      <c r="A55" s="10"/>
      <c r="B55" s="10"/>
      <c r="C55" s="10"/>
      <c r="D55" s="10"/>
      <c r="E55" s="10"/>
      <c r="F55" s="9"/>
      <c r="G55" s="10"/>
      <c r="H55" s="10"/>
      <c r="I55" s="10"/>
      <c r="J55" s="2158"/>
      <c r="K55" s="2155"/>
      <c r="L55" s="2155"/>
      <c r="M55" s="2155"/>
      <c r="N55" s="10"/>
      <c r="O55" s="10"/>
      <c r="P55" s="10"/>
      <c r="Q55" s="10"/>
      <c r="R55" s="10"/>
    </row>
    <row r="56" spans="1:22" s="2157" customFormat="1" ht="18" customHeight="1">
      <c r="A56" s="10"/>
      <c r="B56" s="10"/>
      <c r="C56" s="10"/>
      <c r="D56" s="10"/>
      <c r="E56" s="10"/>
      <c r="F56" s="9"/>
      <c r="G56" s="10"/>
      <c r="H56" s="10"/>
      <c r="I56" s="10"/>
      <c r="J56" s="2158"/>
      <c r="K56" s="2155"/>
      <c r="L56" s="2155"/>
      <c r="M56" s="2155"/>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8"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C30" sqref="C30"/>
    </sheetView>
  </sheetViews>
  <sheetFormatPr defaultColWidth="8.875" defaultRowHeight="14.25"/>
  <cols>
    <col min="1" max="1" width="10.625" style="2159" customWidth="1"/>
    <col min="2" max="2" width="11" style="2159" customWidth="1"/>
    <col min="3" max="3" width="10.375" style="2159" customWidth="1"/>
    <col min="4" max="4" width="9.125" style="2159" customWidth="1"/>
    <col min="5" max="6" width="10" style="2222" customWidth="1"/>
    <col min="7" max="8" width="10" style="2159" customWidth="1"/>
    <col min="9" max="9" width="10.625" style="2159" customWidth="1"/>
    <col min="10" max="10" width="9.5" style="2159" customWidth="1"/>
    <col min="11" max="11" width="11" style="2159" customWidth="1"/>
    <col min="12" max="14" width="9.5" style="2159" customWidth="1"/>
    <col min="15" max="15" width="9.875" style="2159" customWidth="1"/>
    <col min="16" max="16" width="9.75" style="2159" customWidth="1"/>
    <col min="17" max="17" width="9.375" style="2159" customWidth="1"/>
    <col min="18" max="18" width="9.25" style="2159" customWidth="1"/>
    <col min="19" max="19" width="10.875" style="2159" customWidth="1"/>
    <col min="20" max="21" width="10.75" style="2159" customWidth="1"/>
    <col min="22" max="22" width="10.875" style="2159" customWidth="1"/>
    <col min="23" max="27" width="10.75" style="2159" customWidth="1"/>
    <col min="28" max="28" width="10.875" style="2159" customWidth="1"/>
    <col min="29" max="29" width="11" style="2159" bestFit="1" customWidth="1"/>
    <col min="30" max="30" width="10" style="2159" bestFit="1" customWidth="1"/>
    <col min="31" max="31" width="9.75" style="2159" customWidth="1"/>
    <col min="32" max="46" width="9.5" style="2159" customWidth="1"/>
    <col min="47" max="47" width="18.125" style="2159" customWidth="1"/>
    <col min="48" max="50" width="9.75" style="2159" customWidth="1"/>
    <col min="51" max="55" width="10.5" style="2159" bestFit="1" customWidth="1"/>
    <col min="56" max="56" width="9.5" style="2159" bestFit="1" customWidth="1"/>
    <col min="57" max="63" width="9.125" style="2159" bestFit="1" customWidth="1"/>
    <col min="64" max="64" width="9.5" style="2159" bestFit="1" customWidth="1"/>
    <col min="65" max="65" width="9.125" style="2159" bestFit="1" customWidth="1"/>
    <col min="66" max="66" width="9.5" style="2159" bestFit="1" customWidth="1"/>
    <col min="67" max="69" width="9.125" style="2159" bestFit="1" customWidth="1"/>
    <col min="70" max="70" width="9.5" style="2159" bestFit="1" customWidth="1"/>
    <col min="71" max="71" width="9" style="2159" customWidth="1"/>
    <col min="72" max="72" width="9.125" style="2159" bestFit="1" customWidth="1"/>
    <col min="73" max="16384" width="8.875" style="2159"/>
  </cols>
  <sheetData>
    <row r="1" spans="1:72" ht="20.25">
      <c r="A1" s="2162" t="s">
        <v>1865</v>
      </c>
      <c r="B1" s="2030"/>
      <c r="C1" s="2030"/>
      <c r="D1" s="2030"/>
      <c r="E1" s="2030"/>
      <c r="F1" s="2030"/>
      <c r="G1" s="2030"/>
      <c r="H1" s="2030"/>
      <c r="I1" s="2030"/>
      <c r="J1" s="2030"/>
      <c r="K1" s="2030"/>
      <c r="L1" s="2030"/>
      <c r="M1" s="2030"/>
      <c r="N1" s="2030"/>
      <c r="O1" s="2030"/>
      <c r="P1" s="2030"/>
      <c r="Q1" s="2030"/>
      <c r="R1" s="2030"/>
      <c r="S1" s="2030"/>
      <c r="T1" s="2030"/>
      <c r="U1" s="2030"/>
      <c r="V1" s="2030"/>
      <c r="W1" s="2030"/>
      <c r="X1" s="2030"/>
      <c r="Y1" s="2030"/>
      <c r="Z1" s="2030"/>
      <c r="AA1" s="2030"/>
      <c r="AB1" s="2030"/>
      <c r="AC1" s="2030"/>
      <c r="AD1" s="2030"/>
      <c r="AE1" s="2030"/>
      <c r="AF1" s="2030"/>
      <c r="AG1" s="2030"/>
      <c r="AH1" s="2030"/>
      <c r="AI1" s="2030"/>
      <c r="AJ1" s="2030"/>
      <c r="AK1" s="2030"/>
      <c r="AL1" s="2030"/>
      <c r="AM1" s="2030"/>
      <c r="AN1" s="2030"/>
      <c r="AO1" s="2030"/>
      <c r="AP1" s="2030"/>
      <c r="AQ1" s="2030"/>
      <c r="AR1" s="2030"/>
      <c r="AS1" s="2030"/>
      <c r="AT1" s="2030"/>
      <c r="AU1" s="2030"/>
      <c r="AV1" s="2163" t="s">
        <v>1866</v>
      </c>
      <c r="AW1" s="2030"/>
      <c r="AX1" s="2030"/>
      <c r="AY1" s="2030"/>
      <c r="AZ1" s="2030"/>
      <c r="BA1" s="2030"/>
      <c r="BB1" s="2030"/>
      <c r="BC1" s="2030"/>
      <c r="BD1" s="2030"/>
      <c r="BE1" s="2030"/>
      <c r="BF1" s="2030"/>
      <c r="BG1" s="2030"/>
      <c r="BH1" s="2030"/>
      <c r="BI1" s="2030"/>
      <c r="BJ1" s="2030"/>
      <c r="BK1" s="2030"/>
      <c r="BL1" s="2030"/>
      <c r="BM1" s="2030"/>
      <c r="BN1" s="2030"/>
      <c r="BO1" s="2030"/>
      <c r="BP1" s="2030"/>
      <c r="BQ1" s="2030"/>
      <c r="BR1" s="2030"/>
      <c r="BS1" s="2030"/>
      <c r="BT1" s="2030"/>
    </row>
    <row r="2" spans="1:72" s="2167" customFormat="1" ht="24">
      <c r="A2" s="11" t="s">
        <v>1867</v>
      </c>
      <c r="B2" s="11" t="s">
        <v>1868</v>
      </c>
      <c r="C2" s="11" t="s">
        <v>1869</v>
      </c>
      <c r="D2" s="2164"/>
      <c r="E2" s="2165"/>
      <c r="F2" s="2166"/>
      <c r="G2" s="2164"/>
      <c r="H2" s="2164"/>
      <c r="I2" s="2164"/>
      <c r="J2" s="2164"/>
      <c r="K2" s="2164"/>
      <c r="L2" s="2164"/>
      <c r="M2" s="2164"/>
      <c r="N2" s="2164"/>
      <c r="O2" s="2164"/>
      <c r="P2" s="2164"/>
      <c r="Q2" s="2164"/>
      <c r="R2" s="2164"/>
      <c r="S2" s="2164"/>
      <c r="T2" s="2164"/>
      <c r="U2" s="2164"/>
      <c r="V2" s="2164"/>
      <c r="W2" s="2164"/>
      <c r="X2" s="2164"/>
      <c r="Y2" s="2164"/>
      <c r="Z2" s="2164"/>
      <c r="AA2" s="2164"/>
      <c r="AB2" s="2164"/>
      <c r="AC2" s="2164"/>
      <c r="AD2" s="2164"/>
      <c r="AE2" s="2164"/>
      <c r="AF2" s="2164"/>
      <c r="AG2" s="2164"/>
      <c r="AH2" s="2164"/>
      <c r="AI2" s="2164"/>
      <c r="AJ2" s="2164"/>
      <c r="AK2" s="2164"/>
      <c r="AL2" s="2164"/>
      <c r="AM2" s="2164"/>
      <c r="AN2" s="2164"/>
      <c r="AO2" s="2164"/>
      <c r="AP2" s="2164"/>
      <c r="AQ2" s="2164"/>
      <c r="AR2" s="2164"/>
      <c r="AS2" s="2164"/>
      <c r="AT2" s="2164"/>
      <c r="AU2" s="2164"/>
      <c r="AV2" s="2164"/>
      <c r="AW2" s="2164"/>
      <c r="AX2" s="2164"/>
      <c r="AY2" s="1269" t="s">
        <v>1870</v>
      </c>
      <c r="AZ2" s="1270" t="s">
        <v>1871</v>
      </c>
      <c r="BA2" s="11" t="s">
        <v>1872</v>
      </c>
      <c r="BB2" s="2164"/>
      <c r="BC2" s="2164"/>
      <c r="BD2" s="2164"/>
      <c r="BE2" s="2164"/>
      <c r="BF2" s="2164"/>
      <c r="BG2" s="2164"/>
      <c r="BH2" s="2164"/>
      <c r="BI2" s="2164"/>
      <c r="BJ2" s="2164"/>
      <c r="BK2" s="2164"/>
      <c r="BL2" s="2164"/>
      <c r="BM2" s="2164"/>
      <c r="BN2" s="2164"/>
      <c r="BO2" s="2164"/>
      <c r="BP2" s="2164"/>
      <c r="BQ2" s="2164"/>
      <c r="BR2" s="2164"/>
      <c r="BS2" s="2164"/>
      <c r="BT2" s="2164"/>
    </row>
    <row r="3" spans="1:72" s="2167" customFormat="1" ht="12.75">
      <c r="A3" s="13">
        <f>东!E3</f>
        <v>18455.759999999998</v>
      </c>
      <c r="B3" s="14">
        <f>IF(C3="否",G5-AT5,G5)</f>
        <v>27202.3</v>
      </c>
      <c r="C3" s="2168" t="s">
        <v>1873</v>
      </c>
      <c r="D3" s="2164"/>
      <c r="E3" s="2164"/>
      <c r="F3" s="2164"/>
      <c r="G3" s="2164"/>
      <c r="H3" s="2164"/>
      <c r="I3" s="2164"/>
      <c r="J3" s="2164"/>
      <c r="K3" s="2164"/>
      <c r="L3" s="2164"/>
      <c r="M3" s="2164"/>
      <c r="N3" s="2164"/>
      <c r="O3" s="2164"/>
      <c r="P3" s="2164"/>
      <c r="Q3" s="2164"/>
      <c r="R3" s="2164"/>
      <c r="S3" s="2164"/>
      <c r="T3" s="2164"/>
      <c r="U3" s="2164"/>
      <c r="V3" s="2164"/>
      <c r="W3" s="2164"/>
      <c r="X3" s="2164"/>
      <c r="Y3" s="2164"/>
      <c r="Z3" s="2164"/>
      <c r="AA3" s="2164"/>
      <c r="AB3" s="2164"/>
      <c r="AC3" s="2164"/>
      <c r="AD3" s="2164"/>
      <c r="AE3" s="2164"/>
      <c r="AF3" s="2164"/>
      <c r="AG3" s="2164"/>
      <c r="AH3" s="2164"/>
      <c r="AI3" s="2164"/>
      <c r="AJ3" s="2164"/>
      <c r="AK3" s="2164"/>
      <c r="AL3" s="2164"/>
      <c r="AM3" s="2164"/>
      <c r="AN3" s="2164"/>
      <c r="AO3" s="2164"/>
      <c r="AP3" s="2164"/>
      <c r="AQ3" s="2164"/>
      <c r="AR3" s="2164"/>
      <c r="AS3" s="2164"/>
      <c r="AT3" s="2164"/>
      <c r="AU3" s="2164"/>
      <c r="AV3" s="2164"/>
      <c r="AW3" s="2164"/>
      <c r="AX3" s="2164"/>
      <c r="AY3" s="1271"/>
      <c r="AZ3" s="1272"/>
      <c r="BA3" s="1273"/>
      <c r="BB3" s="2164"/>
      <c r="BC3" s="2164"/>
      <c r="BD3" s="2164"/>
      <c r="BE3" s="2164"/>
      <c r="BF3" s="2164"/>
      <c r="BG3" s="2164"/>
      <c r="BH3" s="2164"/>
      <c r="BI3" s="2164"/>
      <c r="BJ3" s="2164"/>
      <c r="BK3" s="2164"/>
      <c r="BL3" s="2164"/>
      <c r="BM3" s="2164"/>
      <c r="BN3" s="2164"/>
      <c r="BO3" s="2164"/>
      <c r="BP3" s="2164"/>
      <c r="BQ3" s="2164"/>
      <c r="BR3" s="2164"/>
      <c r="BS3" s="2164"/>
      <c r="BT3" s="2164"/>
    </row>
    <row r="4" spans="1:72" s="2173" customFormat="1" ht="13.5" thickBot="1">
      <c r="A4" s="2169"/>
      <c r="B4" s="2170"/>
      <c r="C4" s="2171"/>
      <c r="D4" s="2164"/>
      <c r="E4" s="2164"/>
      <c r="F4" s="2164"/>
      <c r="G4" s="2164"/>
      <c r="H4" s="2164"/>
      <c r="I4" s="2164"/>
      <c r="J4" s="2164"/>
      <c r="K4" s="2164"/>
      <c r="L4" s="2164"/>
      <c r="M4" s="2164"/>
      <c r="N4" s="2164"/>
      <c r="O4" s="2164"/>
      <c r="P4" s="2164"/>
      <c r="Q4" s="2164"/>
      <c r="R4" s="2164"/>
      <c r="S4" s="2164"/>
      <c r="T4" s="2164"/>
      <c r="U4" s="2164"/>
      <c r="V4" s="2164"/>
      <c r="W4" s="2164"/>
      <c r="X4" s="2164"/>
      <c r="Y4" s="2164"/>
      <c r="Z4" s="2164"/>
      <c r="AA4" s="2164"/>
      <c r="AB4" s="2164"/>
      <c r="AC4" s="2164"/>
      <c r="AD4" s="2164"/>
      <c r="AE4" s="2164"/>
      <c r="AF4" s="2164"/>
      <c r="AG4" s="2164"/>
      <c r="AH4" s="2164"/>
      <c r="AI4" s="2164"/>
      <c r="AJ4" s="2164"/>
      <c r="AK4" s="2164"/>
      <c r="AL4" s="2164"/>
      <c r="AM4" s="2164"/>
      <c r="AN4" s="2164"/>
      <c r="AO4" s="2164"/>
      <c r="AP4" s="2164"/>
      <c r="AQ4" s="2164"/>
      <c r="AR4" s="2164"/>
      <c r="AS4" s="2164"/>
      <c r="AT4" s="2164"/>
      <c r="AU4" s="2164"/>
      <c r="AV4" s="2164"/>
      <c r="AW4" s="2164"/>
      <c r="AX4" s="2164"/>
      <c r="AY4" s="2164"/>
      <c r="AZ4" s="2164"/>
      <c r="BA4" s="2172"/>
      <c r="BB4" s="2164"/>
      <c r="BC4" s="2164"/>
      <c r="BD4" s="2164"/>
      <c r="BE4" s="2164"/>
      <c r="BF4" s="2164"/>
      <c r="BG4" s="2164"/>
      <c r="BH4" s="2164"/>
      <c r="BI4" s="2164"/>
      <c r="BJ4" s="2164"/>
      <c r="BK4" s="2164"/>
      <c r="BL4" s="2164"/>
      <c r="BM4" s="2164"/>
      <c r="BN4" s="2164"/>
      <c r="BO4" s="2164"/>
      <c r="BP4" s="2164"/>
      <c r="BQ4" s="2164"/>
      <c r="BR4" s="2164"/>
      <c r="BS4" s="2164"/>
      <c r="BT4" s="2164"/>
    </row>
    <row r="5" spans="1:72" s="2167" customFormat="1" ht="12.75">
      <c r="A5" s="15" t="s">
        <v>1874</v>
      </c>
      <c r="B5" s="1803"/>
      <c r="C5" s="1803"/>
      <c r="D5" s="1806"/>
      <c r="E5" s="16" t="s">
        <v>1</v>
      </c>
      <c r="F5" s="16">
        <f>SUM(F13:F587)</f>
        <v>0</v>
      </c>
      <c r="G5" s="16">
        <f>SUM(G13:G587)</f>
        <v>27202.3</v>
      </c>
      <c r="H5" s="16">
        <f t="shared" ref="H5:AT5" si="0">SUM(H13:H656)</f>
        <v>27202.3</v>
      </c>
      <c r="I5" s="16">
        <f t="shared" si="0"/>
        <v>27202.3</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2"/>
      <c r="AV5" s="15" t="s">
        <v>1874</v>
      </c>
      <c r="AW5" s="1803"/>
      <c r="AX5" s="1803"/>
      <c r="AY5" s="17" t="s">
        <v>3</v>
      </c>
      <c r="AZ5" s="18">
        <f t="shared" ref="AZ5:BT5" si="1">SUM(AZ13:AZ656)</f>
        <v>27202.3</v>
      </c>
      <c r="BA5" s="18">
        <f t="shared" si="1"/>
        <v>27202.3</v>
      </c>
      <c r="BB5" s="18">
        <f t="shared" si="1"/>
        <v>27202.3</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7" customFormat="1" ht="12.75">
      <c r="A6" s="15" t="s">
        <v>1875</v>
      </c>
      <c r="B6" s="2174"/>
      <c r="C6" s="2174"/>
      <c r="D6" s="2175"/>
      <c r="E6" s="16">
        <f>H6+AC6+AT6</f>
        <v>18455.759999999998</v>
      </c>
      <c r="F6" s="16" t="s">
        <v>1</v>
      </c>
      <c r="G6" s="16" t="s">
        <v>2</v>
      </c>
      <c r="H6" s="20">
        <f>SUMIF(I$12:AB$12,"总值",I6:AB6)</f>
        <v>18455.759999999998</v>
      </c>
      <c r="I6" s="16">
        <f t="shared" ref="I6:AB6" si="2">ROUND($A$3*I5/$B$3,2)</f>
        <v>18455.759999999998</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6"/>
      <c r="AV6" s="15" t="s">
        <v>1875</v>
      </c>
      <c r="AW6" s="2174"/>
      <c r="AX6" s="2174"/>
      <c r="AY6" s="21">
        <f>IF(AY3&gt;0,AY3,ROUND($A$3*AZ5/$B$3,2))</f>
        <v>18455.759999999998</v>
      </c>
      <c r="AZ6" s="16" t="s">
        <v>3</v>
      </c>
      <c r="BA6" s="16">
        <f>ROUND($AY$6*BA5/$AZ$5,2)</f>
        <v>18455.759999999998</v>
      </c>
      <c r="BB6" s="16">
        <f>ROUND($AY$6*BB5/$AZ$5,2)</f>
        <v>18455.759999999998</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7" customFormat="1" ht="24.75">
      <c r="A7" s="2109" t="s">
        <v>1876</v>
      </c>
      <c r="B7" s="2109" t="s">
        <v>1877</v>
      </c>
      <c r="C7" s="2109" t="s">
        <v>1878</v>
      </c>
      <c r="D7" s="2109" t="s">
        <v>1879</v>
      </c>
      <c r="E7" s="2109" t="s">
        <v>1880</v>
      </c>
      <c r="F7" s="2109" t="s">
        <v>1881</v>
      </c>
      <c r="G7" s="2178" t="s">
        <v>1882</v>
      </c>
      <c r="H7" s="2179"/>
      <c r="I7" s="2179"/>
      <c r="J7" s="2179"/>
      <c r="K7" s="2179"/>
      <c r="L7" s="2179"/>
      <c r="M7" s="2179"/>
      <c r="N7" s="2179"/>
      <c r="O7" s="2179"/>
      <c r="P7" s="2179"/>
      <c r="Q7" s="2179"/>
      <c r="R7" s="2179"/>
      <c r="S7" s="2179"/>
      <c r="T7" s="2179"/>
      <c r="U7" s="2179"/>
      <c r="V7" s="2179"/>
      <c r="W7" s="2179"/>
      <c r="X7" s="2179"/>
      <c r="Y7" s="2179"/>
      <c r="Z7" s="2179"/>
      <c r="AA7" s="2179"/>
      <c r="AB7" s="2179"/>
      <c r="AC7" s="2179"/>
      <c r="AD7" s="2179"/>
      <c r="AE7" s="2179"/>
      <c r="AF7" s="2179"/>
      <c r="AG7" s="2179"/>
      <c r="AH7" s="2179"/>
      <c r="AI7" s="2179"/>
      <c r="AJ7" s="2179"/>
      <c r="AK7" s="2179"/>
      <c r="AL7" s="2179"/>
      <c r="AM7" s="2179"/>
      <c r="AN7" s="2179"/>
      <c r="AO7" s="2179"/>
      <c r="AP7" s="2179"/>
      <c r="AQ7" s="2179"/>
      <c r="AR7" s="2179"/>
      <c r="AS7" s="2179"/>
      <c r="AT7" s="1806"/>
      <c r="AU7" s="2179" t="s">
        <v>1883</v>
      </c>
      <c r="AV7" s="23" t="s">
        <v>1884</v>
      </c>
      <c r="AW7" s="2166" t="s">
        <v>1885</v>
      </c>
      <c r="AX7" s="23" t="s">
        <v>1878</v>
      </c>
      <c r="AY7" s="1803" t="s">
        <v>1886</v>
      </c>
      <c r="AZ7" s="2180"/>
      <c r="BA7" s="2179"/>
      <c r="BB7" s="2179"/>
      <c r="BC7" s="2179"/>
      <c r="BD7" s="2179"/>
      <c r="BE7" s="2179"/>
      <c r="BF7" s="2179"/>
      <c r="BG7" s="2179"/>
      <c r="BH7" s="2179"/>
      <c r="BI7" s="2179"/>
      <c r="BJ7" s="2179"/>
      <c r="BK7" s="2179"/>
      <c r="BL7" s="2179"/>
      <c r="BM7" s="2179"/>
      <c r="BN7" s="2179"/>
      <c r="BO7" s="2179"/>
      <c r="BP7" s="2179"/>
      <c r="BQ7" s="2179"/>
      <c r="BR7" s="2179"/>
      <c r="BS7" s="2179"/>
      <c r="BT7" s="2181"/>
    </row>
    <row r="8" spans="1:72" s="2189" customFormat="1" ht="24">
      <c r="A8" s="2182"/>
      <c r="B8" s="2182"/>
      <c r="C8" s="2182"/>
      <c r="D8" s="2182"/>
      <c r="E8" s="2182"/>
      <c r="F8" s="2182"/>
      <c r="G8" s="2183" t="s">
        <v>1887</v>
      </c>
      <c r="H8" s="2184" t="s">
        <v>1888</v>
      </c>
      <c r="I8" s="2185"/>
      <c r="J8" s="1818"/>
      <c r="K8" s="1818"/>
      <c r="L8" s="1818"/>
      <c r="M8" s="1818"/>
      <c r="N8" s="1818"/>
      <c r="O8" s="1818"/>
      <c r="P8" s="1818"/>
      <c r="Q8" s="1818"/>
      <c r="R8" s="1818"/>
      <c r="S8" s="1818"/>
      <c r="T8" s="1818"/>
      <c r="U8" s="1818"/>
      <c r="V8" s="2186"/>
      <c r="W8" s="1818"/>
      <c r="X8" s="1818"/>
      <c r="Y8" s="1818"/>
      <c r="Z8" s="1818"/>
      <c r="AA8" s="2186"/>
      <c r="AB8" s="2187"/>
      <c r="AC8" s="981" t="s">
        <v>1889</v>
      </c>
      <c r="AD8" s="2188"/>
      <c r="AE8" s="2180"/>
      <c r="AF8" s="1818"/>
      <c r="AG8" s="1818"/>
      <c r="AH8" s="1818"/>
      <c r="AI8" s="1818"/>
      <c r="AJ8" s="1818"/>
      <c r="AK8" s="1818"/>
      <c r="AL8" s="1818"/>
      <c r="AM8" s="1818"/>
      <c r="AN8" s="1818"/>
      <c r="AO8" s="1818"/>
      <c r="AP8" s="1818"/>
      <c r="AQ8" s="1818"/>
      <c r="AR8" s="1818"/>
      <c r="AS8" s="1818"/>
      <c r="AT8" s="1292" t="s">
        <v>1890</v>
      </c>
      <c r="AU8" s="2182" t="s">
        <v>1891</v>
      </c>
      <c r="AV8" s="1292"/>
      <c r="AW8" s="2165"/>
      <c r="AX8" s="1292"/>
      <c r="AY8" s="2166" t="s">
        <v>1892</v>
      </c>
      <c r="AZ8" s="1817" t="s">
        <v>1893</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89" customFormat="1" ht="12.75">
      <c r="A9" s="2182"/>
      <c r="B9" s="2182"/>
      <c r="C9" s="2182"/>
      <c r="D9" s="2182"/>
      <c r="E9" s="2182"/>
      <c r="F9" s="2182"/>
      <c r="G9" s="1292"/>
      <c r="H9" s="2190" t="s">
        <v>1894</v>
      </c>
      <c r="I9" s="2191" t="s">
        <v>3163</v>
      </c>
      <c r="J9" s="981"/>
      <c r="K9" s="2191"/>
      <c r="L9" s="981"/>
      <c r="M9" s="2191"/>
      <c r="N9" s="981"/>
      <c r="O9" s="2191"/>
      <c r="P9" s="981"/>
      <c r="Q9" s="2191"/>
      <c r="R9" s="981"/>
      <c r="S9" s="2191"/>
      <c r="T9" s="981"/>
      <c r="U9" s="2191"/>
      <c r="V9" s="981"/>
      <c r="W9" s="2191"/>
      <c r="X9" s="2192"/>
      <c r="Y9" s="2191"/>
      <c r="Z9" s="981"/>
      <c r="AA9" s="2191"/>
      <c r="AB9" s="981"/>
      <c r="AC9" s="2183" t="s">
        <v>1894</v>
      </c>
      <c r="AD9" s="15" t="s">
        <v>1895</v>
      </c>
      <c r="AE9" s="1298"/>
      <c r="AF9" s="15" t="s">
        <v>1896</v>
      </c>
      <c r="AG9" s="1298"/>
      <c r="AH9" s="15" t="s">
        <v>1895</v>
      </c>
      <c r="AI9" s="1298"/>
      <c r="AJ9" s="15" t="s">
        <v>1896</v>
      </c>
      <c r="AK9" s="1298"/>
      <c r="AL9" s="15" t="s">
        <v>1895</v>
      </c>
      <c r="AM9" s="1298"/>
      <c r="AN9" s="15" t="s">
        <v>1896</v>
      </c>
      <c r="AO9" s="1298"/>
      <c r="AP9" s="15" t="s">
        <v>1895</v>
      </c>
      <c r="AQ9" s="1298"/>
      <c r="AR9" s="15" t="s">
        <v>1896</v>
      </c>
      <c r="AS9" s="2193"/>
      <c r="AT9" s="2182"/>
      <c r="AU9" s="2182" t="s">
        <v>1897</v>
      </c>
      <c r="AV9" s="1292"/>
      <c r="AW9" s="2165"/>
      <c r="AX9" s="1292"/>
      <c r="AY9" s="28"/>
      <c r="AZ9" s="28" t="s">
        <v>1887</v>
      </c>
      <c r="BA9" s="2194" t="s">
        <v>1898</v>
      </c>
      <c r="BB9" s="2195"/>
      <c r="BC9" s="1338"/>
      <c r="BD9" s="1338"/>
      <c r="BE9" s="1338"/>
      <c r="BF9" s="1338"/>
      <c r="BG9" s="1338"/>
      <c r="BH9" s="1338"/>
      <c r="BI9" s="1338"/>
      <c r="BJ9" s="1338"/>
      <c r="BK9" s="2196"/>
      <c r="BL9" s="15" t="s">
        <v>1899</v>
      </c>
      <c r="BM9" s="1818"/>
      <c r="BN9" s="2185"/>
      <c r="BO9" s="1818"/>
      <c r="BP9" s="1818"/>
      <c r="BQ9" s="1818"/>
      <c r="BR9" s="1818"/>
      <c r="BS9" s="1818"/>
      <c r="BT9" s="26"/>
    </row>
    <row r="10" spans="1:72" s="2189" customFormat="1" ht="12.75">
      <c r="A10" s="2182"/>
      <c r="B10" s="2182"/>
      <c r="C10" s="2182"/>
      <c r="D10" s="2182"/>
      <c r="E10" s="2182"/>
      <c r="F10" s="2182"/>
      <c r="G10" s="1292"/>
      <c r="H10" s="28"/>
      <c r="I10" s="2191" t="s">
        <v>6</v>
      </c>
      <c r="J10" s="981"/>
      <c r="K10" s="2197"/>
      <c r="L10" s="981"/>
      <c r="M10" s="2197"/>
      <c r="N10" s="981"/>
      <c r="O10" s="2197"/>
      <c r="P10" s="981"/>
      <c r="Q10" s="2197"/>
      <c r="R10" s="981"/>
      <c r="S10" s="2197"/>
      <c r="T10" s="981"/>
      <c r="U10" s="2197"/>
      <c r="V10" s="981"/>
      <c r="W10" s="2197"/>
      <c r="X10" s="981"/>
      <c r="Y10" s="2197"/>
      <c r="Z10" s="981"/>
      <c r="AA10" s="2197"/>
      <c r="AB10" s="981"/>
      <c r="AC10" s="1292"/>
      <c r="AD10" s="15" t="s">
        <v>1900</v>
      </c>
      <c r="AE10" s="2198"/>
      <c r="AF10" s="15" t="s">
        <v>1900</v>
      </c>
      <c r="AG10" s="2198"/>
      <c r="AH10" s="15" t="s">
        <v>1901</v>
      </c>
      <c r="AI10" s="2198"/>
      <c r="AJ10" s="15" t="s">
        <v>1901</v>
      </c>
      <c r="AK10" s="2198"/>
      <c r="AL10" s="15" t="s">
        <v>1902</v>
      </c>
      <c r="AM10" s="1298"/>
      <c r="AN10" s="15" t="s">
        <v>1902</v>
      </c>
      <c r="AO10" s="1298"/>
      <c r="AP10" s="15" t="s">
        <v>1903</v>
      </c>
      <c r="AQ10" s="1298"/>
      <c r="AR10" s="15" t="s">
        <v>1903</v>
      </c>
      <c r="AS10" s="1298"/>
      <c r="AT10" s="2182"/>
      <c r="AU10" s="2182"/>
      <c r="AV10" s="1292"/>
      <c r="AW10" s="2165"/>
      <c r="AX10" s="1292"/>
      <c r="AY10" s="28"/>
      <c r="AZ10" s="28"/>
      <c r="BA10" s="2199" t="s">
        <v>1894</v>
      </c>
      <c r="BB10" s="2200" t="str">
        <f>I9</f>
        <v>地上</v>
      </c>
      <c r="BC10" s="29">
        <f>K9</f>
        <v>0</v>
      </c>
      <c r="BD10" s="29">
        <f>M9</f>
        <v>0</v>
      </c>
      <c r="BE10" s="29">
        <f>O9</f>
        <v>0</v>
      </c>
      <c r="BF10" s="29">
        <f>Q9</f>
        <v>0</v>
      </c>
      <c r="BG10" s="29">
        <f>S9</f>
        <v>0</v>
      </c>
      <c r="BH10" s="29">
        <f>U9</f>
        <v>0</v>
      </c>
      <c r="BI10" s="29">
        <f>W9</f>
        <v>0</v>
      </c>
      <c r="BJ10" s="29">
        <f>Y9</f>
        <v>0</v>
      </c>
      <c r="BK10" s="29">
        <f>AA9</f>
        <v>0</v>
      </c>
      <c r="BL10" s="25" t="s">
        <v>1894</v>
      </c>
      <c r="BM10" s="1817" t="str">
        <f>AD9</f>
        <v>地上</v>
      </c>
      <c r="BN10" s="29" t="str">
        <f>AF9</f>
        <v>地下</v>
      </c>
      <c r="BO10" s="1817" t="str">
        <f>AH9</f>
        <v>地上</v>
      </c>
      <c r="BP10" s="29" t="str">
        <f>AJ9</f>
        <v>地下</v>
      </c>
      <c r="BQ10" s="1817" t="str">
        <f>AL9</f>
        <v>地上</v>
      </c>
      <c r="BR10" s="29" t="str">
        <f>AN9</f>
        <v>地下</v>
      </c>
      <c r="BS10" s="1817" t="str">
        <f>AP9</f>
        <v>地上</v>
      </c>
      <c r="BT10" s="2201" t="str">
        <f>AR9</f>
        <v>地下</v>
      </c>
    </row>
    <row r="11" spans="1:72" s="2189" customFormat="1" ht="12.75">
      <c r="A11" s="2182"/>
      <c r="B11" s="2182"/>
      <c r="C11" s="2182"/>
      <c r="D11" s="2182"/>
      <c r="E11" s="2182"/>
      <c r="F11" s="2182"/>
      <c r="G11" s="1292"/>
      <c r="H11" s="2199"/>
      <c r="I11" s="2202"/>
      <c r="J11" s="2203"/>
      <c r="K11" s="2202"/>
      <c r="L11" s="2203"/>
      <c r="M11" s="2202"/>
      <c r="N11" s="2203"/>
      <c r="O11" s="2202"/>
      <c r="P11" s="2203"/>
      <c r="Q11" s="2202"/>
      <c r="R11" s="2203"/>
      <c r="S11" s="2202"/>
      <c r="T11" s="2203"/>
      <c r="U11" s="2202"/>
      <c r="V11" s="2203"/>
      <c r="W11" s="2202"/>
      <c r="X11" s="2203"/>
      <c r="Y11" s="2202"/>
      <c r="Z11" s="2203"/>
      <c r="AA11" s="2202"/>
      <c r="AB11" s="2203"/>
      <c r="AC11" s="1292"/>
      <c r="AD11" s="2204" t="s">
        <v>1904</v>
      </c>
      <c r="AE11" s="1819"/>
      <c r="AF11" s="2204" t="s">
        <v>1904</v>
      </c>
      <c r="AG11" s="1819"/>
      <c r="AH11" s="2204" t="s">
        <v>1905</v>
      </c>
      <c r="AI11" s="2205"/>
      <c r="AJ11" s="2204" t="s">
        <v>1905</v>
      </c>
      <c r="AK11" s="1819"/>
      <c r="AL11" s="1817"/>
      <c r="AM11" s="1819"/>
      <c r="AN11" s="1817"/>
      <c r="AO11" s="1819"/>
      <c r="AP11" s="1817"/>
      <c r="AQ11" s="1819"/>
      <c r="AR11" s="1817"/>
      <c r="AS11" s="1819"/>
      <c r="AT11" s="2165"/>
      <c r="AU11" s="2182"/>
      <c r="AV11" s="1292"/>
      <c r="AW11" s="2165"/>
      <c r="AX11" s="1292"/>
      <c r="AY11" s="28"/>
      <c r="AZ11" s="28"/>
      <c r="BA11" s="28"/>
      <c r="BB11" s="2187" t="str">
        <f>I10</f>
        <v>工业</v>
      </c>
      <c r="BC11" s="2187">
        <f>K10</f>
        <v>0</v>
      </c>
      <c r="BD11" s="2187">
        <f>M10</f>
        <v>0</v>
      </c>
      <c r="BE11" s="2187">
        <f>O10</f>
        <v>0</v>
      </c>
      <c r="BF11" s="2187">
        <f>Q10</f>
        <v>0</v>
      </c>
      <c r="BG11" s="2187">
        <f>S10</f>
        <v>0</v>
      </c>
      <c r="BH11" s="2187">
        <f>U10</f>
        <v>0</v>
      </c>
      <c r="BI11" s="2187">
        <f>W10</f>
        <v>0</v>
      </c>
      <c r="BJ11" s="2187">
        <f>Y10</f>
        <v>0</v>
      </c>
      <c r="BK11" s="2187">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6" t="str">
        <f>AR10</f>
        <v>未注明</v>
      </c>
    </row>
    <row r="12" spans="1:72" s="2167" customFormat="1" ht="12.75">
      <c r="A12" s="2207"/>
      <c r="B12" s="2207"/>
      <c r="C12" s="2207"/>
      <c r="D12" s="2207"/>
      <c r="E12" s="2207"/>
      <c r="F12" s="2207"/>
      <c r="G12" s="30"/>
      <c r="H12" s="2208"/>
      <c r="I12" s="1806" t="s">
        <v>1906</v>
      </c>
      <c r="J12" s="11" t="s">
        <v>1907</v>
      </c>
      <c r="K12" s="11" t="s">
        <v>1906</v>
      </c>
      <c r="L12" s="11" t="s">
        <v>1907</v>
      </c>
      <c r="M12" s="11" t="s">
        <v>1906</v>
      </c>
      <c r="N12" s="11" t="s">
        <v>1907</v>
      </c>
      <c r="O12" s="11" t="s">
        <v>1906</v>
      </c>
      <c r="P12" s="11" t="s">
        <v>1907</v>
      </c>
      <c r="Q12" s="11" t="s">
        <v>1906</v>
      </c>
      <c r="R12" s="11" t="s">
        <v>1907</v>
      </c>
      <c r="S12" s="11" t="s">
        <v>1906</v>
      </c>
      <c r="T12" s="11" t="s">
        <v>1907</v>
      </c>
      <c r="U12" s="11" t="s">
        <v>1906</v>
      </c>
      <c r="V12" s="1802" t="s">
        <v>1907</v>
      </c>
      <c r="W12" s="11" t="s">
        <v>1906</v>
      </c>
      <c r="X12" s="11" t="s">
        <v>1907</v>
      </c>
      <c r="Y12" s="11" t="s">
        <v>1906</v>
      </c>
      <c r="Z12" s="11" t="s">
        <v>1907</v>
      </c>
      <c r="AA12" s="11" t="s">
        <v>1906</v>
      </c>
      <c r="AB12" s="11" t="s">
        <v>1907</v>
      </c>
      <c r="AC12" s="2209"/>
      <c r="AD12" s="1806" t="s">
        <v>1906</v>
      </c>
      <c r="AE12" s="11" t="s">
        <v>1907</v>
      </c>
      <c r="AF12" s="11" t="s">
        <v>1906</v>
      </c>
      <c r="AG12" s="11" t="s">
        <v>1907</v>
      </c>
      <c r="AH12" s="11" t="s">
        <v>1906</v>
      </c>
      <c r="AI12" s="11" t="s">
        <v>1907</v>
      </c>
      <c r="AJ12" s="11" t="s">
        <v>1906</v>
      </c>
      <c r="AK12" s="11" t="s">
        <v>1907</v>
      </c>
      <c r="AL12" s="11" t="s">
        <v>1906</v>
      </c>
      <c r="AM12" s="11" t="s">
        <v>1907</v>
      </c>
      <c r="AN12" s="11" t="s">
        <v>1906</v>
      </c>
      <c r="AO12" s="11" t="s">
        <v>1907</v>
      </c>
      <c r="AP12" s="11" t="s">
        <v>1906</v>
      </c>
      <c r="AQ12" s="11" t="s">
        <v>1907</v>
      </c>
      <c r="AR12" s="30" t="s">
        <v>1906</v>
      </c>
      <c r="AS12" s="2207" t="s">
        <v>1907</v>
      </c>
      <c r="AT12" s="2210"/>
      <c r="AU12" s="2207"/>
      <c r="AV12" s="31"/>
      <c r="AW12" s="2166"/>
      <c r="AX12" s="31"/>
      <c r="AY12" s="2211"/>
      <c r="AZ12" s="28"/>
      <c r="BA12" s="2199"/>
      <c r="BB12" s="24">
        <f>I11</f>
        <v>0</v>
      </c>
      <c r="BC12" s="2212">
        <f>K11</f>
        <v>0</v>
      </c>
      <c r="BD12" s="2212">
        <f>M11</f>
        <v>0</v>
      </c>
      <c r="BE12" s="2187">
        <f>O11</f>
        <v>0</v>
      </c>
      <c r="BF12" s="2187">
        <f>Q11</f>
        <v>0</v>
      </c>
      <c r="BG12" s="2187">
        <f>S11</f>
        <v>0</v>
      </c>
      <c r="BH12" s="2187">
        <f>U11</f>
        <v>0</v>
      </c>
      <c r="BI12" s="2187">
        <f>W11</f>
        <v>0</v>
      </c>
      <c r="BJ12" s="2187">
        <f>Y11</f>
        <v>0</v>
      </c>
      <c r="BK12" s="2187">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6">
        <f>AR11</f>
        <v>0</v>
      </c>
    </row>
    <row r="13" spans="1:72" s="2167" customFormat="1" ht="12.75">
      <c r="A13" s="1272"/>
      <c r="B13" s="1272"/>
      <c r="C13" s="1272"/>
      <c r="D13" s="2213" t="s">
        <v>3050</v>
      </c>
      <c r="E13" s="16">
        <f>IF($C$3="是",ROUND($A$3*G13/$B$3,2),ROUND($A$3*(G13-AT13)/$B$3,2))</f>
        <v>18455.759999999998</v>
      </c>
      <c r="F13" s="32"/>
      <c r="G13" s="33">
        <f>H13+AC13+AT13</f>
        <v>27202.3</v>
      </c>
      <c r="H13" s="20">
        <f>SUMIF(I$12:AB$12,"总值",I13:AB13)</f>
        <v>27202.3</v>
      </c>
      <c r="I13" s="2214">
        <f>东!L24</f>
        <v>27202.3</v>
      </c>
      <c r="J13" s="2214"/>
      <c r="K13" s="2214"/>
      <c r="L13" s="2214"/>
      <c r="M13" s="2214"/>
      <c r="N13" s="2214"/>
      <c r="O13" s="2214"/>
      <c r="P13" s="2214"/>
      <c r="Q13" s="2214"/>
      <c r="R13" s="2214"/>
      <c r="S13" s="2214"/>
      <c r="T13" s="2214"/>
      <c r="U13" s="2214"/>
      <c r="V13" s="2214"/>
      <c r="W13" s="2214"/>
      <c r="X13" s="2214"/>
      <c r="Y13" s="2214"/>
      <c r="Z13" s="2214"/>
      <c r="AA13" s="2214"/>
      <c r="AB13" s="2214"/>
      <c r="AC13" s="16">
        <f>SUMIF(AD$12:AS$12,"总值",AD13:AS13)</f>
        <v>0</v>
      </c>
      <c r="AD13" s="2215"/>
      <c r="AE13" s="2215"/>
      <c r="AF13" s="2215"/>
      <c r="AG13" s="2215"/>
      <c r="AH13" s="2215"/>
      <c r="AI13" s="2215"/>
      <c r="AJ13" s="2215"/>
      <c r="AK13" s="2215"/>
      <c r="AL13" s="2215"/>
      <c r="AM13" s="2215"/>
      <c r="AN13" s="2215"/>
      <c r="AO13" s="2215"/>
      <c r="AP13" s="2215"/>
      <c r="AQ13" s="2215"/>
      <c r="AR13" s="2215"/>
      <c r="AS13" s="2215"/>
      <c r="AT13" s="2216"/>
      <c r="AU13" s="2217"/>
      <c r="AV13" s="11">
        <f t="shared" ref="AV13:AX17" si="6">A13</f>
        <v>0</v>
      </c>
      <c r="AW13" s="11">
        <f t="shared" si="6"/>
        <v>0</v>
      </c>
      <c r="AX13" s="11">
        <f t="shared" si="6"/>
        <v>0</v>
      </c>
      <c r="AY13" s="1806">
        <f>ROUND($AY$6*AZ13/$AZ$5,2)</f>
        <v>18455.759999999998</v>
      </c>
      <c r="AZ13" s="16">
        <f>BA13+BL13</f>
        <v>27202.3</v>
      </c>
      <c r="BA13" s="16">
        <f>SUM(BB13:BK13)</f>
        <v>27202.3</v>
      </c>
      <c r="BB13" s="16">
        <f>IF($D13="是",I13-J13,0)</f>
        <v>27202.3</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7" customFormat="1" ht="12.75">
      <c r="A14" s="1272"/>
      <c r="B14" s="1272"/>
      <c r="C14" s="2153"/>
      <c r="D14" s="2213"/>
      <c r="E14" s="16">
        <f>IF($C$3="是",ROUND($A$3*G14/$B$3,2),ROUND($A$3*(G14-AT14)/$B$3,2))</f>
        <v>0</v>
      </c>
      <c r="F14" s="32"/>
      <c r="G14" s="33">
        <f>H14+AC14+AT14</f>
        <v>0</v>
      </c>
      <c r="H14" s="20">
        <f>SUMIF(I$12:AB$12,"总值",I14:AB14)</f>
        <v>0</v>
      </c>
      <c r="I14" s="2214"/>
      <c r="J14" s="2214"/>
      <c r="K14" s="2214"/>
      <c r="L14" s="2214"/>
      <c r="M14" s="2214"/>
      <c r="N14" s="2214"/>
      <c r="O14" s="2214"/>
      <c r="P14" s="2214"/>
      <c r="Q14" s="2214"/>
      <c r="R14" s="2214"/>
      <c r="S14" s="2214"/>
      <c r="T14" s="2214"/>
      <c r="U14" s="2214"/>
      <c r="V14" s="2214"/>
      <c r="W14" s="2214"/>
      <c r="X14" s="2214"/>
      <c r="Y14" s="2214"/>
      <c r="Z14" s="2214"/>
      <c r="AA14" s="2214"/>
      <c r="AB14" s="2214"/>
      <c r="AC14" s="16">
        <f>SUMIF(AD$12:AS$12,"总值",AD14:AS14)</f>
        <v>0</v>
      </c>
      <c r="AD14" s="2215"/>
      <c r="AE14" s="2215"/>
      <c r="AF14" s="2215"/>
      <c r="AG14" s="2215"/>
      <c r="AH14" s="2215"/>
      <c r="AI14" s="2215"/>
      <c r="AJ14" s="2215"/>
      <c r="AK14" s="2215"/>
      <c r="AL14" s="2215"/>
      <c r="AM14" s="2215"/>
      <c r="AN14" s="2215"/>
      <c r="AO14" s="2215"/>
      <c r="AP14" s="2215"/>
      <c r="AQ14" s="2215"/>
      <c r="AR14" s="2215"/>
      <c r="AS14" s="2215"/>
      <c r="AT14" s="2216"/>
      <c r="AU14" s="2217"/>
      <c r="AV14" s="11">
        <f t="shared" si="6"/>
        <v>0</v>
      </c>
      <c r="AW14" s="11">
        <f t="shared" si="6"/>
        <v>0</v>
      </c>
      <c r="AX14" s="11">
        <f t="shared" si="6"/>
        <v>0</v>
      </c>
      <c r="AY14" s="1806">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7" customFormat="1" ht="12.75">
      <c r="A15" s="1272"/>
      <c r="B15" s="1272"/>
      <c r="C15" s="2153"/>
      <c r="D15" s="2213"/>
      <c r="E15" s="16">
        <f>IF($C$3="是",ROUND($A$3*G15/$B$3,2),ROUND($A$3*(G15-AT15)/$B$3,2))</f>
        <v>0</v>
      </c>
      <c r="F15" s="32"/>
      <c r="G15" s="33">
        <f>H15+AC15+AT15</f>
        <v>0</v>
      </c>
      <c r="H15" s="20">
        <f>SUMIF(I$12:AB$12,"总值",I15:AB15)</f>
        <v>0</v>
      </c>
      <c r="I15" s="2214"/>
      <c r="J15" s="2214"/>
      <c r="K15" s="2214"/>
      <c r="L15" s="2214"/>
      <c r="M15" s="2214"/>
      <c r="N15" s="2214"/>
      <c r="O15" s="2214"/>
      <c r="P15" s="2214"/>
      <c r="Q15" s="2214"/>
      <c r="R15" s="2214"/>
      <c r="S15" s="2214"/>
      <c r="T15" s="2214"/>
      <c r="U15" s="2214"/>
      <c r="V15" s="2214"/>
      <c r="W15" s="2214"/>
      <c r="X15" s="2214"/>
      <c r="Y15" s="2214"/>
      <c r="Z15" s="2214"/>
      <c r="AA15" s="2214"/>
      <c r="AB15" s="2214"/>
      <c r="AC15" s="16">
        <f>SUMIF(AD$12:AS$12,"总值",AD15:AS15)</f>
        <v>0</v>
      </c>
      <c r="AD15" s="2215"/>
      <c r="AE15" s="2215"/>
      <c r="AF15" s="2215"/>
      <c r="AG15" s="2215"/>
      <c r="AH15" s="2215"/>
      <c r="AI15" s="2215"/>
      <c r="AJ15" s="2215"/>
      <c r="AK15" s="2215"/>
      <c r="AL15" s="2215"/>
      <c r="AM15" s="2215"/>
      <c r="AN15" s="2215"/>
      <c r="AO15" s="2215"/>
      <c r="AP15" s="2215"/>
      <c r="AQ15" s="2215"/>
      <c r="AR15" s="2215"/>
      <c r="AS15" s="2215"/>
      <c r="AT15" s="2216"/>
      <c r="AU15" s="2217"/>
      <c r="AV15" s="11">
        <f t="shared" si="6"/>
        <v>0</v>
      </c>
      <c r="AW15" s="11">
        <f t="shared" si="6"/>
        <v>0</v>
      </c>
      <c r="AX15" s="11">
        <f t="shared" si="6"/>
        <v>0</v>
      </c>
      <c r="AY15" s="1806">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7" customFormat="1" ht="12.75">
      <c r="A16" s="1272"/>
      <c r="B16" s="1272"/>
      <c r="C16" s="2153"/>
      <c r="D16" s="2213"/>
      <c r="E16" s="16">
        <f>IF($C$3="是",ROUND($A$3*G16/$B$3,2),ROUND($A$3*(G16-AT16)/$B$3,2))</f>
        <v>0</v>
      </c>
      <c r="F16" s="32"/>
      <c r="G16" s="33">
        <f>H16+AC16+AT16</f>
        <v>0</v>
      </c>
      <c r="H16" s="20">
        <f>SUMIF(I$12:AB$12,"总值",I16:AB16)</f>
        <v>0</v>
      </c>
      <c r="I16" s="2214"/>
      <c r="J16" s="2214"/>
      <c r="K16" s="2214"/>
      <c r="L16" s="2214"/>
      <c r="M16" s="2214"/>
      <c r="N16" s="2214"/>
      <c r="O16" s="2214"/>
      <c r="P16" s="2214"/>
      <c r="Q16" s="2214"/>
      <c r="R16" s="2214"/>
      <c r="S16" s="2214"/>
      <c r="T16" s="2214"/>
      <c r="U16" s="2214"/>
      <c r="V16" s="2214"/>
      <c r="W16" s="2214"/>
      <c r="X16" s="2214"/>
      <c r="Y16" s="2214"/>
      <c r="Z16" s="2214"/>
      <c r="AA16" s="2214"/>
      <c r="AB16" s="2214"/>
      <c r="AC16" s="16">
        <f>SUMIF(AD$12:AS$12,"总值",AD16:AS16)</f>
        <v>0</v>
      </c>
      <c r="AD16" s="2215"/>
      <c r="AE16" s="2215"/>
      <c r="AF16" s="2215"/>
      <c r="AG16" s="2215"/>
      <c r="AH16" s="2215"/>
      <c r="AI16" s="2215"/>
      <c r="AJ16" s="2215"/>
      <c r="AK16" s="2215"/>
      <c r="AL16" s="2215"/>
      <c r="AM16" s="2215"/>
      <c r="AN16" s="2215"/>
      <c r="AO16" s="2215"/>
      <c r="AP16" s="2215"/>
      <c r="AQ16" s="2215"/>
      <c r="AR16" s="2215"/>
      <c r="AS16" s="2215"/>
      <c r="AT16" s="2216"/>
      <c r="AU16" s="2217"/>
      <c r="AV16" s="11">
        <f t="shared" si="6"/>
        <v>0</v>
      </c>
      <c r="AW16" s="11">
        <f t="shared" si="6"/>
        <v>0</v>
      </c>
      <c r="AX16" s="11">
        <f t="shared" si="6"/>
        <v>0</v>
      </c>
      <c r="AY16" s="1806">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7" customFormat="1" ht="12.75">
      <c r="A17" s="1272"/>
      <c r="B17" s="1272"/>
      <c r="C17" s="2153"/>
      <c r="D17" s="2213"/>
      <c r="E17" s="16">
        <f>IF($C$3="是",ROUND($A$3*G17/$B$3,2),ROUND($A$3*(G17-AT17)/$B$3,2))</f>
        <v>0</v>
      </c>
      <c r="F17" s="32"/>
      <c r="G17" s="33">
        <f>H17+AC17+AT17</f>
        <v>0</v>
      </c>
      <c r="H17" s="20">
        <f>SUMIF(I$12:AB$12,"总值",I17:AB17)</f>
        <v>0</v>
      </c>
      <c r="I17" s="2214"/>
      <c r="J17" s="2214"/>
      <c r="K17" s="2214"/>
      <c r="L17" s="2214"/>
      <c r="M17" s="2214"/>
      <c r="N17" s="2214"/>
      <c r="O17" s="2214"/>
      <c r="P17" s="2214"/>
      <c r="Q17" s="2214"/>
      <c r="R17" s="2214"/>
      <c r="S17" s="2214"/>
      <c r="T17" s="2214"/>
      <c r="U17" s="2214"/>
      <c r="V17" s="2214"/>
      <c r="W17" s="2214"/>
      <c r="X17" s="2214"/>
      <c r="Y17" s="2214"/>
      <c r="Z17" s="2214"/>
      <c r="AA17" s="2214"/>
      <c r="AB17" s="2214"/>
      <c r="AC17" s="16">
        <f>SUMIF(AD$12:AS$12,"总值",AD17:AS17)</f>
        <v>0</v>
      </c>
      <c r="AD17" s="2215"/>
      <c r="AE17" s="2215"/>
      <c r="AF17" s="2215"/>
      <c r="AG17" s="2215"/>
      <c r="AH17" s="2215"/>
      <c r="AI17" s="2215"/>
      <c r="AJ17" s="2215"/>
      <c r="AK17" s="2215"/>
      <c r="AL17" s="2215"/>
      <c r="AM17" s="2215"/>
      <c r="AN17" s="2215"/>
      <c r="AO17" s="2215"/>
      <c r="AP17" s="2215"/>
      <c r="AQ17" s="2215"/>
      <c r="AR17" s="2215"/>
      <c r="AS17" s="2215"/>
      <c r="AT17" s="2216"/>
      <c r="AU17" s="2217"/>
      <c r="AV17" s="11">
        <f t="shared" si="6"/>
        <v>0</v>
      </c>
      <c r="AW17" s="11">
        <f t="shared" si="6"/>
        <v>0</v>
      </c>
      <c r="AX17" s="11">
        <f t="shared" si="6"/>
        <v>0</v>
      </c>
      <c r="AY17" s="1806">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8"/>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9"/>
      <c r="AV18" s="1795">
        <f t="shared" ref="AV18:AV112" si="11">A18</f>
        <v>0</v>
      </c>
      <c r="AW18" s="1795">
        <f t="shared" ref="AW18:AW112" si="12">B18</f>
        <v>0</v>
      </c>
      <c r="AX18" s="1795">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8"/>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9"/>
      <c r="AV19" s="1795">
        <f t="shared" si="11"/>
        <v>0</v>
      </c>
      <c r="AW19" s="1795">
        <f t="shared" si="12"/>
        <v>0</v>
      </c>
      <c r="AX19" s="1795">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8"/>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9"/>
      <c r="AV20" s="1795">
        <f t="shared" si="11"/>
        <v>0</v>
      </c>
      <c r="AW20" s="1795">
        <f t="shared" si="12"/>
        <v>0</v>
      </c>
      <c r="AX20" s="1795">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8"/>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9"/>
      <c r="AV21" s="1795">
        <f t="shared" si="11"/>
        <v>0</v>
      </c>
      <c r="AW21" s="1795">
        <f t="shared" si="12"/>
        <v>0</v>
      </c>
      <c r="AX21" s="179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8"/>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9"/>
      <c r="AV22" s="1795">
        <f t="shared" si="11"/>
        <v>0</v>
      </c>
      <c r="AW22" s="1795">
        <f t="shared" si="12"/>
        <v>0</v>
      </c>
      <c r="AX22" s="179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8"/>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9"/>
      <c r="AV23" s="1795">
        <f t="shared" si="11"/>
        <v>0</v>
      </c>
      <c r="AW23" s="1795">
        <f t="shared" si="12"/>
        <v>0</v>
      </c>
      <c r="AX23" s="179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8"/>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9"/>
      <c r="AV24" s="1795">
        <f t="shared" si="11"/>
        <v>0</v>
      </c>
      <c r="AW24" s="1795">
        <f t="shared" si="12"/>
        <v>0</v>
      </c>
      <c r="AX24" s="179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8"/>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9"/>
      <c r="AV25" s="1795">
        <f t="shared" si="11"/>
        <v>0</v>
      </c>
      <c r="AW25" s="1795">
        <f t="shared" si="12"/>
        <v>0</v>
      </c>
      <c r="AX25" s="179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8"/>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9"/>
      <c r="AV26" s="1795">
        <f t="shared" si="11"/>
        <v>0</v>
      </c>
      <c r="AW26" s="1795">
        <f t="shared" si="12"/>
        <v>0</v>
      </c>
      <c r="AX26" s="179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8"/>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9"/>
      <c r="AV27" s="1795">
        <f t="shared" si="11"/>
        <v>0</v>
      </c>
      <c r="AW27" s="1795">
        <f t="shared" si="12"/>
        <v>0</v>
      </c>
      <c r="AX27" s="179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8"/>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9"/>
      <c r="AV28" s="1795">
        <f t="shared" si="11"/>
        <v>0</v>
      </c>
      <c r="AW28" s="1795">
        <f t="shared" si="12"/>
        <v>0</v>
      </c>
      <c r="AX28" s="179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8"/>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9"/>
      <c r="AV29" s="1795">
        <f t="shared" si="11"/>
        <v>0</v>
      </c>
      <c r="AW29" s="1795">
        <f t="shared" si="12"/>
        <v>0</v>
      </c>
      <c r="AX29" s="179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8"/>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9"/>
      <c r="AV30" s="1795">
        <f t="shared" si="11"/>
        <v>0</v>
      </c>
      <c r="AW30" s="1795">
        <f t="shared" si="12"/>
        <v>0</v>
      </c>
      <c r="AX30" s="179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8"/>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9"/>
      <c r="AV31" s="1795">
        <f t="shared" si="11"/>
        <v>0</v>
      </c>
      <c r="AW31" s="1795">
        <f t="shared" si="12"/>
        <v>0</v>
      </c>
      <c r="AX31" s="179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8"/>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9"/>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8"/>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9"/>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8"/>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9"/>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8"/>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9"/>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8"/>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9"/>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8"/>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9"/>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8"/>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9"/>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8"/>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9"/>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8"/>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9"/>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8"/>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9"/>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8"/>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9"/>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8"/>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9"/>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8"/>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9"/>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8"/>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9"/>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8"/>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9"/>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8"/>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9"/>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8"/>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9"/>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8"/>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9"/>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8"/>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9"/>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8"/>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9"/>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8"/>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9"/>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8"/>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9"/>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8"/>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9"/>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8"/>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9"/>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8"/>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9"/>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8"/>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9"/>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8"/>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9"/>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8"/>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9"/>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8"/>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9"/>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8"/>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9"/>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8"/>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9"/>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8"/>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9"/>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8"/>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9"/>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8"/>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9"/>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8"/>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9"/>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8"/>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9"/>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8"/>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9"/>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8"/>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9"/>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8"/>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9"/>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8"/>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9"/>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8"/>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9"/>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8"/>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9"/>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8"/>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9"/>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8"/>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9"/>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8"/>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9"/>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8"/>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9"/>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8"/>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9"/>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8"/>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9"/>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8"/>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9"/>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8"/>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9"/>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8"/>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9"/>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8"/>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9"/>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8"/>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9"/>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8"/>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9"/>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8"/>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9"/>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8"/>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9"/>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8"/>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9"/>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8"/>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9"/>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8"/>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9"/>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8"/>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9"/>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8"/>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9"/>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8"/>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9"/>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8"/>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9"/>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8"/>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9"/>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8"/>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9"/>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8"/>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9"/>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8"/>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9"/>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8"/>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9"/>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8"/>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9"/>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8"/>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9"/>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8"/>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9"/>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8"/>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9"/>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8"/>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9"/>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8"/>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9"/>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8"/>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9"/>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8"/>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9"/>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8"/>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9"/>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8"/>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9"/>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8"/>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4"/>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8"/>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4"/>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8"/>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4"/>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8"/>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9"/>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8"/>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9"/>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8"/>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9"/>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8"/>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9"/>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8"/>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9"/>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8"/>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9"/>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8"/>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9"/>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8"/>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9"/>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8"/>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9"/>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8"/>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9"/>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8"/>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9"/>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8"/>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9"/>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8"/>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9"/>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8"/>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9"/>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8"/>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9"/>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8"/>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9"/>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8"/>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9"/>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8"/>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9"/>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8"/>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9"/>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8"/>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9"/>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8"/>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9"/>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8"/>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9"/>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8"/>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9"/>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8"/>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9"/>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8"/>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9"/>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8"/>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9"/>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8"/>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9"/>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8"/>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9"/>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8"/>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9"/>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8"/>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9"/>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8"/>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9"/>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8"/>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9"/>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8"/>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9"/>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8"/>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9"/>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8"/>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9"/>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8"/>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9"/>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8"/>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9"/>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8"/>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9"/>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8"/>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9"/>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8"/>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9"/>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8"/>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9"/>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8"/>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9"/>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8"/>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9"/>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8"/>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9"/>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8"/>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9"/>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8"/>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9"/>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8"/>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9"/>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8"/>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9"/>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8"/>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9"/>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8"/>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9"/>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8"/>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9"/>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8"/>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9"/>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8"/>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9"/>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8"/>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9"/>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8"/>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9"/>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8"/>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9"/>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8"/>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9"/>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8"/>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9"/>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8"/>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9"/>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8"/>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9"/>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8"/>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9"/>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8"/>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9"/>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8"/>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9"/>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8"/>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9"/>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8"/>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9"/>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8"/>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9"/>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8"/>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9"/>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8"/>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9"/>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8"/>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9"/>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8"/>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9"/>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8"/>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9"/>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8"/>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9"/>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8"/>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9"/>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8"/>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9"/>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8"/>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9"/>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8"/>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9"/>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8"/>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9"/>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8"/>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9"/>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8"/>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9"/>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8"/>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9"/>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8"/>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9"/>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8"/>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9"/>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8"/>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9"/>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8"/>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9"/>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8"/>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9"/>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8"/>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9"/>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8"/>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9"/>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8"/>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9"/>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8"/>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9"/>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8"/>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9"/>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8"/>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9"/>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8"/>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9"/>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8"/>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4"/>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8"/>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4"/>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8"/>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4"/>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8"/>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9"/>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8"/>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9"/>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8"/>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9"/>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8"/>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9"/>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8"/>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9"/>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8"/>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9"/>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8"/>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9"/>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8"/>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9"/>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8"/>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9"/>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8"/>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9"/>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8"/>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9"/>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8"/>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9"/>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8"/>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9"/>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8"/>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9"/>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8"/>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9"/>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8"/>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9"/>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8"/>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9"/>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8"/>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9"/>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8"/>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9"/>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8"/>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9"/>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8"/>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9"/>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8"/>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9"/>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8"/>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9"/>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8"/>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9"/>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8"/>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9"/>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8"/>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9"/>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8"/>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9"/>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8"/>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9"/>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8"/>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9"/>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8"/>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9"/>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8"/>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9"/>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8"/>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9"/>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8"/>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9"/>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8"/>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9"/>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8"/>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9"/>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8"/>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9"/>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8"/>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9"/>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8"/>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9"/>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8"/>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9"/>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8"/>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9"/>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8"/>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9"/>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8"/>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9"/>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8"/>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9"/>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8"/>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9"/>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8"/>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9"/>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8"/>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9"/>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8"/>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9"/>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8"/>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9"/>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8"/>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9"/>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8"/>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9"/>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8"/>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9"/>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8"/>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9"/>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8"/>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9"/>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8"/>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9"/>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8"/>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9"/>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8"/>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9"/>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8"/>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9"/>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8"/>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9"/>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8"/>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9"/>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8"/>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9"/>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8"/>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9"/>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8"/>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9"/>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8"/>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9"/>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8"/>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9"/>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8"/>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9"/>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8"/>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9"/>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8"/>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9"/>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8"/>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9"/>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8"/>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9"/>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8"/>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9"/>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8"/>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9"/>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8"/>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9"/>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8"/>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9"/>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8"/>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9"/>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8"/>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9"/>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8"/>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9"/>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8"/>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9"/>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8"/>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9"/>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8"/>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9"/>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8"/>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9"/>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8"/>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9"/>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8"/>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9"/>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8"/>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9"/>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8"/>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9"/>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8"/>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9"/>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8"/>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9"/>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8"/>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9"/>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8"/>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9"/>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8"/>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9"/>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8"/>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9"/>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8"/>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9"/>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8"/>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9"/>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8"/>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4"/>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8"/>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4"/>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8"/>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4"/>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8"/>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9"/>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8"/>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9"/>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8"/>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9"/>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8"/>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9"/>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8"/>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9"/>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8"/>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9"/>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8"/>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9"/>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8"/>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9"/>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8"/>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9"/>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8"/>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9"/>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8"/>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9"/>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8"/>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9"/>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8"/>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9"/>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8"/>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9"/>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8"/>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9"/>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8"/>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9"/>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8"/>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9"/>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8"/>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9"/>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8"/>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9"/>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8"/>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9"/>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8"/>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9"/>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8"/>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9"/>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8"/>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9"/>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8"/>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9"/>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8"/>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9"/>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8"/>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9"/>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8"/>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9"/>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8"/>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9"/>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8"/>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9"/>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8"/>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9"/>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8"/>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9"/>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8"/>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9"/>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8"/>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9"/>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8"/>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9"/>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8"/>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9"/>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8"/>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9"/>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8"/>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9"/>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8"/>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9"/>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8"/>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9"/>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8"/>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9"/>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8"/>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9"/>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8"/>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9"/>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8"/>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9"/>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8"/>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9"/>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8"/>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9"/>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8"/>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9"/>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8"/>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9"/>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8"/>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9"/>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8"/>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9"/>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8"/>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9"/>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8"/>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9"/>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8"/>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9"/>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8"/>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9"/>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8"/>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9"/>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8"/>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9"/>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8"/>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9"/>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8"/>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9"/>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8"/>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9"/>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8"/>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9"/>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8"/>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9"/>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8"/>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9"/>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8"/>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9"/>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8"/>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9"/>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8"/>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9"/>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8"/>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9"/>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8"/>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9"/>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8"/>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9"/>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8"/>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9"/>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8"/>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9"/>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8"/>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9"/>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8"/>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9"/>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8"/>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9"/>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8"/>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9"/>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8"/>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9"/>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8"/>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9"/>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8"/>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9"/>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8"/>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9"/>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8"/>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9"/>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8"/>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9"/>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8"/>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9"/>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8"/>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9"/>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8"/>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9"/>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8"/>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9"/>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8"/>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9"/>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8"/>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9"/>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8"/>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9"/>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8"/>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9"/>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8"/>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9"/>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8"/>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9"/>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8"/>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9"/>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8"/>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9"/>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8"/>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9"/>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8"/>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4"/>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8"/>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4"/>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8"/>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4"/>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8"/>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9"/>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8"/>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9"/>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8"/>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9"/>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8"/>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9"/>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8"/>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9"/>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8"/>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9"/>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8"/>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9"/>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8"/>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9"/>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8"/>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9"/>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8"/>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9"/>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8"/>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9"/>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8"/>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9"/>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8"/>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9"/>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8"/>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9"/>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8"/>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9"/>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8"/>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9"/>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8"/>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9"/>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8"/>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9"/>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8"/>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9"/>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8"/>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9"/>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8"/>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9"/>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8"/>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9"/>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8"/>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9"/>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8"/>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9"/>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8"/>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9"/>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8"/>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9"/>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8"/>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9"/>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8"/>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9"/>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8"/>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9"/>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8"/>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9"/>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8"/>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9"/>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8"/>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9"/>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8"/>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9"/>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8"/>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9"/>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8"/>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9"/>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8"/>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9"/>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8"/>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9"/>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8"/>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9"/>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8"/>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9"/>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8"/>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9"/>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8"/>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9"/>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8"/>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9"/>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8"/>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9"/>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8"/>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9"/>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8"/>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9"/>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8"/>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9"/>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8"/>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9"/>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8"/>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9"/>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8"/>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9"/>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8"/>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9"/>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8"/>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9"/>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8"/>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9"/>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8"/>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9"/>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8"/>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9"/>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8"/>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9"/>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8"/>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9"/>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8"/>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9"/>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8"/>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9"/>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8"/>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9"/>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8"/>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9"/>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8"/>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9"/>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8"/>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9"/>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8"/>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9"/>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8"/>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9"/>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8"/>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9"/>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8"/>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9"/>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8"/>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9"/>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8"/>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9"/>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8"/>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9"/>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8"/>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9"/>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8"/>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9"/>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8"/>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9"/>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8"/>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9"/>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8"/>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9"/>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8"/>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9"/>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8"/>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9"/>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8"/>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9"/>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8"/>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9"/>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8"/>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9"/>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8"/>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9"/>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8"/>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9"/>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8"/>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9"/>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8"/>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9"/>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8"/>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9"/>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8"/>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9"/>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8"/>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9"/>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8"/>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9"/>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8"/>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9"/>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8"/>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9"/>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8"/>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9"/>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8"/>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9"/>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8"/>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9"/>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8"/>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4"/>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8"/>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4"/>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8"/>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4"/>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8"/>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9"/>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8"/>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9"/>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8"/>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9"/>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8"/>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9"/>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8"/>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9"/>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8"/>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9"/>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8"/>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9"/>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8"/>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9"/>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8"/>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9"/>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8"/>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9"/>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8"/>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9"/>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8"/>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9"/>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8"/>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9"/>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8"/>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9"/>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8"/>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9"/>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8"/>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9"/>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8"/>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9"/>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8"/>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9"/>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8"/>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9"/>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8"/>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9"/>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8"/>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9"/>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8"/>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9"/>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8"/>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9"/>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8"/>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9"/>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8"/>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9"/>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8"/>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9"/>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8"/>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9"/>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8"/>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9"/>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8"/>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9"/>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8"/>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9"/>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8"/>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9"/>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8"/>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9"/>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8"/>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9"/>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8"/>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9"/>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8"/>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9"/>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8"/>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9"/>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8"/>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9"/>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8"/>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9"/>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8"/>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9"/>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8"/>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9"/>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8"/>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9"/>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8"/>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9"/>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8"/>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9"/>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8"/>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9"/>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8"/>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9"/>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8"/>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9"/>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8"/>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9"/>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8"/>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9"/>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8"/>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9"/>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8"/>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9"/>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8"/>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9"/>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8"/>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9"/>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8"/>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9"/>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8"/>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9"/>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8"/>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9"/>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8"/>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9"/>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8"/>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9"/>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8"/>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9"/>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8"/>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9"/>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8"/>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9"/>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8"/>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9"/>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8"/>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9"/>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8"/>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9"/>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8"/>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9"/>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8"/>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9"/>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8"/>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9"/>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8"/>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9"/>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8"/>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9"/>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8"/>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9"/>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8"/>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9"/>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8"/>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9"/>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8"/>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9"/>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8"/>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9"/>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8"/>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9"/>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8"/>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9"/>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8"/>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9"/>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8"/>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9"/>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8"/>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9"/>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8"/>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9"/>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8"/>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9"/>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8"/>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9"/>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8"/>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9"/>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8"/>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9"/>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8"/>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9"/>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8"/>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9"/>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8"/>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9"/>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8"/>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9"/>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8"/>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9"/>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8"/>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9"/>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8"/>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9"/>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8"/>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9"/>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8"/>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9"/>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8"/>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4"/>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8"/>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4"/>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8"/>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4"/>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2" customFormat="1">
      <c r="A588" s="2220"/>
      <c r="B588" s="2220"/>
      <c r="C588" s="2220"/>
      <c r="D588" s="2220"/>
      <c r="E588" s="2221"/>
      <c r="F588" s="2221"/>
      <c r="G588" s="2220"/>
      <c r="H588" s="2221"/>
      <c r="I588" s="2221"/>
      <c r="J588" s="2221"/>
      <c r="K588" s="2221"/>
      <c r="L588" s="2221"/>
      <c r="M588" s="2221"/>
      <c r="N588" s="2221"/>
      <c r="O588" s="2221"/>
      <c r="P588" s="2221"/>
      <c r="Q588" s="2221"/>
      <c r="R588" s="2221"/>
      <c r="S588" s="2221"/>
      <c r="T588" s="2221"/>
      <c r="U588" s="2221"/>
      <c r="V588" s="2221"/>
      <c r="W588" s="2221"/>
      <c r="X588" s="2221"/>
      <c r="Y588" s="2221"/>
      <c r="Z588" s="2221"/>
      <c r="AA588" s="2221"/>
      <c r="AB588" s="2221"/>
      <c r="AC588" s="2221"/>
      <c r="AD588" s="2221"/>
      <c r="AE588" s="2221"/>
      <c r="AF588" s="2221"/>
      <c r="AG588" s="2221"/>
      <c r="AH588" s="2221"/>
      <c r="AI588" s="2221"/>
      <c r="AJ588" s="2221"/>
      <c r="AK588" s="2221"/>
      <c r="AL588" s="2221"/>
      <c r="AM588" s="2221"/>
      <c r="AN588" s="2221"/>
      <c r="AO588" s="2221"/>
      <c r="AP588" s="2221"/>
      <c r="AQ588" s="2221"/>
      <c r="AR588" s="2221"/>
      <c r="AS588" s="2221"/>
      <c r="AT588" s="2221"/>
      <c r="AU588" s="2220"/>
      <c r="AV588" s="2220"/>
      <c r="AW588" s="2220"/>
      <c r="AX588" s="2220"/>
    </row>
    <row r="589" spans="1:72" s="2223" customFormat="1">
      <c r="C589" s="2224"/>
      <c r="D589" s="2224"/>
    </row>
    <row r="590" spans="1:72" s="2223" customFormat="1">
      <c r="C590" s="2224"/>
      <c r="D590" s="2224"/>
    </row>
    <row r="593" spans="2:2">
      <c r="B593" s="2224"/>
    </row>
  </sheetData>
  <sheetProtection password="C66D" sheet="1" objects="1" scenarios="1" formatCells="0" formatColumns="0" formatRows="0"/>
  <phoneticPr fontId="5"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72" t="s">
        <v>0</v>
      </c>
      <c r="B1" s="3072" t="s">
        <v>4</v>
      </c>
      <c r="C1" s="3072" t="s">
        <v>5</v>
      </c>
      <c r="D1" s="3073" t="s">
        <v>53</v>
      </c>
      <c r="E1" s="3073" t="s">
        <v>54</v>
      </c>
      <c r="F1" s="3073"/>
      <c r="G1" s="3073"/>
      <c r="H1" s="3073"/>
      <c r="I1" s="3073"/>
      <c r="J1" s="3073"/>
      <c r="K1" s="3073"/>
      <c r="L1" s="3073"/>
      <c r="M1" s="3073"/>
    </row>
    <row r="2" spans="1:13" ht="27" customHeight="1">
      <c r="A2" s="3072"/>
      <c r="B2" s="3072"/>
      <c r="C2" s="3072"/>
      <c r="D2" s="3073"/>
      <c r="E2" s="3073" t="s">
        <v>37</v>
      </c>
      <c r="F2" s="3073" t="s">
        <v>38</v>
      </c>
      <c r="G2" s="3073"/>
      <c r="H2" s="3073"/>
      <c r="I2" s="3073"/>
      <c r="J2" s="3073" t="s">
        <v>39</v>
      </c>
      <c r="K2" s="3073"/>
      <c r="L2" s="3073"/>
      <c r="M2" s="3073"/>
    </row>
    <row r="3" spans="1:13" ht="28.5">
      <c r="A3" s="3072"/>
      <c r="B3" s="3072"/>
      <c r="C3" s="3072"/>
      <c r="D3" s="3073"/>
      <c r="E3" s="3073"/>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73" t="s">
        <v>55</v>
      </c>
      <c r="B9" s="3073"/>
      <c r="C9" s="3073"/>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4"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4"/>
  <sheetViews>
    <sheetView topLeftCell="A13" workbookViewId="0">
      <selection activeCell="I3" sqref="I3"/>
    </sheetView>
  </sheetViews>
  <sheetFormatPr defaultRowHeight="17.25"/>
  <cols>
    <col min="1" max="1" width="1.375" style="2954" customWidth="1"/>
    <col min="2" max="4" width="13.125" style="2953" customWidth="1"/>
    <col min="5" max="7" width="11.875" style="2953" customWidth="1"/>
    <col min="8" max="8" width="13" style="2953" customWidth="1"/>
    <col min="9" max="12" width="11.875" style="2953" customWidth="1"/>
    <col min="13" max="16384" width="9" style="2954"/>
  </cols>
  <sheetData>
    <row r="1" spans="2:15" ht="9" customHeight="1" thickBot="1"/>
    <row r="2" spans="2:15" ht="36" customHeight="1">
      <c r="B2" s="2955" t="s">
        <v>3064</v>
      </c>
      <c r="C2" s="2956" t="s">
        <v>3065</v>
      </c>
      <c r="D2" s="2956" t="s">
        <v>3066</v>
      </c>
      <c r="E2" s="2956" t="s">
        <v>3067</v>
      </c>
      <c r="F2" s="2957" t="s">
        <v>3068</v>
      </c>
      <c r="G2" s="2957" t="s">
        <v>3069</v>
      </c>
      <c r="H2" s="2956" t="s">
        <v>3070</v>
      </c>
      <c r="I2" s="2958" t="s">
        <v>3071</v>
      </c>
    </row>
    <row r="3" spans="2:15" ht="69" customHeight="1" thickBot="1">
      <c r="B3" s="2959" t="s">
        <v>3072</v>
      </c>
      <c r="C3" s="2960" t="s">
        <v>3073</v>
      </c>
      <c r="D3" s="2960" t="s">
        <v>3074</v>
      </c>
      <c r="E3" s="2960">
        <v>18455.759999999998</v>
      </c>
      <c r="F3" s="2961" t="s">
        <v>3075</v>
      </c>
      <c r="G3" s="2961" t="s">
        <v>3076</v>
      </c>
      <c r="H3" s="2960" t="s">
        <v>3077</v>
      </c>
      <c r="I3" s="2962">
        <v>53775</v>
      </c>
    </row>
    <row r="4" spans="2:15" ht="36" customHeight="1" thickBot="1"/>
    <row r="5" spans="2:15" ht="36" customHeight="1">
      <c r="B5" s="3080" t="s">
        <v>3078</v>
      </c>
      <c r="C5" s="3082" t="s">
        <v>3079</v>
      </c>
      <c r="D5" s="3082" t="s">
        <v>3080</v>
      </c>
      <c r="E5" s="3082" t="s">
        <v>3081</v>
      </c>
      <c r="F5" s="3082"/>
      <c r="G5" s="3082"/>
      <c r="H5" s="3082"/>
      <c r="I5" s="3082"/>
      <c r="J5" s="3082"/>
      <c r="K5" s="3084" t="s">
        <v>3082</v>
      </c>
      <c r="L5" s="3085"/>
    </row>
    <row r="6" spans="2:15" ht="36" customHeight="1">
      <c r="B6" s="3081"/>
      <c r="C6" s="3083"/>
      <c r="D6" s="3083"/>
      <c r="E6" s="2963" t="s">
        <v>3083</v>
      </c>
      <c r="F6" s="2964" t="s">
        <v>3084</v>
      </c>
      <c r="G6" s="2964" t="s">
        <v>3085</v>
      </c>
      <c r="H6" s="2963" t="s">
        <v>3086</v>
      </c>
      <c r="I6" s="2963" t="s">
        <v>3087</v>
      </c>
      <c r="J6" s="2963" t="s">
        <v>3088</v>
      </c>
      <c r="K6" s="2963" t="s">
        <v>3089</v>
      </c>
      <c r="L6" s="2965" t="s">
        <v>3087</v>
      </c>
    </row>
    <row r="7" spans="2:15" ht="36" customHeight="1">
      <c r="B7" s="3074" t="s">
        <v>3090</v>
      </c>
      <c r="C7" s="3077" t="s">
        <v>3091</v>
      </c>
      <c r="D7" s="3077" t="s">
        <v>3092</v>
      </c>
      <c r="E7" s="2966" t="s">
        <v>3093</v>
      </c>
      <c r="F7" s="2967" t="s">
        <v>3094</v>
      </c>
      <c r="G7" s="2967" t="s">
        <v>3095</v>
      </c>
      <c r="H7" s="2966" t="s">
        <v>3096</v>
      </c>
      <c r="I7" s="2966">
        <v>986</v>
      </c>
      <c r="J7" s="2966"/>
      <c r="K7" s="2968" t="s">
        <v>3097</v>
      </c>
      <c r="L7" s="2969">
        <f>I7</f>
        <v>986</v>
      </c>
      <c r="N7" s="2970" t="s">
        <v>3098</v>
      </c>
      <c r="O7" s="2970">
        <v>2017</v>
      </c>
    </row>
    <row r="8" spans="2:15" ht="36" customHeight="1">
      <c r="B8" s="3075"/>
      <c r="C8" s="3078"/>
      <c r="D8" s="3078"/>
      <c r="E8" s="2966" t="s">
        <v>3099</v>
      </c>
      <c r="F8" s="2967" t="s">
        <v>3100</v>
      </c>
      <c r="G8" s="2967" t="s">
        <v>3101</v>
      </c>
      <c r="H8" s="2966" t="s">
        <v>3102</v>
      </c>
      <c r="I8" s="2966">
        <v>44.6</v>
      </c>
      <c r="J8" s="2966"/>
      <c r="K8" s="2968" t="s">
        <v>3103</v>
      </c>
      <c r="L8" s="2969">
        <f t="shared" ref="L8:L23" si="0">I8</f>
        <v>44.6</v>
      </c>
      <c r="N8" s="2970" t="s">
        <v>3104</v>
      </c>
      <c r="O8" s="2970">
        <v>2010</v>
      </c>
    </row>
    <row r="9" spans="2:15" ht="36" customHeight="1">
      <c r="B9" s="3075"/>
      <c r="C9" s="3078"/>
      <c r="D9" s="3078"/>
      <c r="E9" s="2966" t="s">
        <v>3105</v>
      </c>
      <c r="F9" s="2967" t="s">
        <v>3106</v>
      </c>
      <c r="G9" s="2967" t="s">
        <v>3107</v>
      </c>
      <c r="H9" s="2966" t="s">
        <v>3108</v>
      </c>
      <c r="I9" s="2966">
        <v>2335.1</v>
      </c>
      <c r="J9" s="2966" t="s">
        <v>3109</v>
      </c>
      <c r="K9" s="2968" t="s">
        <v>3110</v>
      </c>
      <c r="L9" s="2969">
        <f t="shared" si="0"/>
        <v>2335.1</v>
      </c>
      <c r="N9" s="2970" t="s">
        <v>3111</v>
      </c>
      <c r="O9" s="2970">
        <v>2010</v>
      </c>
    </row>
    <row r="10" spans="2:15" ht="36" customHeight="1">
      <c r="B10" s="3075"/>
      <c r="C10" s="3078"/>
      <c r="D10" s="3078"/>
      <c r="E10" s="2966" t="s">
        <v>3112</v>
      </c>
      <c r="F10" s="2967" t="s">
        <v>3113</v>
      </c>
      <c r="G10" s="2967" t="s">
        <v>3114</v>
      </c>
      <c r="H10" s="2966" t="s">
        <v>3108</v>
      </c>
      <c r="I10" s="2966">
        <v>2676.5</v>
      </c>
      <c r="J10" s="2966"/>
      <c r="K10" s="2968" t="s">
        <v>3115</v>
      </c>
      <c r="L10" s="2969">
        <f t="shared" si="0"/>
        <v>2676.5</v>
      </c>
      <c r="N10" s="2970" t="s">
        <v>3116</v>
      </c>
      <c r="O10" s="2970">
        <v>2011</v>
      </c>
    </row>
    <row r="11" spans="2:15" ht="36" customHeight="1">
      <c r="B11" s="3075"/>
      <c r="C11" s="3078"/>
      <c r="D11" s="3078"/>
      <c r="E11" s="2966" t="s">
        <v>3117</v>
      </c>
      <c r="F11" s="2967" t="s">
        <v>3118</v>
      </c>
      <c r="G11" s="2967" t="s">
        <v>3119</v>
      </c>
      <c r="H11" s="2966" t="s">
        <v>3120</v>
      </c>
      <c r="I11" s="2966">
        <v>2171</v>
      </c>
      <c r="J11" s="2966" t="s">
        <v>3109</v>
      </c>
      <c r="K11" s="2968" t="s">
        <v>3121</v>
      </c>
      <c r="L11" s="2969">
        <f t="shared" si="0"/>
        <v>2171</v>
      </c>
      <c r="N11" s="2970" t="s">
        <v>3111</v>
      </c>
      <c r="O11" s="2970">
        <v>2011</v>
      </c>
    </row>
    <row r="12" spans="2:15" ht="36" customHeight="1">
      <c r="B12" s="3075"/>
      <c r="C12" s="3078"/>
      <c r="D12" s="3078"/>
      <c r="E12" s="2966" t="s">
        <v>3122</v>
      </c>
      <c r="F12" s="2967" t="s">
        <v>3094</v>
      </c>
      <c r="G12" s="2967" t="s">
        <v>3095</v>
      </c>
      <c r="H12" s="2966" t="s">
        <v>3108</v>
      </c>
      <c r="I12" s="2966">
        <v>1877.4</v>
      </c>
      <c r="J12" s="2966"/>
      <c r="K12" s="2968" t="s">
        <v>3123</v>
      </c>
      <c r="L12" s="2969">
        <f t="shared" si="0"/>
        <v>1877.4</v>
      </c>
      <c r="N12" s="2970" t="s">
        <v>3124</v>
      </c>
      <c r="O12" s="2970">
        <v>2013</v>
      </c>
    </row>
    <row r="13" spans="2:15" ht="36" customHeight="1">
      <c r="B13" s="3075"/>
      <c r="C13" s="3078"/>
      <c r="D13" s="3078"/>
      <c r="E13" s="2966" t="s">
        <v>3125</v>
      </c>
      <c r="F13" s="2967" t="s">
        <v>3126</v>
      </c>
      <c r="G13" s="2967" t="s">
        <v>3127</v>
      </c>
      <c r="H13" s="2966" t="s">
        <v>3120</v>
      </c>
      <c r="I13" s="2966">
        <v>6172</v>
      </c>
      <c r="J13" s="2966"/>
      <c r="K13" s="2968" t="s">
        <v>3128</v>
      </c>
      <c r="L13" s="2969">
        <f t="shared" si="0"/>
        <v>6172</v>
      </c>
      <c r="N13" s="2970" t="s">
        <v>3129</v>
      </c>
      <c r="O13" s="2970" t="s">
        <v>3130</v>
      </c>
    </row>
    <row r="14" spans="2:15" ht="36" customHeight="1">
      <c r="B14" s="3075"/>
      <c r="C14" s="3078"/>
      <c r="D14" s="3078"/>
      <c r="E14" s="2966" t="s">
        <v>3131</v>
      </c>
      <c r="F14" s="2967" t="s">
        <v>3132</v>
      </c>
      <c r="G14" s="2967" t="s">
        <v>3133</v>
      </c>
      <c r="H14" s="2966" t="s">
        <v>3108</v>
      </c>
      <c r="I14" s="2966">
        <v>8228.7000000000007</v>
      </c>
      <c r="J14" s="2966"/>
      <c r="K14" s="2968" t="s">
        <v>3134</v>
      </c>
      <c r="L14" s="2969">
        <f t="shared" si="0"/>
        <v>8228.7000000000007</v>
      </c>
      <c r="N14" s="2970" t="s">
        <v>3129</v>
      </c>
      <c r="O14" s="2970" t="s">
        <v>3130</v>
      </c>
    </row>
    <row r="15" spans="2:15" ht="36" customHeight="1">
      <c r="B15" s="3075"/>
      <c r="C15" s="3078"/>
      <c r="D15" s="3078"/>
      <c r="E15" s="2966" t="s">
        <v>3135</v>
      </c>
      <c r="F15" s="2967" t="s">
        <v>3094</v>
      </c>
      <c r="G15" s="2967" t="s">
        <v>3095</v>
      </c>
      <c r="H15" s="2966" t="s">
        <v>3108</v>
      </c>
      <c r="I15" s="2966">
        <v>102.1</v>
      </c>
      <c r="J15" s="2966"/>
      <c r="K15" s="2968" t="s">
        <v>3136</v>
      </c>
      <c r="L15" s="2969"/>
      <c r="N15" s="2970" t="s">
        <v>70</v>
      </c>
      <c r="O15" s="2970" t="s">
        <v>70</v>
      </c>
    </row>
    <row r="16" spans="2:15" ht="36" customHeight="1">
      <c r="B16" s="3075"/>
      <c r="C16" s="3078"/>
      <c r="D16" s="3078"/>
      <c r="E16" s="2966" t="s">
        <v>3137</v>
      </c>
      <c r="F16" s="2967" t="s">
        <v>3094</v>
      </c>
      <c r="G16" s="2967" t="s">
        <v>3095</v>
      </c>
      <c r="H16" s="2966" t="s">
        <v>3108</v>
      </c>
      <c r="I16" s="2966">
        <v>42.5</v>
      </c>
      <c r="J16" s="2966"/>
      <c r="K16" s="2968" t="s">
        <v>3136</v>
      </c>
      <c r="L16" s="2969"/>
      <c r="N16" s="2970" t="s">
        <v>70</v>
      </c>
      <c r="O16" s="2970" t="s">
        <v>70</v>
      </c>
    </row>
    <row r="17" spans="2:15" ht="36" customHeight="1">
      <c r="B17" s="3075"/>
      <c r="C17" s="3078"/>
      <c r="D17" s="3078"/>
      <c r="E17" s="2966" t="s">
        <v>3138</v>
      </c>
      <c r="F17" s="2967" t="s">
        <v>3139</v>
      </c>
      <c r="G17" s="2967" t="s">
        <v>3140</v>
      </c>
      <c r="H17" s="2966" t="s">
        <v>3141</v>
      </c>
      <c r="I17" s="2966">
        <v>21</v>
      </c>
      <c r="J17" s="2966"/>
      <c r="K17" s="2968" t="s">
        <v>3142</v>
      </c>
      <c r="L17" s="2969"/>
      <c r="N17" s="2970" t="s">
        <v>70</v>
      </c>
      <c r="O17" s="2970" t="s">
        <v>70</v>
      </c>
    </row>
    <row r="18" spans="2:15" ht="36" customHeight="1">
      <c r="B18" s="3075"/>
      <c r="C18" s="3078"/>
      <c r="D18" s="3078"/>
      <c r="E18" s="2966" t="s">
        <v>3143</v>
      </c>
      <c r="F18" s="2967" t="s">
        <v>3100</v>
      </c>
      <c r="G18" s="2967" t="s">
        <v>3101</v>
      </c>
      <c r="H18" s="2966" t="s">
        <v>3141</v>
      </c>
      <c r="I18" s="2966">
        <v>132.30000000000001</v>
      </c>
      <c r="J18" s="2966"/>
      <c r="K18" s="2968" t="s">
        <v>3144</v>
      </c>
      <c r="L18" s="2969">
        <f t="shared" si="0"/>
        <v>132.30000000000001</v>
      </c>
      <c r="N18" s="2970" t="s">
        <v>3145</v>
      </c>
      <c r="O18" s="2970">
        <v>2011</v>
      </c>
    </row>
    <row r="19" spans="2:15" ht="36" customHeight="1">
      <c r="B19" s="3075"/>
      <c r="C19" s="3078"/>
      <c r="D19" s="3078"/>
      <c r="E19" s="2966" t="s">
        <v>3146</v>
      </c>
      <c r="F19" s="2967" t="s">
        <v>3100</v>
      </c>
      <c r="G19" s="2967" t="s">
        <v>3101</v>
      </c>
      <c r="H19" s="2966" t="s">
        <v>3141</v>
      </c>
      <c r="I19" s="2966">
        <v>33.299999999999997</v>
      </c>
      <c r="J19" s="2966"/>
      <c r="K19" s="2968" t="s">
        <v>3147</v>
      </c>
      <c r="L19" s="2969">
        <f t="shared" si="0"/>
        <v>33.299999999999997</v>
      </c>
      <c r="N19" s="2970" t="s">
        <v>3145</v>
      </c>
      <c r="O19" s="2970"/>
    </row>
    <row r="20" spans="2:15" ht="36" customHeight="1">
      <c r="B20" s="3075"/>
      <c r="C20" s="3078"/>
      <c r="D20" s="3078"/>
      <c r="E20" s="2966" t="s">
        <v>3148</v>
      </c>
      <c r="F20" s="2967" t="s">
        <v>3100</v>
      </c>
      <c r="G20" s="2967" t="s">
        <v>3101</v>
      </c>
      <c r="H20" s="2966" t="s">
        <v>3141</v>
      </c>
      <c r="I20" s="2966">
        <v>98.8</v>
      </c>
      <c r="J20" s="2966"/>
      <c r="K20" s="2968" t="s">
        <v>3149</v>
      </c>
      <c r="L20" s="2969">
        <f t="shared" si="0"/>
        <v>98.8</v>
      </c>
      <c r="N20" s="2970" t="s">
        <v>3145</v>
      </c>
      <c r="O20" s="2970">
        <v>2011</v>
      </c>
    </row>
    <row r="21" spans="2:15" ht="36" customHeight="1">
      <c r="B21" s="3075"/>
      <c r="C21" s="3078"/>
      <c r="D21" s="3078"/>
      <c r="E21" s="2966" t="s">
        <v>3150</v>
      </c>
      <c r="F21" s="2967" t="s">
        <v>3151</v>
      </c>
      <c r="G21" s="2967" t="s">
        <v>3152</v>
      </c>
      <c r="H21" s="2966" t="s">
        <v>3141</v>
      </c>
      <c r="I21" s="2966">
        <v>1269.3</v>
      </c>
      <c r="J21" s="2966"/>
      <c r="K21" s="2968" t="s">
        <v>3153</v>
      </c>
      <c r="L21" s="2969">
        <f t="shared" si="0"/>
        <v>1269.3</v>
      </c>
      <c r="N21" s="2970"/>
      <c r="O21" s="2970" t="s">
        <v>3154</v>
      </c>
    </row>
    <row r="22" spans="2:15" ht="36" customHeight="1">
      <c r="B22" s="3075"/>
      <c r="C22" s="3078"/>
      <c r="D22" s="3078"/>
      <c r="E22" s="2966" t="s">
        <v>3155</v>
      </c>
      <c r="F22" s="2967" t="s">
        <v>3156</v>
      </c>
      <c r="G22" s="2967" t="s">
        <v>3157</v>
      </c>
      <c r="H22" s="2966" t="s">
        <v>3141</v>
      </c>
      <c r="I22" s="2966">
        <v>1038.8</v>
      </c>
      <c r="J22" s="2966"/>
      <c r="K22" s="2968" t="s">
        <v>3158</v>
      </c>
      <c r="L22" s="2969">
        <f t="shared" si="0"/>
        <v>1038.8</v>
      </c>
      <c r="N22" s="2970"/>
      <c r="O22" s="2970">
        <v>2012</v>
      </c>
    </row>
    <row r="23" spans="2:15" ht="36" customHeight="1">
      <c r="B23" s="3076"/>
      <c r="C23" s="3079"/>
      <c r="D23" s="3079"/>
      <c r="E23" s="2966" t="s">
        <v>3159</v>
      </c>
      <c r="F23" s="2967" t="s">
        <v>3100</v>
      </c>
      <c r="G23" s="2967" t="s">
        <v>3101</v>
      </c>
      <c r="H23" s="2966" t="s">
        <v>3141</v>
      </c>
      <c r="I23" s="2966">
        <v>138.5</v>
      </c>
      <c r="J23" s="2966"/>
      <c r="K23" s="2968" t="s">
        <v>3160</v>
      </c>
      <c r="L23" s="2969">
        <f t="shared" si="0"/>
        <v>138.5</v>
      </c>
      <c r="N23" s="2970" t="s">
        <v>3161</v>
      </c>
      <c r="O23" s="2970">
        <v>2011</v>
      </c>
    </row>
    <row r="24" spans="2:15" ht="36" customHeight="1" thickBot="1">
      <c r="B24" s="2959"/>
      <c r="C24" s="2960"/>
      <c r="D24" s="2960"/>
      <c r="E24" s="2960" t="s">
        <v>3162</v>
      </c>
      <c r="F24" s="2961"/>
      <c r="G24" s="2961"/>
      <c r="H24" s="2960"/>
      <c r="I24" s="2960">
        <f>SUM(I7:I23)</f>
        <v>27367.899999999998</v>
      </c>
      <c r="J24" s="2960"/>
      <c r="K24" s="2971" t="s">
        <v>3162</v>
      </c>
      <c r="L24" s="2972">
        <f>SUM(L7:L23)</f>
        <v>27202.3</v>
      </c>
    </row>
  </sheetData>
  <mergeCells count="8">
    <mergeCell ref="E5:J5"/>
    <mergeCell ref="K5:L5"/>
    <mergeCell ref="B7:B23"/>
    <mergeCell ref="C7:C23"/>
    <mergeCell ref="D7:D23"/>
    <mergeCell ref="B5:B6"/>
    <mergeCell ref="C5:C6"/>
    <mergeCell ref="D5:D6"/>
  </mergeCells>
  <phoneticPr fontId="145"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5"/>
  <sheetViews>
    <sheetView workbookViewId="0">
      <selection activeCell="E11" sqref="E11"/>
    </sheetView>
  </sheetViews>
  <sheetFormatPr defaultRowHeight="17.25"/>
  <cols>
    <col min="1" max="1" width="1.375" style="2954" customWidth="1"/>
    <col min="2" max="4" width="13.5" style="2977" customWidth="1"/>
    <col min="5" max="7" width="12.625" style="2977" customWidth="1"/>
    <col min="8" max="8" width="14.625" style="2977" customWidth="1"/>
    <col min="9" max="10" width="12.625" style="2977" customWidth="1"/>
    <col min="11" max="11" width="12.625" style="2953" customWidth="1"/>
    <col min="12" max="12" width="16.875" style="2953" bestFit="1" customWidth="1"/>
    <col min="13" max="13" width="12.625" style="2953" customWidth="1"/>
    <col min="14" max="16" width="9" style="2953"/>
    <col min="17" max="16384" width="9" style="2954"/>
  </cols>
  <sheetData>
    <row r="1" spans="2:16" ht="9.75" customHeight="1" thickBot="1"/>
    <row r="2" spans="2:16" ht="36" customHeight="1">
      <c r="B2" s="2955" t="s">
        <v>3064</v>
      </c>
      <c r="C2" s="2956" t="s">
        <v>3065</v>
      </c>
      <c r="D2" s="2956" t="s">
        <v>3066</v>
      </c>
      <c r="E2" s="2956" t="s">
        <v>3067</v>
      </c>
      <c r="F2" s="2957" t="s">
        <v>3068</v>
      </c>
      <c r="G2" s="2957" t="s">
        <v>3069</v>
      </c>
      <c r="H2" s="2956" t="s">
        <v>3070</v>
      </c>
      <c r="I2" s="2958" t="s">
        <v>3071</v>
      </c>
    </row>
    <row r="3" spans="2:16" ht="66" customHeight="1" thickBot="1">
      <c r="B3" s="2978" t="s">
        <v>3194</v>
      </c>
      <c r="C3" s="2979" t="s">
        <v>3195</v>
      </c>
      <c r="D3" s="2979" t="s">
        <v>3196</v>
      </c>
      <c r="E3" s="2979">
        <v>4638.1000000000004</v>
      </c>
      <c r="F3" s="2980" t="s">
        <v>3197</v>
      </c>
      <c r="G3" s="2980" t="s">
        <v>3198</v>
      </c>
      <c r="H3" s="2979" t="s">
        <v>3199</v>
      </c>
      <c r="I3" s="2981">
        <v>58034</v>
      </c>
    </row>
    <row r="4" spans="2:16" ht="36" customHeight="1" thickBot="1"/>
    <row r="5" spans="2:16" ht="36" customHeight="1">
      <c r="B5" s="3092" t="s">
        <v>3200</v>
      </c>
      <c r="C5" s="3094" t="s">
        <v>3201</v>
      </c>
      <c r="D5" s="3094" t="s">
        <v>3202</v>
      </c>
      <c r="E5" s="3094" t="s">
        <v>3203</v>
      </c>
      <c r="F5" s="3094"/>
      <c r="G5" s="3094"/>
      <c r="H5" s="3094"/>
      <c r="I5" s="3094"/>
      <c r="J5" s="3094"/>
      <c r="K5" s="3096" t="s">
        <v>3204</v>
      </c>
      <c r="L5" s="3097"/>
      <c r="M5" s="3098"/>
    </row>
    <row r="6" spans="2:16" ht="36" customHeight="1">
      <c r="B6" s="3093"/>
      <c r="C6" s="3095"/>
      <c r="D6" s="3095"/>
      <c r="E6" s="2982" t="s">
        <v>3205</v>
      </c>
      <c r="F6" s="2983" t="s">
        <v>3206</v>
      </c>
      <c r="G6" s="2983" t="s">
        <v>3207</v>
      </c>
      <c r="H6" s="2982" t="s">
        <v>3208</v>
      </c>
      <c r="I6" s="2982" t="s">
        <v>3209</v>
      </c>
      <c r="J6" s="2982" t="s">
        <v>3210</v>
      </c>
      <c r="K6" s="2963" t="s">
        <v>3211</v>
      </c>
      <c r="L6" s="2984" t="s">
        <v>3204</v>
      </c>
      <c r="M6" s="2985" t="s">
        <v>3209</v>
      </c>
      <c r="O6" s="2953" t="s">
        <v>3212</v>
      </c>
    </row>
    <row r="7" spans="2:16" ht="36" customHeight="1">
      <c r="B7" s="3086" t="s">
        <v>3213</v>
      </c>
      <c r="C7" s="3089" t="s">
        <v>3195</v>
      </c>
      <c r="D7" s="3089" t="s">
        <v>3214</v>
      </c>
      <c r="E7" s="2986" t="s">
        <v>3215</v>
      </c>
      <c r="F7" s="2986" t="s">
        <v>3216</v>
      </c>
      <c r="G7" s="2986" t="s">
        <v>3217</v>
      </c>
      <c r="H7" s="2986" t="s">
        <v>3218</v>
      </c>
      <c r="I7" s="2986">
        <v>289.60000000000002</v>
      </c>
      <c r="J7" s="2986"/>
      <c r="K7" s="2987" t="s">
        <v>3219</v>
      </c>
      <c r="L7" s="2988" t="s">
        <v>3220</v>
      </c>
      <c r="M7" s="2989">
        <f>I7</f>
        <v>289.60000000000002</v>
      </c>
    </row>
    <row r="8" spans="2:16" ht="36" customHeight="1">
      <c r="B8" s="3087"/>
      <c r="C8" s="3090"/>
      <c r="D8" s="3090"/>
      <c r="E8" s="2986" t="s">
        <v>3221</v>
      </c>
      <c r="F8" s="2986" t="s">
        <v>3106</v>
      </c>
      <c r="G8" s="2986" t="s">
        <v>3107</v>
      </c>
      <c r="H8" s="2986" t="s">
        <v>3222</v>
      </c>
      <c r="I8" s="2986">
        <v>1284.8</v>
      </c>
      <c r="J8" s="2986"/>
      <c r="K8" s="2987" t="s">
        <v>3223</v>
      </c>
      <c r="L8" s="2988" t="s">
        <v>3224</v>
      </c>
      <c r="M8" s="2989">
        <v>0</v>
      </c>
    </row>
    <row r="9" spans="2:16" ht="36" customHeight="1">
      <c r="B9" s="3087"/>
      <c r="C9" s="3090"/>
      <c r="D9" s="3090"/>
      <c r="E9" s="2986" t="s">
        <v>3225</v>
      </c>
      <c r="F9" s="2986" t="s">
        <v>3106</v>
      </c>
      <c r="G9" s="2986" t="s">
        <v>3107</v>
      </c>
      <c r="H9" s="2986" t="s">
        <v>3222</v>
      </c>
      <c r="I9" s="2986">
        <v>1876</v>
      </c>
      <c r="J9" s="2986"/>
      <c r="K9" s="2987" t="s">
        <v>3226</v>
      </c>
      <c r="L9" s="2988" t="s">
        <v>3227</v>
      </c>
      <c r="M9" s="2989">
        <f t="shared" ref="M9:M13" si="0">I9</f>
        <v>1876</v>
      </c>
      <c r="O9" s="2953" t="s">
        <v>3228</v>
      </c>
      <c r="P9" s="2953">
        <v>2010</v>
      </c>
    </row>
    <row r="10" spans="2:16" ht="36" customHeight="1">
      <c r="B10" s="3087"/>
      <c r="C10" s="3090"/>
      <c r="D10" s="3090"/>
      <c r="E10" s="2986" t="s">
        <v>3229</v>
      </c>
      <c r="F10" s="2986" t="s">
        <v>3230</v>
      </c>
      <c r="G10" s="2986" t="s">
        <v>3231</v>
      </c>
      <c r="H10" s="2986" t="s">
        <v>3232</v>
      </c>
      <c r="I10" s="2986">
        <v>154.19999999999999</v>
      </c>
      <c r="J10" s="2986"/>
      <c r="K10" s="2987" t="s">
        <v>3233</v>
      </c>
      <c r="L10" s="2988" t="s">
        <v>3234</v>
      </c>
      <c r="M10" s="2990">
        <f t="shared" si="0"/>
        <v>154.19999999999999</v>
      </c>
      <c r="P10" s="2953">
        <v>2010</v>
      </c>
    </row>
    <row r="11" spans="2:16" ht="36" customHeight="1">
      <c r="B11" s="3087"/>
      <c r="C11" s="3090"/>
      <c r="D11" s="3090"/>
      <c r="E11" s="2986" t="s">
        <v>3235</v>
      </c>
      <c r="F11" s="2986" t="s">
        <v>3230</v>
      </c>
      <c r="G11" s="2986" t="s">
        <v>3231</v>
      </c>
      <c r="H11" s="2986" t="s">
        <v>3232</v>
      </c>
      <c r="I11" s="2986">
        <v>203.9</v>
      </c>
      <c r="J11" s="2986"/>
      <c r="K11" s="2987" t="s">
        <v>3236</v>
      </c>
      <c r="L11" s="2988" t="s">
        <v>3234</v>
      </c>
      <c r="M11" s="2990">
        <f t="shared" si="0"/>
        <v>203.9</v>
      </c>
      <c r="P11" s="2953">
        <v>2012</v>
      </c>
    </row>
    <row r="12" spans="2:16" ht="36" customHeight="1">
      <c r="B12" s="3087"/>
      <c r="C12" s="3090"/>
      <c r="D12" s="3090"/>
      <c r="E12" s="2986" t="s">
        <v>3237</v>
      </c>
      <c r="F12" s="2986" t="s">
        <v>3230</v>
      </c>
      <c r="G12" s="2986" t="s">
        <v>3231</v>
      </c>
      <c r="H12" s="2986" t="s">
        <v>3232</v>
      </c>
      <c r="I12" s="2986">
        <v>57.7</v>
      </c>
      <c r="J12" s="2986"/>
      <c r="K12" s="2987" t="s">
        <v>3223</v>
      </c>
      <c r="L12" s="2988" t="s">
        <v>3238</v>
      </c>
      <c r="M12" s="2989">
        <v>0</v>
      </c>
      <c r="P12" s="2953" t="s">
        <v>3224</v>
      </c>
    </row>
    <row r="13" spans="2:16" ht="36" customHeight="1">
      <c r="B13" s="3088"/>
      <c r="C13" s="3091"/>
      <c r="D13" s="3091"/>
      <c r="E13" s="2986" t="s">
        <v>3239</v>
      </c>
      <c r="F13" s="2986" t="s">
        <v>3230</v>
      </c>
      <c r="G13" s="2986" t="s">
        <v>3231</v>
      </c>
      <c r="H13" s="2986" t="s">
        <v>3232</v>
      </c>
      <c r="I13" s="2986">
        <v>340.8</v>
      </c>
      <c r="J13" s="2986"/>
      <c r="K13" s="2987" t="s">
        <v>3240</v>
      </c>
      <c r="L13" s="2988" t="s">
        <v>3234</v>
      </c>
      <c r="M13" s="2990">
        <f t="shared" si="0"/>
        <v>340.8</v>
      </c>
      <c r="P13" s="2953">
        <v>2013</v>
      </c>
    </row>
    <row r="14" spans="2:16" ht="36" customHeight="1" thickBot="1">
      <c r="B14" s="2978"/>
      <c r="C14" s="2979"/>
      <c r="D14" s="2979"/>
      <c r="E14" s="2979" t="s">
        <v>3241</v>
      </c>
      <c r="F14" s="2979"/>
      <c r="G14" s="2979"/>
      <c r="H14" s="2979"/>
      <c r="I14" s="2979">
        <f>SUM(I7:I13)</f>
        <v>4207</v>
      </c>
      <c r="J14" s="2979"/>
      <c r="K14" s="2979" t="s">
        <v>3241</v>
      </c>
      <c r="L14" s="2991" t="s">
        <v>3223</v>
      </c>
      <c r="M14" s="2992">
        <f>SUM(M7:M13)</f>
        <v>2864.5</v>
      </c>
    </row>
    <row r="15" spans="2:16" ht="36" customHeight="1"/>
  </sheetData>
  <mergeCells count="8">
    <mergeCell ref="E5:J5"/>
    <mergeCell ref="K5:M5"/>
    <mergeCell ref="B7:B13"/>
    <mergeCell ref="C7:C13"/>
    <mergeCell ref="D7:D13"/>
    <mergeCell ref="B5:B6"/>
    <mergeCell ref="C5:C6"/>
    <mergeCell ref="D5:D6"/>
  </mergeCells>
  <phoneticPr fontId="145"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D13" sqref="D13"/>
    </sheetView>
  </sheetViews>
  <sheetFormatPr defaultColWidth="9.25" defaultRowHeight="14.25"/>
  <cols>
    <col min="1" max="1" width="12.125" style="2226" customWidth="1"/>
    <col min="2" max="2" width="10.25" style="2226" customWidth="1"/>
    <col min="3" max="3" width="18.5" style="2226" customWidth="1"/>
    <col min="4" max="4" width="11.625" style="2226" customWidth="1"/>
    <col min="5" max="5" width="13.375" style="2226" customWidth="1"/>
    <col min="6" max="8" width="11.5" style="2226" customWidth="1"/>
    <col min="9" max="9" width="11.125" style="2226" customWidth="1"/>
    <col min="10" max="10" width="3.125" style="2226" customWidth="1"/>
    <col min="11" max="16" width="10" style="2226" customWidth="1"/>
    <col min="17" max="17" width="2.625" style="2226" customWidth="1"/>
    <col min="18" max="18" width="9.375" style="2226" bestFit="1" customWidth="1"/>
    <col min="19" max="19" width="10.5" style="2226" bestFit="1" customWidth="1"/>
    <col min="20" max="16384" width="9.25" style="2226"/>
  </cols>
  <sheetData>
    <row r="1" spans="1:16" ht="18.75">
      <c r="A1" s="2225" t="s">
        <v>1933</v>
      </c>
      <c r="B1" s="1392"/>
      <c r="C1" s="1392"/>
      <c r="D1" s="1392"/>
      <c r="E1" s="1392"/>
      <c r="F1" s="1392"/>
      <c r="G1" s="1392"/>
      <c r="H1" s="1392"/>
      <c r="I1" s="1392"/>
      <c r="J1" s="1392"/>
      <c r="K1" s="1392"/>
      <c r="L1" s="1392"/>
      <c r="M1" s="1392"/>
      <c r="N1" s="1392"/>
      <c r="O1" s="1392"/>
      <c r="P1" s="1392"/>
    </row>
    <row r="2" spans="1:16" ht="15">
      <c r="A2" s="3108" t="s">
        <v>1934</v>
      </c>
      <c r="B2" s="3108"/>
      <c r="C2" s="3108"/>
      <c r="D2" s="967" t="s">
        <v>1910</v>
      </c>
      <c r="E2" s="2227" t="s">
        <v>1911</v>
      </c>
      <c r="F2" s="1392"/>
      <c r="G2" s="2228"/>
      <c r="H2" s="2229"/>
      <c r="I2" s="2230" t="s">
        <v>1935</v>
      </c>
      <c r="J2" s="1392"/>
      <c r="K2" s="1392"/>
      <c r="L2" s="1392"/>
      <c r="M2" s="1392"/>
      <c r="N2" s="1427"/>
      <c r="O2" s="1392"/>
      <c r="P2" s="1392"/>
    </row>
    <row r="3" spans="1:16" ht="15.75" thickBot="1">
      <c r="A3" s="3109" t="s">
        <v>1908</v>
      </c>
      <c r="B3" s="3109"/>
      <c r="C3" s="3109"/>
      <c r="D3" s="46">
        <f>'数据-基础表'!AY6</f>
        <v>18455.759999999998</v>
      </c>
      <c r="E3" s="46">
        <f>'数据-基础表'!AZ5</f>
        <v>27202.3</v>
      </c>
      <c r="F3" s="1392"/>
      <c r="G3" s="1399"/>
      <c r="H3" s="1247" t="s">
        <v>1909</v>
      </c>
      <c r="I3" s="55">
        <f>ROUND('数据-基础表'!B3/'数据-基础表'!A3,2)</f>
        <v>1.47</v>
      </c>
      <c r="J3" s="1392"/>
      <c r="K3" s="1392"/>
      <c r="L3" s="1392"/>
      <c r="M3" s="1392"/>
      <c r="N3" s="1427"/>
      <c r="O3" s="1392"/>
      <c r="P3" s="1392"/>
    </row>
    <row r="4" spans="1:16" ht="15">
      <c r="A4" s="3110"/>
      <c r="B4" s="3111"/>
      <c r="C4" s="3112"/>
      <c r="D4" s="2231" t="s">
        <v>1910</v>
      </c>
      <c r="E4" s="2232" t="s">
        <v>1911</v>
      </c>
      <c r="F4" s="1392"/>
      <c r="G4" s="2233" t="s">
        <v>1936</v>
      </c>
      <c r="H4" s="1247" t="s">
        <v>1916</v>
      </c>
      <c r="I4" s="55">
        <f>ROUND(SUMIF('数据-基础表'!I9:AS9,"地上",'数据-基础表'!I5:AS5)/'数据-基础表'!A3,2)</f>
        <v>1.47</v>
      </c>
      <c r="J4" s="1392"/>
      <c r="K4" s="1392"/>
      <c r="L4" s="1392"/>
      <c r="M4" s="1392"/>
      <c r="N4" s="1427"/>
      <c r="O4" s="1392"/>
      <c r="P4" s="1392"/>
    </row>
    <row r="5" spans="1:16">
      <c r="A5" s="47" t="s">
        <v>1912</v>
      </c>
      <c r="B5" s="3113" t="s">
        <v>1913</v>
      </c>
      <c r="C5" s="3113"/>
      <c r="D5" s="48">
        <f>ROUND($D$3*E5/$E$3,2)</f>
        <v>0</v>
      </c>
      <c r="E5" s="49">
        <f>SUMIF('数据-基础表'!$11:$11,"住宅",'数据-基础表'!$5:$5)</f>
        <v>0</v>
      </c>
      <c r="F5" s="1392"/>
      <c r="G5" s="1399"/>
      <c r="H5" s="1247" t="s">
        <v>1909</v>
      </c>
      <c r="I5" s="55">
        <f>ROUND(E31/D31,2)</f>
        <v>1.47</v>
      </c>
      <c r="J5" s="1392"/>
      <c r="K5" s="1392"/>
      <c r="L5" s="1392"/>
      <c r="M5" s="1392"/>
      <c r="N5" s="1392"/>
      <c r="O5" s="1392"/>
      <c r="P5" s="1392"/>
    </row>
    <row r="6" spans="1:16" ht="15" thickBot="1">
      <c r="A6" s="2234"/>
      <c r="B6" s="3113" t="s">
        <v>1914</v>
      </c>
      <c r="C6" s="3113"/>
      <c r="D6" s="48">
        <f>ROUND($D$3*E6/$E$3,2)</f>
        <v>18455.759999999998</v>
      </c>
      <c r="E6" s="49">
        <f>E3-E5</f>
        <v>27202.3</v>
      </c>
      <c r="F6" s="1392"/>
      <c r="G6" s="2235" t="s">
        <v>1915</v>
      </c>
      <c r="H6" s="1399" t="s">
        <v>1916</v>
      </c>
      <c r="I6" s="939">
        <f>ROUND(F31/D31,2)</f>
        <v>1.47</v>
      </c>
      <c r="J6" s="1392"/>
      <c r="K6" s="1392"/>
      <c r="L6" s="1392"/>
      <c r="M6" s="1392"/>
      <c r="N6" s="1392"/>
      <c r="O6" s="1392"/>
      <c r="P6" s="1392"/>
    </row>
    <row r="7" spans="1:16" ht="15">
      <c r="A7" s="3105"/>
      <c r="B7" s="3106"/>
      <c r="C7" s="3107"/>
      <c r="D7" s="2231" t="s">
        <v>1910</v>
      </c>
      <c r="E7" s="2236" t="s">
        <v>1917</v>
      </c>
      <c r="F7" s="1392"/>
      <c r="G7" s="2228" t="s">
        <v>1918</v>
      </c>
      <c r="H7" s="64"/>
      <c r="I7" s="420"/>
      <c r="J7" s="1392"/>
      <c r="K7" s="1392"/>
      <c r="L7" s="1392"/>
      <c r="M7" s="1392"/>
      <c r="N7" s="1392"/>
      <c r="O7" s="1392"/>
      <c r="P7" s="1392"/>
    </row>
    <row r="8" spans="1:16">
      <c r="A8" s="47" t="s">
        <v>1919</v>
      </c>
      <c r="B8" s="50" t="s">
        <v>1920</v>
      </c>
      <c r="C8" s="48" t="s">
        <v>1921</v>
      </c>
      <c r="D8" s="48">
        <f t="shared" ref="D8:D15" si="0">ROUND($D$3*E8/$E$3,2)</f>
        <v>18455.759999999998</v>
      </c>
      <c r="E8" s="51">
        <f>SUMIF('数据-基础表'!BB10:BK10,"地上",'数据-基础表'!BB5:BK5)</f>
        <v>27202.3</v>
      </c>
      <c r="F8" s="1392"/>
      <c r="G8" s="2237"/>
      <c r="H8" s="2237"/>
      <c r="I8" s="1392"/>
      <c r="J8" s="1392"/>
      <c r="K8" s="1392"/>
      <c r="L8" s="1392"/>
      <c r="M8" s="1392"/>
      <c r="N8" s="1392"/>
      <c r="O8" s="1392"/>
      <c r="P8" s="1392"/>
    </row>
    <row r="9" spans="1:16">
      <c r="A9" s="2238"/>
      <c r="B9" s="2239"/>
      <c r="C9" s="48" t="s">
        <v>1922</v>
      </c>
      <c r="D9" s="48">
        <f t="shared" si="0"/>
        <v>0</v>
      </c>
      <c r="E9" s="52">
        <v>0</v>
      </c>
      <c r="F9" s="1392"/>
      <c r="G9" s="2237"/>
      <c r="H9" s="2237"/>
      <c r="I9" s="1392"/>
      <c r="J9" s="1392"/>
      <c r="K9" s="1392"/>
      <c r="L9" s="1392"/>
      <c r="M9" s="1392"/>
      <c r="N9" s="1392"/>
      <c r="O9" s="1392"/>
      <c r="P9" s="1392"/>
    </row>
    <row r="10" spans="1:16">
      <c r="A10" s="2238"/>
      <c r="B10" s="2239"/>
      <c r="C10" s="48" t="s">
        <v>1931</v>
      </c>
      <c r="D10" s="48">
        <f t="shared" si="0"/>
        <v>0</v>
      </c>
      <c r="E10" s="51">
        <f>SUMPRODUCT(('数据-基础表'!BB10:BK10="地下")*('数据-基础表'!BB11:BK11="商业")*('数据-基础表'!BB5:BK5))</f>
        <v>0</v>
      </c>
      <c r="F10" s="1392"/>
      <c r="G10" s="2237"/>
      <c r="H10" s="2237"/>
      <c r="I10" s="1392"/>
      <c r="J10" s="1392"/>
      <c r="K10" s="1392"/>
      <c r="L10" s="1392"/>
      <c r="M10" s="1392"/>
      <c r="N10" s="1392"/>
      <c r="O10" s="1392"/>
      <c r="P10" s="1392"/>
    </row>
    <row r="11" spans="1:16">
      <c r="A11" s="2238"/>
      <c r="B11" s="2239"/>
      <c r="C11" s="48" t="s">
        <v>1923</v>
      </c>
      <c r="D11" s="48">
        <f t="shared" si="0"/>
        <v>0</v>
      </c>
      <c r="E11" s="51">
        <f>SUMPRODUCT(('数据-基础表'!BB10:BK10="地下")*('数据-基础表'!BB11:BK11="办公")*('数据-基础表'!BB5:BK5))+'数据-基础表'!BP5</f>
        <v>0</v>
      </c>
      <c r="F11" s="1392"/>
      <c r="G11" s="2237"/>
      <c r="H11" s="2237"/>
      <c r="I11" s="1392"/>
      <c r="J11" s="1392"/>
      <c r="K11" s="1392"/>
      <c r="L11" s="1392"/>
      <c r="M11" s="1392"/>
      <c r="N11" s="1392"/>
      <c r="O11" s="1392"/>
      <c r="P11" s="1392"/>
    </row>
    <row r="12" spans="1:16">
      <c r="A12" s="2238"/>
      <c r="B12" s="2239"/>
      <c r="C12" s="48" t="s">
        <v>1924</v>
      </c>
      <c r="D12" s="48">
        <f t="shared" si="0"/>
        <v>0</v>
      </c>
      <c r="E12" s="51">
        <f>SUMPRODUCT(('数据-基础表'!BB10:BK10="地下")*('数据-基础表'!BB11:BK11="仓储")*('数据-基础表'!BB5:BK5))</f>
        <v>0</v>
      </c>
      <c r="F12" s="1392"/>
      <c r="G12" s="2237"/>
      <c r="H12" s="2237"/>
      <c r="I12" s="1392"/>
      <c r="J12" s="1392"/>
      <c r="K12" s="1392"/>
      <c r="L12" s="1392"/>
      <c r="M12" s="1392"/>
      <c r="N12" s="1392"/>
      <c r="O12" s="1392"/>
      <c r="P12" s="1392"/>
    </row>
    <row r="13" spans="1:16">
      <c r="A13" s="2238"/>
      <c r="B13" s="2239"/>
      <c r="C13" s="48" t="s">
        <v>1925</v>
      </c>
      <c r="D13" s="48">
        <f t="shared" si="0"/>
        <v>0</v>
      </c>
      <c r="E13" s="51">
        <f>SUMPRODUCT(('数据-基础表'!BB10:BK10="地下")*('数据-基础表'!BB11:BK11="车库")*('数据-基础表'!BB5:BK5))</f>
        <v>0</v>
      </c>
      <c r="F13" s="1392"/>
      <c r="G13" s="2237"/>
      <c r="H13" s="2237"/>
      <c r="I13" s="1392"/>
      <c r="J13" s="1392"/>
      <c r="K13" s="1392"/>
      <c r="L13" s="1392"/>
      <c r="M13" s="1392"/>
      <c r="N13" s="1392"/>
      <c r="O13" s="1392"/>
      <c r="P13" s="1392"/>
    </row>
    <row r="14" spans="1:16">
      <c r="A14" s="2238"/>
      <c r="B14" s="2239"/>
      <c r="C14" s="48" t="s">
        <v>1937</v>
      </c>
      <c r="D14" s="48">
        <f t="shared" si="0"/>
        <v>0</v>
      </c>
      <c r="E14" s="51">
        <f>SUMPRODUCT(('数据-基础表'!BB10:BK10="地下")*('数据-基础表'!BB11:BK11="车库—商业")*('数据-基础表'!BB5:BK5))</f>
        <v>0</v>
      </c>
      <c r="F14" s="1392"/>
      <c r="G14" s="2237"/>
      <c r="H14" s="2237"/>
      <c r="I14" s="1392"/>
      <c r="J14" s="1392"/>
      <c r="K14" s="1392"/>
      <c r="L14" s="1392"/>
      <c r="M14" s="1392"/>
      <c r="N14" s="1392"/>
      <c r="O14" s="1392"/>
      <c r="P14" s="1392"/>
    </row>
    <row r="15" spans="1:16" ht="15" thickBot="1">
      <c r="A15" s="2238"/>
      <c r="B15" s="2239"/>
      <c r="C15" s="48" t="s">
        <v>1932</v>
      </c>
      <c r="D15" s="48">
        <f t="shared" si="0"/>
        <v>0</v>
      </c>
      <c r="E15" s="51">
        <f>SUMPRODUCT(('数据-基础表'!BB10:BK10="地下")*('数据-基础表'!BB11:BK11="车库—办公")*('数据-基础表'!BB5:BK5))</f>
        <v>0</v>
      </c>
      <c r="F15" s="1392"/>
      <c r="G15" s="2237"/>
      <c r="H15" s="2237"/>
      <c r="I15" s="1392"/>
      <c r="J15" s="1392"/>
      <c r="K15" s="1392"/>
      <c r="L15" s="1392"/>
      <c r="M15" s="1392"/>
      <c r="N15" s="1392"/>
      <c r="O15" s="1392"/>
      <c r="P15" s="1392"/>
    </row>
    <row r="16" spans="1:16" ht="15.75" thickBot="1">
      <c r="A16" s="2234"/>
      <c r="B16" s="2239"/>
      <c r="C16" s="50" t="s">
        <v>1926</v>
      </c>
      <c r="D16" s="50">
        <f>SUM(D8:D15)</f>
        <v>18455.759999999998</v>
      </c>
      <c r="E16" s="53">
        <f>SUM(E8:E15)</f>
        <v>27202.3</v>
      </c>
      <c r="F16" s="1392"/>
      <c r="G16" s="2237"/>
      <c r="H16" s="2240" t="s">
        <v>1938</v>
      </c>
      <c r="I16" s="2241"/>
      <c r="J16" s="1392"/>
      <c r="K16" s="3102" t="s">
        <v>1938</v>
      </c>
      <c r="L16" s="3103"/>
      <c r="M16" s="3103"/>
      <c r="N16" s="3103"/>
      <c r="O16" s="3103"/>
      <c r="P16" s="3104"/>
    </row>
    <row r="17" spans="1:19" ht="15">
      <c r="A17" s="2242" t="s">
        <v>1939</v>
      </c>
      <c r="B17" s="2243" t="s">
        <v>1940</v>
      </c>
      <c r="C17" s="2244" t="s">
        <v>1941</v>
      </c>
      <c r="D17" s="2245" t="s">
        <v>1929</v>
      </c>
      <c r="E17" s="2246" t="s">
        <v>1930</v>
      </c>
      <c r="F17" s="2247"/>
      <c r="G17" s="2248"/>
      <c r="H17" s="2249" t="s">
        <v>1942</v>
      </c>
      <c r="I17" s="2250" t="s">
        <v>1927</v>
      </c>
      <c r="J17" s="1392"/>
      <c r="K17" s="3099" t="s">
        <v>1943</v>
      </c>
      <c r="L17" s="3100"/>
      <c r="M17" s="3101"/>
      <c r="N17" s="3099" t="s">
        <v>1944</v>
      </c>
      <c r="O17" s="3100"/>
      <c r="P17" s="3101"/>
      <c r="R17" s="2228" t="s">
        <v>1945</v>
      </c>
      <c r="S17" s="64"/>
    </row>
    <row r="18" spans="1:19" ht="15">
      <c r="A18" s="2238"/>
      <c r="B18" s="2251"/>
      <c r="C18" s="2252"/>
      <c r="D18" s="2253"/>
      <c r="E18" s="2254" t="s">
        <v>1946</v>
      </c>
      <c r="F18" s="2255" t="s">
        <v>1947</v>
      </c>
      <c r="G18" s="2256" t="s">
        <v>1948</v>
      </c>
      <c r="H18" s="1262" t="s">
        <v>1949</v>
      </c>
      <c r="I18" s="2257" t="s">
        <v>1950</v>
      </c>
      <c r="J18" s="1392"/>
      <c r="K18" s="1262" t="s">
        <v>1951</v>
      </c>
      <c r="L18" s="2258" t="s">
        <v>1952</v>
      </c>
      <c r="M18" s="1046" t="s">
        <v>1953</v>
      </c>
      <c r="N18" s="1262" t="s">
        <v>1951</v>
      </c>
      <c r="O18" s="2258" t="s">
        <v>1952</v>
      </c>
      <c r="P18" s="1046" t="s">
        <v>1953</v>
      </c>
      <c r="R18" s="1247" t="s">
        <v>1954</v>
      </c>
      <c r="S18" s="1247" t="s">
        <v>1955</v>
      </c>
    </row>
    <row r="19" spans="1:19">
      <c r="A19" s="2259"/>
      <c r="B19" s="50" t="s">
        <v>1928</v>
      </c>
      <c r="C19" s="2974" t="s">
        <v>3170</v>
      </c>
      <c r="D19" s="48">
        <f>ROUND($D$3*E19/$E$3,2)</f>
        <v>18455.759999999998</v>
      </c>
      <c r="E19" s="56">
        <f t="shared" ref="E19:E26" si="1">SUM(F19:G19)</f>
        <v>27202.3</v>
      </c>
      <c r="F19" s="57">
        <f>'数据-基础表'!I13</f>
        <v>27202.3</v>
      </c>
      <c r="G19" s="58"/>
      <c r="H19" s="723">
        <f>ROUND($D$3*I19/$E$3,2)</f>
        <v>0</v>
      </c>
      <c r="I19" s="51">
        <f t="shared" ref="I19:I26" si="2">IF($I$17="自定义",P19,M19)</f>
        <v>0</v>
      </c>
      <c r="J19" s="1392"/>
      <c r="K19" s="1391">
        <f t="shared" ref="K19:K26" si="3">ROUND(E$28*E19/E$27,2)</f>
        <v>0</v>
      </c>
      <c r="L19" s="1247">
        <f t="shared" ref="L19:L26" si="4">ROUND(IF(COUNTIF(C19,"*住宅*")&gt;0,E$29*E19/E$32,0),2)</f>
        <v>0</v>
      </c>
      <c r="M19" s="1403">
        <f>K19+L19</f>
        <v>0</v>
      </c>
      <c r="N19" s="2261"/>
      <c r="O19" s="2262"/>
      <c r="P19" s="1403">
        <f>N19+O19</f>
        <v>0</v>
      </c>
      <c r="R19" s="1247">
        <f t="shared" ref="R19:S26" si="5">D19+H19</f>
        <v>18455.759999999998</v>
      </c>
      <c r="S19" s="1248">
        <f t="shared" si="5"/>
        <v>27202.3</v>
      </c>
    </row>
    <row r="20" spans="1:19">
      <c r="A20" s="2263"/>
      <c r="B20" s="50" t="s">
        <v>1956</v>
      </c>
      <c r="C20" s="2260"/>
      <c r="D20" s="48">
        <f t="shared" ref="D20:D26" si="6">ROUND($D$3*E20/$E$3,2)</f>
        <v>0</v>
      </c>
      <c r="E20" s="56">
        <f t="shared" si="1"/>
        <v>0</v>
      </c>
      <c r="F20" s="57"/>
      <c r="G20" s="58"/>
      <c r="H20" s="723">
        <f t="shared" ref="H20:H26" si="7">ROUND($D$3*I20/$E$3,2)</f>
        <v>0</v>
      </c>
      <c r="I20" s="51">
        <f t="shared" si="2"/>
        <v>0</v>
      </c>
      <c r="J20" s="1392"/>
      <c r="K20" s="1391">
        <f t="shared" si="3"/>
        <v>0</v>
      </c>
      <c r="L20" s="1247">
        <f t="shared" si="4"/>
        <v>0</v>
      </c>
      <c r="M20" s="1403">
        <f t="shared" ref="M20:M26" si="8">K20+L20</f>
        <v>0</v>
      </c>
      <c r="N20" s="2261"/>
      <c r="O20" s="2262"/>
      <c r="P20" s="1403">
        <f t="shared" ref="P20:P26" si="9">N20+O20</f>
        <v>0</v>
      </c>
      <c r="R20" s="1247">
        <f t="shared" si="5"/>
        <v>0</v>
      </c>
      <c r="S20" s="1248">
        <f t="shared" si="5"/>
        <v>0</v>
      </c>
    </row>
    <row r="21" spans="1:19">
      <c r="A21" s="2263"/>
      <c r="B21" s="50" t="s">
        <v>1956</v>
      </c>
      <c r="C21" s="2260"/>
      <c r="D21" s="48">
        <f t="shared" si="6"/>
        <v>0</v>
      </c>
      <c r="E21" s="56">
        <f t="shared" si="1"/>
        <v>0</v>
      </c>
      <c r="F21" s="57"/>
      <c r="G21" s="58"/>
      <c r="H21" s="723">
        <f t="shared" si="7"/>
        <v>0</v>
      </c>
      <c r="I21" s="51">
        <f t="shared" si="2"/>
        <v>0</v>
      </c>
      <c r="J21" s="1392"/>
      <c r="K21" s="1391">
        <f t="shared" si="3"/>
        <v>0</v>
      </c>
      <c r="L21" s="1247">
        <f t="shared" si="4"/>
        <v>0</v>
      </c>
      <c r="M21" s="1403">
        <f t="shared" si="8"/>
        <v>0</v>
      </c>
      <c r="N21" s="2261"/>
      <c r="O21" s="2262"/>
      <c r="P21" s="1403">
        <f t="shared" si="9"/>
        <v>0</v>
      </c>
      <c r="R21" s="1247">
        <f t="shared" si="5"/>
        <v>0</v>
      </c>
      <c r="S21" s="1248">
        <f t="shared" si="5"/>
        <v>0</v>
      </c>
    </row>
    <row r="22" spans="1:19">
      <c r="A22" s="2263"/>
      <c r="B22" s="50" t="s">
        <v>1956</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61"/>
      <c r="O22" s="2262"/>
      <c r="P22" s="1403">
        <f t="shared" si="9"/>
        <v>0</v>
      </c>
      <c r="R22" s="1247">
        <f t="shared" si="5"/>
        <v>0</v>
      </c>
      <c r="S22" s="1248">
        <f t="shared" si="5"/>
        <v>0</v>
      </c>
    </row>
    <row r="23" spans="1:19">
      <c r="A23" s="2263"/>
      <c r="B23" s="50" t="s">
        <v>1956</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61"/>
      <c r="O23" s="2262"/>
      <c r="P23" s="1403">
        <f t="shared" si="9"/>
        <v>0</v>
      </c>
      <c r="R23" s="1247">
        <f t="shared" si="5"/>
        <v>0</v>
      </c>
      <c r="S23" s="1248">
        <f t="shared" si="5"/>
        <v>0</v>
      </c>
    </row>
    <row r="24" spans="1:19">
      <c r="A24" s="2263"/>
      <c r="B24" s="50" t="s">
        <v>1956</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61"/>
      <c r="O24" s="2262"/>
      <c r="P24" s="1403">
        <f t="shared" si="9"/>
        <v>0</v>
      </c>
      <c r="R24" s="1247">
        <f t="shared" si="5"/>
        <v>0</v>
      </c>
      <c r="S24" s="1248">
        <f t="shared" si="5"/>
        <v>0</v>
      </c>
    </row>
    <row r="25" spans="1:19">
      <c r="A25" s="2263"/>
      <c r="B25" s="50" t="s">
        <v>1956</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61"/>
      <c r="O25" s="2262"/>
      <c r="P25" s="1403">
        <f t="shared" si="9"/>
        <v>0</v>
      </c>
      <c r="R25" s="1247">
        <f t="shared" si="5"/>
        <v>0</v>
      </c>
      <c r="S25" s="1248">
        <f t="shared" si="5"/>
        <v>0</v>
      </c>
    </row>
    <row r="26" spans="1:19">
      <c r="A26" s="2263"/>
      <c r="B26" s="50" t="s">
        <v>1956</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4"/>
      <c r="O26" s="2265"/>
      <c r="P26" s="67">
        <f t="shared" si="9"/>
        <v>0</v>
      </c>
      <c r="R26" s="1247">
        <f t="shared" si="5"/>
        <v>0</v>
      </c>
      <c r="S26" s="1248">
        <f t="shared" si="5"/>
        <v>0</v>
      </c>
    </row>
    <row r="27" spans="1:19" ht="15.75" thickBot="1">
      <c r="A27" s="2263"/>
      <c r="B27" s="48"/>
      <c r="C27" s="2266" t="s">
        <v>1957</v>
      </c>
      <c r="D27" s="1393">
        <f>SUM(D19:D26)</f>
        <v>18455.759999999998</v>
      </c>
      <c r="E27" s="1394">
        <f>IF(SUM(E19:E26)='数据-基础表'!BA5,SUM(E19:E26),IF(F27="地上面积有误","面积有误","地下面积有误"))</f>
        <v>27202.3</v>
      </c>
      <c r="F27" s="1393">
        <f>IF(SUM(F19:F26)=E8,SUM(F19:F26),"地上面积有误")</f>
        <v>27202.3</v>
      </c>
      <c r="G27" s="1395">
        <f>SUM(G19:G26)</f>
        <v>0</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f>IF(SUM(R19:R26)=$D$3,SUM(R19:R26),SUM(R19:R26)&amp;"误差"&amp;ROUND(SUM(R19:R26)-$D$3,2))</f>
        <v>18455.759999999998</v>
      </c>
      <c r="S27" s="1247">
        <f>IF(SUM(S19:S26)=$E$3,SUM(S19:S26),SUM(S19:S26)&amp;"误差"&amp;ROUND(SUM(S19:S26)-E3,2))</f>
        <v>27202.3</v>
      </c>
    </row>
    <row r="28" spans="1:19">
      <c r="A28" s="2263"/>
      <c r="B28" s="50" t="s">
        <v>1958</v>
      </c>
      <c r="C28" s="1259" t="s">
        <v>1959</v>
      </c>
      <c r="D28" s="48">
        <f>ROUND($D$3*E28/$E$3,2)</f>
        <v>0</v>
      </c>
      <c r="E28" s="56">
        <f>SUM(F28:G28)</f>
        <v>0</v>
      </c>
      <c r="F28" s="64">
        <f>'数据-基础表'!BQ5+'数据-基础表'!BS5</f>
        <v>0</v>
      </c>
      <c r="G28" s="65">
        <f>'数据-基础表'!BR5+'数据-基础表'!BT5</f>
        <v>0</v>
      </c>
      <c r="H28" s="1392"/>
      <c r="I28" s="1392"/>
      <c r="J28" s="1392"/>
      <c r="K28" s="1392"/>
      <c r="L28" s="1392"/>
      <c r="M28" s="1392"/>
      <c r="N28" s="1392"/>
      <c r="O28" s="1392"/>
      <c r="P28" s="1392"/>
    </row>
    <row r="29" spans="1:19">
      <c r="A29" s="2263"/>
      <c r="B29" s="50" t="s">
        <v>1958</v>
      </c>
      <c r="C29" s="2267" t="s">
        <v>1960</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63"/>
      <c r="B30" s="50"/>
      <c r="C30" s="2268" t="s">
        <v>1957</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69"/>
      <c r="B31" s="2270"/>
      <c r="C31" s="1007" t="s">
        <v>1961</v>
      </c>
      <c r="D31" s="729">
        <f>D27+D30</f>
        <v>18455.759999999998</v>
      </c>
      <c r="E31" s="729">
        <f>E27+E30</f>
        <v>27202.3</v>
      </c>
      <c r="F31" s="730">
        <f>F27+F30</f>
        <v>27202.3</v>
      </c>
      <c r="G31" s="731">
        <f>G27+G30</f>
        <v>0</v>
      </c>
      <c r="H31" s="1392"/>
      <c r="I31" s="1392"/>
      <c r="J31" s="1392"/>
      <c r="K31" s="1392"/>
      <c r="L31" s="1392"/>
      <c r="M31" s="1392"/>
      <c r="N31" s="1392"/>
      <c r="O31" s="1392"/>
      <c r="P31" s="1392"/>
    </row>
    <row r="32" spans="1:19">
      <c r="A32" s="2233"/>
      <c r="B32" s="2233" t="s">
        <v>1962</v>
      </c>
      <c r="C32" s="2233"/>
      <c r="D32" s="2233"/>
      <c r="E32" s="1274">
        <f>SUMIF(C19:C26,"*住宅*",E19:E26)</f>
        <v>0</v>
      </c>
      <c r="F32" s="2233"/>
      <c r="G32" s="2233"/>
      <c r="H32" s="1392"/>
      <c r="I32" s="1392"/>
      <c r="J32" s="1392"/>
      <c r="K32" s="1392"/>
      <c r="L32" s="1392"/>
      <c r="M32" s="1392"/>
      <c r="N32" s="1392"/>
      <c r="O32" s="1392"/>
      <c r="P32" s="1392"/>
    </row>
    <row r="33" spans="4:4">
      <c r="D33" s="2271"/>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9"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tabSelected="1" zoomScale="90" zoomScaleNormal="90" zoomScaleSheetLayoutView="90" workbookViewId="0">
      <pane xSplit="3" ySplit="5" topLeftCell="Y6" activePane="bottomRight" state="frozen"/>
      <selection activeCell="C50" sqref="C50"/>
      <selection pane="topRight" activeCell="C50" sqref="C50"/>
      <selection pane="bottomLeft" activeCell="C50" sqref="C50"/>
      <selection pane="bottomRight" activeCell="AH18" sqref="AH18"/>
    </sheetView>
  </sheetViews>
  <sheetFormatPr defaultColWidth="13.75" defaultRowHeight="12.75"/>
  <cols>
    <col min="1" max="1" width="20.875" style="2345" customWidth="1"/>
    <col min="2" max="2" width="12" style="2275" customWidth="1"/>
    <col min="3" max="3" width="10.75" style="2275" customWidth="1"/>
    <col min="4" max="4" width="9.125" style="2346" customWidth="1"/>
    <col min="5" max="5" width="15" style="2275" bestFit="1" customWidth="1"/>
    <col min="6" max="10" width="8.875" style="2275" customWidth="1"/>
    <col min="11" max="12" width="12.375" style="2189" customWidth="1"/>
    <col min="13" max="13" width="8.625" style="2275" customWidth="1"/>
    <col min="14" max="14" width="11.875" style="2275" customWidth="1"/>
    <col min="15" max="15" width="8.5" style="2275" customWidth="1"/>
    <col min="16" max="17" width="10.875" style="2275" customWidth="1"/>
    <col min="18" max="19" width="12.5" style="2275" customWidth="1"/>
    <col min="20" max="20" width="12.125" style="2275" customWidth="1"/>
    <col min="21" max="21" width="7.5" style="2275" customWidth="1"/>
    <col min="22" max="22" width="6.375" style="2275" customWidth="1"/>
    <col min="23" max="30" width="6.75" style="2275" customWidth="1"/>
    <col min="31" max="31" width="8" style="2275" customWidth="1"/>
    <col min="32" max="34" width="7.25" style="2275" customWidth="1"/>
    <col min="35" max="39" width="8" style="2275" customWidth="1"/>
    <col min="40" max="40" width="13.75" style="2274"/>
    <col min="41" max="41" width="11.625" style="2274" customWidth="1"/>
    <col min="42" max="42" width="9.75" style="2274" customWidth="1"/>
    <col min="43" max="67" width="13.75" style="2274"/>
    <col min="68" max="16384" width="13.75" style="2275"/>
  </cols>
  <sheetData>
    <row r="1" spans="1:67" ht="19.5" thickBot="1">
      <c r="A1" s="2272" t="s">
        <v>1963</v>
      </c>
      <c r="B1" s="732"/>
      <c r="C1" s="1581"/>
      <c r="D1" s="2273"/>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1" customFormat="1" ht="15.75" thickBot="1">
      <c r="A2" s="2276" t="s">
        <v>1964</v>
      </c>
      <c r="B2" s="1266">
        <f>项目基本情况!D3</f>
        <v>43592</v>
      </c>
      <c r="C2" s="2277"/>
      <c r="D2" s="2278"/>
      <c r="E2" s="2277"/>
      <c r="F2" s="2277"/>
      <c r="G2" s="2277"/>
      <c r="H2" s="2277"/>
      <c r="I2" s="2277"/>
      <c r="J2" s="2277"/>
      <c r="K2" s="1427"/>
      <c r="L2" s="1427"/>
      <c r="M2" s="2277"/>
      <c r="N2" s="2277"/>
      <c r="O2" s="2277"/>
      <c r="P2" s="2277"/>
      <c r="Q2" s="2277"/>
      <c r="R2" s="2277"/>
      <c r="S2" s="2277"/>
      <c r="T2" s="2277"/>
      <c r="U2" s="2277"/>
      <c r="V2" s="2277"/>
      <c r="W2" s="2277"/>
      <c r="X2" s="2277"/>
      <c r="Y2" s="2277"/>
      <c r="Z2" s="2277"/>
      <c r="AA2" s="2277"/>
      <c r="AB2" s="2277"/>
      <c r="AC2" s="2277"/>
      <c r="AD2" s="2277"/>
      <c r="AE2" s="2277"/>
      <c r="AF2" s="2277"/>
      <c r="AG2" s="2277"/>
      <c r="AH2" s="2277"/>
      <c r="AI2" s="2277"/>
      <c r="AJ2" s="2277"/>
      <c r="AK2" s="2277"/>
      <c r="AL2" s="2277"/>
      <c r="AM2" s="2277"/>
      <c r="AN2" s="2279"/>
      <c r="AO2" s="2279"/>
      <c r="AP2" s="2279"/>
      <c r="AQ2" s="2279"/>
      <c r="AR2" s="2279"/>
      <c r="AS2" s="2279"/>
      <c r="AT2" s="2279"/>
      <c r="AU2" s="2279"/>
      <c r="AV2" s="2279"/>
      <c r="AW2" s="2279"/>
      <c r="AX2" s="2279"/>
      <c r="AY2" s="2279"/>
      <c r="AZ2" s="2279"/>
      <c r="BA2" s="2279"/>
      <c r="BB2" s="2279"/>
      <c r="BC2" s="2279"/>
      <c r="BD2" s="2279"/>
      <c r="BE2" s="2279"/>
      <c r="BF2" s="2279"/>
      <c r="BG2" s="2279"/>
      <c r="BH2" s="2279"/>
      <c r="BI2" s="2279"/>
      <c r="BJ2" s="2279"/>
      <c r="BK2" s="2279"/>
      <c r="BL2" s="2279"/>
      <c r="BM2" s="2279"/>
      <c r="BN2" s="2279"/>
      <c r="BO2" s="2279"/>
    </row>
    <row r="3" spans="1:67" s="2031" customFormat="1" ht="15" thickBot="1">
      <c r="A3" s="2029"/>
      <c r="B3" s="2280"/>
      <c r="C3" s="2277"/>
      <c r="D3" s="2278"/>
      <c r="E3" s="2277"/>
      <c r="F3" s="2277"/>
      <c r="G3" s="2277"/>
      <c r="H3" s="2277"/>
      <c r="I3" s="2277"/>
      <c r="J3" s="2277"/>
      <c r="K3" s="1427"/>
      <c r="L3" s="1427"/>
      <c r="M3" s="2277"/>
      <c r="N3" s="2277"/>
      <c r="O3" s="2277"/>
      <c r="P3" s="2277"/>
      <c r="Q3" s="2277"/>
      <c r="R3" s="2277"/>
      <c r="S3" s="2277"/>
      <c r="T3" s="2277"/>
      <c r="U3" s="2277"/>
      <c r="V3" s="2277"/>
      <c r="W3" s="2277"/>
      <c r="X3" s="2277"/>
      <c r="Y3" s="2277"/>
      <c r="Z3" s="2277"/>
      <c r="AA3" s="2277"/>
      <c r="AB3" s="2277"/>
      <c r="AC3" s="2277"/>
      <c r="AD3" s="2277"/>
      <c r="AE3" s="2277"/>
      <c r="AF3" s="2277"/>
      <c r="AG3" s="2277"/>
      <c r="AH3" s="2277"/>
      <c r="AI3" s="2277"/>
      <c r="AJ3" s="2277"/>
      <c r="AK3" s="2277"/>
      <c r="AL3" s="2277"/>
      <c r="AM3" s="2277"/>
      <c r="AN3" s="2279"/>
      <c r="AO3" s="2279"/>
      <c r="AP3" s="2279"/>
      <c r="AQ3" s="2279"/>
      <c r="AR3" s="2279"/>
      <c r="AS3" s="2279"/>
      <c r="AT3" s="2279"/>
      <c r="AU3" s="2279"/>
      <c r="AV3" s="2279"/>
      <c r="AW3" s="2279"/>
      <c r="AX3" s="2279"/>
      <c r="AY3" s="2279"/>
      <c r="AZ3" s="2279"/>
      <c r="BA3" s="2279"/>
      <c r="BB3" s="2279"/>
      <c r="BC3" s="2279"/>
      <c r="BD3" s="2279"/>
      <c r="BE3" s="2279"/>
      <c r="BF3" s="2279"/>
      <c r="BG3" s="2279"/>
      <c r="BH3" s="2279"/>
      <c r="BI3" s="2279"/>
      <c r="BJ3" s="2279"/>
      <c r="BK3" s="2279"/>
      <c r="BL3" s="2279"/>
      <c r="BM3" s="2279"/>
      <c r="BN3" s="2279"/>
      <c r="BO3" s="2279"/>
    </row>
    <row r="4" spans="1:67" s="2031" customFormat="1" ht="15" thickBot="1">
      <c r="A4" s="68" t="s">
        <v>1965</v>
      </c>
      <c r="B4" s="2281"/>
      <c r="C4" s="2282"/>
      <c r="D4" s="2283"/>
      <c r="E4" s="2282" t="s">
        <v>1966</v>
      </c>
      <c r="F4" s="2282"/>
      <c r="G4" s="2282"/>
      <c r="H4" s="2282"/>
      <c r="I4" s="2282"/>
      <c r="J4" s="2284"/>
      <c r="K4" s="2285"/>
      <c r="L4" s="2286"/>
      <c r="M4" s="2282"/>
      <c r="N4" s="2282" t="s">
        <v>1967</v>
      </c>
      <c r="O4" s="2282"/>
      <c r="P4" s="2282"/>
      <c r="Q4" s="2282"/>
      <c r="R4" s="2282"/>
      <c r="S4" s="2284"/>
      <c r="T4" s="2287" t="str">
        <f>'数据-汇总表'!I17</f>
        <v>按面积比例</v>
      </c>
      <c r="U4" s="2281" t="s">
        <v>1968</v>
      </c>
      <c r="V4" s="2282"/>
      <c r="W4" s="2282"/>
      <c r="X4" s="2282"/>
      <c r="Y4" s="2284"/>
      <c r="Z4" s="2244" t="s">
        <v>1969</v>
      </c>
      <c r="AA4" s="2244"/>
      <c r="AB4" s="2244"/>
      <c r="AC4" s="2244"/>
      <c r="AD4" s="2244"/>
      <c r="AE4" s="2242" t="s">
        <v>1970</v>
      </c>
      <c r="AF4" s="2244"/>
      <c r="AG4" s="2288"/>
      <c r="AH4" s="2281"/>
      <c r="AI4" s="2282"/>
      <c r="AJ4" s="2282"/>
      <c r="AK4" s="2282"/>
      <c r="AL4" s="2282"/>
      <c r="AM4" s="2284"/>
      <c r="AN4" s="2279"/>
      <c r="AO4" s="2279"/>
      <c r="AP4" s="2279"/>
      <c r="AQ4" s="2279"/>
      <c r="AR4" s="2279"/>
      <c r="AS4" s="2279"/>
      <c r="AT4" s="2279"/>
      <c r="AU4" s="2279"/>
      <c r="AV4" s="2279"/>
      <c r="AW4" s="2279"/>
      <c r="AX4" s="2279"/>
      <c r="AY4" s="2279"/>
      <c r="AZ4" s="2279"/>
      <c r="BA4" s="2279"/>
      <c r="BB4" s="2279"/>
      <c r="BC4" s="2279"/>
      <c r="BD4" s="2279"/>
      <c r="BE4" s="2279"/>
      <c r="BF4" s="2279"/>
      <c r="BG4" s="2279"/>
      <c r="BH4" s="2279"/>
      <c r="BI4" s="2279"/>
      <c r="BJ4" s="2279"/>
      <c r="BK4" s="2279"/>
      <c r="BL4" s="2279"/>
      <c r="BM4" s="2279"/>
      <c r="BN4" s="2279"/>
      <c r="BO4" s="2279"/>
    </row>
    <row r="5" spans="1:67" s="2032" customFormat="1" ht="42">
      <c r="A5" s="2289" t="s">
        <v>1971</v>
      </c>
      <c r="B5" s="2290" t="s">
        <v>1972</v>
      </c>
      <c r="C5" s="2291" t="s">
        <v>1973</v>
      </c>
      <c r="D5" s="2292" t="s">
        <v>1974</v>
      </c>
      <c r="E5" s="1268" t="s">
        <v>1975</v>
      </c>
      <c r="F5" s="2293" t="s">
        <v>1976</v>
      </c>
      <c r="G5" s="1268" t="s">
        <v>1977</v>
      </c>
      <c r="H5" s="1268" t="s">
        <v>1978</v>
      </c>
      <c r="I5" s="1268" t="s">
        <v>1979</v>
      </c>
      <c r="J5" s="2294" t="s">
        <v>1980</v>
      </c>
      <c r="K5" s="2295" t="s">
        <v>1981</v>
      </c>
      <c r="L5" s="2296" t="s">
        <v>1982</v>
      </c>
      <c r="M5" s="2297" t="s">
        <v>1983</v>
      </c>
      <c r="N5" s="2298" t="s">
        <v>3171</v>
      </c>
      <c r="O5" s="2296" t="s">
        <v>1984</v>
      </c>
      <c r="P5" s="2299" t="s">
        <v>1985</v>
      </c>
      <c r="Q5" s="69" t="s">
        <v>1986</v>
      </c>
      <c r="R5" s="2300" t="s">
        <v>1987</v>
      </c>
      <c r="S5" s="2301" t="s">
        <v>1988</v>
      </c>
      <c r="T5" s="2302" t="s">
        <v>1989</v>
      </c>
      <c r="U5" s="1267" t="s">
        <v>1990</v>
      </c>
      <c r="V5" s="1268" t="s">
        <v>1991</v>
      </c>
      <c r="W5" s="1268" t="s">
        <v>1992</v>
      </c>
      <c r="X5" s="71"/>
      <c r="Y5" s="70" t="s">
        <v>1993</v>
      </c>
      <c r="Z5" s="2303" t="s">
        <v>1990</v>
      </c>
      <c r="AA5" s="1268" t="s">
        <v>1991</v>
      </c>
      <c r="AB5" s="1268" t="s">
        <v>1992</v>
      </c>
      <c r="AC5" s="71"/>
      <c r="AD5" s="71" t="s">
        <v>1993</v>
      </c>
      <c r="AE5" s="1267" t="s">
        <v>1994</v>
      </c>
      <c r="AF5" s="1268" t="s">
        <v>1995</v>
      </c>
      <c r="AG5" s="70" t="s">
        <v>1996</v>
      </c>
      <c r="AH5" s="1267" t="s">
        <v>1997</v>
      </c>
      <c r="AI5" s="2303" t="s">
        <v>1998</v>
      </c>
      <c r="AJ5" s="2303" t="s">
        <v>1999</v>
      </c>
      <c r="AK5" s="1268" t="s">
        <v>2000</v>
      </c>
      <c r="AL5" s="1268" t="s">
        <v>2001</v>
      </c>
      <c r="AM5" s="70" t="s">
        <v>2002</v>
      </c>
      <c r="AN5" s="2304" t="s">
        <v>2003</v>
      </c>
      <c r="AO5" s="2074" t="s">
        <v>2004</v>
      </c>
      <c r="AP5" s="1249" t="s">
        <v>2005</v>
      </c>
      <c r="AQ5" s="2305" t="s">
        <v>2006</v>
      </c>
      <c r="AR5" s="2305" t="s">
        <v>2007</v>
      </c>
      <c r="AS5" s="2157"/>
      <c r="AT5" s="2157"/>
      <c r="AU5" s="2157"/>
      <c r="AV5" s="2157"/>
      <c r="AW5" s="2157"/>
      <c r="AX5" s="2157"/>
      <c r="AY5" s="2157"/>
      <c r="AZ5" s="2157"/>
      <c r="BA5" s="2157"/>
      <c r="BB5" s="2157"/>
      <c r="BC5" s="2157"/>
      <c r="BD5" s="2157"/>
      <c r="BE5" s="2157"/>
      <c r="BF5" s="2157"/>
      <c r="BG5" s="2157"/>
      <c r="BH5" s="2157"/>
      <c r="BI5" s="2157"/>
      <c r="BJ5" s="2157"/>
      <c r="BK5" s="2157"/>
      <c r="BL5" s="2157"/>
      <c r="BM5" s="2157"/>
      <c r="BN5" s="2157"/>
      <c r="BO5" s="2157"/>
    </row>
    <row r="6" spans="1:67" s="2031" customFormat="1" ht="14.25">
      <c r="A6" s="2306" t="str">
        <f>'数据-汇总表'!C19</f>
        <v>工业</v>
      </c>
      <c r="B6" s="2307" t="str">
        <f>IF(A6=0,"","经营性")</f>
        <v>经营性</v>
      </c>
      <c r="C6" s="2308" t="s">
        <v>6</v>
      </c>
      <c r="D6" s="1051">
        <f>SUMIF(项目基本情况!D$12:I$12,C6,项目基本情况!D$14:I$14)</f>
        <v>50</v>
      </c>
      <c r="E6" s="1048">
        <f>IF(B6="","",SUMIF(项目基本情况!D$12:I$12,C6,项目基本情况!D$13:I$13))</f>
        <v>53775</v>
      </c>
      <c r="F6" s="72">
        <f>SUMIF(项目基本情况!D$12:I$12,C6,项目基本情况!D$15:I$15)</f>
        <v>27.89</v>
      </c>
      <c r="G6" s="73">
        <f ca="1">IF(ISERROR(ROUND(POWER(1+H6,D6-F6)*(POWER(1+H6,F6)-1)/(POWER(1+H6,D6)-1),3)),0,ROUND(POWER(1+H6,D6-F6)*(POWER(1+H6,F6)-1)/(POWER(1+H6,D6)-1),3))</f>
        <v>0.80700000000000005</v>
      </c>
      <c r="H6" s="802">
        <f ca="1">基准地价修正!G20</f>
        <v>4.8000000000000001E-2</v>
      </c>
      <c r="I6" s="802">
        <v>5.5E-2</v>
      </c>
      <c r="J6" s="74">
        <v>8.5000000000000006E-2</v>
      </c>
      <c r="K6" s="1251">
        <f>SUMIF('数据-汇总表'!C$19:C$33,A6,'数据-汇总表'!E$19:E$33)</f>
        <v>27202.3</v>
      </c>
      <c r="L6" s="803">
        <v>2500</v>
      </c>
      <c r="M6" s="75">
        <f t="shared" ref="M6:M14" si="0">ROUND(K6*L6/10000,0)</f>
        <v>6801</v>
      </c>
      <c r="N6" s="801">
        <v>0.7</v>
      </c>
      <c r="O6" s="75" t="str">
        <f>IF($N$5="成新度","——",ROUND(M6*N6,0))</f>
        <v>——</v>
      </c>
      <c r="P6" s="76" t="str">
        <f>IF($N$5="成新度","——",M6-O6)</f>
        <v>——</v>
      </c>
      <c r="Q6" s="804">
        <v>0.3</v>
      </c>
      <c r="R6" s="77">
        <f ca="1">SUMIF('数据-汇总表'!C$19:C$33,A6,'数据-汇总表'!R$19:R$27)</f>
        <v>18455.759999999998</v>
      </c>
      <c r="S6" s="54">
        <f>IF('数据-汇总表'!$I$17="按面积比例",SUMIF('数据-汇总表'!C$19:C$33,A6,'数据-汇总表'!K$19:K$33),SUMIF('数据-汇总表'!C$19:C$33,A6,'数据-汇总表'!N$19:N$33))</f>
        <v>0</v>
      </c>
      <c r="T6" s="1443">
        <f>ROUND($L$14*S6/10000,0)</f>
        <v>0</v>
      </c>
      <c r="U6" s="78">
        <v>8.6999999999999993</v>
      </c>
      <c r="V6" s="79"/>
      <c r="W6" s="79"/>
      <c r="X6" s="1261"/>
      <c r="Y6" s="80">
        <f>N6</f>
        <v>0.7</v>
      </c>
      <c r="Z6" s="81">
        <f>ROUND(U6*(1+AA6)^AF6,1)</f>
        <v>9.5</v>
      </c>
      <c r="AA6" s="74">
        <v>1.4999999999999999E-2</v>
      </c>
      <c r="AB6" s="74">
        <v>0.1</v>
      </c>
      <c r="AC6" s="1261"/>
      <c r="AD6" s="82">
        <f>N6</f>
        <v>0.7</v>
      </c>
      <c r="AE6" s="1262">
        <f ca="1">IF(AN6="",0,SUMIF(INDIRECT("'"&amp;AN6&amp;"'"&amp;"!E:E"),$AE$5,INDIRECT("'"&amp;AN6&amp;"'"&amp;"!F:F")))</f>
        <v>27.89</v>
      </c>
      <c r="AF6" s="1804">
        <v>5.81</v>
      </c>
      <c r="AG6" s="147">
        <f ca="1">IF(AF6="",0,AE6-AF6)</f>
        <v>22.080000000000002</v>
      </c>
      <c r="AH6" s="83"/>
      <c r="AI6" s="85">
        <v>365</v>
      </c>
      <c r="AJ6" s="86"/>
      <c r="AK6" s="87">
        <v>0.02</v>
      </c>
      <c r="AL6" s="88">
        <v>1.5E-3</v>
      </c>
      <c r="AM6" s="89">
        <v>2.5000000000000001E-2</v>
      </c>
      <c r="AN6" s="2309" t="s">
        <v>3172</v>
      </c>
      <c r="AO6" s="55">
        <f ca="1">SUMIF(INDIRECT("'"&amp;AN6&amp;"'"&amp;"!A:A"),"总价",INDIRECT("'"&amp;AN6&amp;"'"&amp;"!B:B"))</f>
        <v>100810</v>
      </c>
      <c r="AP6" s="2310">
        <f>IF(C6="住宅",K6*L6,0)</f>
        <v>0</v>
      </c>
      <c r="AQ6" s="55">
        <f>ROUND($L$14*$N$14*S6/10000,0)</f>
        <v>0</v>
      </c>
      <c r="AR6" s="55">
        <f>ROUND($L$14*(1-$N$14)*S6/10000,0)</f>
        <v>0</v>
      </c>
      <c r="AS6" s="2279"/>
      <c r="AT6" s="2279"/>
      <c r="AU6" s="2279"/>
      <c r="AV6" s="2279"/>
      <c r="AW6" s="2279"/>
      <c r="AX6" s="2279"/>
      <c r="AY6" s="2279"/>
      <c r="AZ6" s="2279"/>
      <c r="BA6" s="2279"/>
      <c r="BB6" s="2279"/>
      <c r="BC6" s="2279"/>
      <c r="BD6" s="2279"/>
      <c r="BE6" s="2279"/>
      <c r="BF6" s="2279"/>
      <c r="BG6" s="2279"/>
      <c r="BH6" s="2279"/>
      <c r="BI6" s="2279"/>
      <c r="BJ6" s="2279"/>
      <c r="BK6" s="2279"/>
      <c r="BL6" s="2279"/>
      <c r="BM6" s="2279"/>
      <c r="BN6" s="2279"/>
      <c r="BO6" s="2279"/>
    </row>
    <row r="7" spans="1:67" s="2031" customFormat="1" ht="14.25">
      <c r="A7" s="2306">
        <f>'数据-汇总表'!C20</f>
        <v>0</v>
      </c>
      <c r="B7" s="2307" t="str">
        <f t="shared" ref="B7:B13" si="1">IF(A7=0,"","经营性")</f>
        <v/>
      </c>
      <c r="C7" s="2308"/>
      <c r="D7" s="1051">
        <f>SUMIF(项目基本情况!D$12:I$12,C7,项目基本情况!D$14:I$14)</f>
        <v>0</v>
      </c>
      <c r="E7" s="1048"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1">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804"/>
      <c r="AG7" s="147">
        <f t="shared" ref="AG7:AG13" si="7">IF(AF7="",0,AE7-AF7)</f>
        <v>0</v>
      </c>
      <c r="AH7" s="83"/>
      <c r="AI7" s="85"/>
      <c r="AJ7" s="86"/>
      <c r="AK7" s="87"/>
      <c r="AL7" s="88"/>
      <c r="AM7" s="89"/>
      <c r="AN7" s="2309"/>
      <c r="AO7" s="55" t="e">
        <f t="shared" ref="AO7:AO13" ca="1" si="8">SUMIF(INDIRECT("'"&amp;AN7&amp;"'"&amp;"!A:A"),"总价",INDIRECT("'"&amp;AN7&amp;"'"&amp;"!B:B"))</f>
        <v>#REF!</v>
      </c>
      <c r="AP7" s="2310">
        <f t="shared" ref="AP7:AP13" si="9">IF(C7="住宅",K7*L7,0)</f>
        <v>0</v>
      </c>
      <c r="AQ7" s="55">
        <f t="shared" ref="AQ7:AQ13" si="10">ROUND($L$14*$N$14*S7/10000,0)</f>
        <v>0</v>
      </c>
      <c r="AR7" s="55">
        <f t="shared" ref="AR7:AR13" si="11">ROUND($L$14*(1-$N$14)*S7/10000,0)</f>
        <v>0</v>
      </c>
      <c r="AS7" s="2279"/>
      <c r="AT7" s="2279"/>
      <c r="AU7" s="2279"/>
      <c r="AV7" s="2279"/>
      <c r="AW7" s="2279"/>
      <c r="AX7" s="2279"/>
      <c r="AY7" s="2279"/>
      <c r="AZ7" s="2279"/>
      <c r="BA7" s="2279"/>
      <c r="BB7" s="2279"/>
      <c r="BC7" s="2279"/>
      <c r="BD7" s="2279"/>
      <c r="BE7" s="2279"/>
      <c r="BF7" s="2279"/>
      <c r="BG7" s="2279"/>
      <c r="BH7" s="2279"/>
      <c r="BI7" s="2279"/>
      <c r="BJ7" s="2279"/>
      <c r="BK7" s="2279"/>
      <c r="BL7" s="2279"/>
      <c r="BM7" s="2279"/>
      <c r="BN7" s="2279"/>
      <c r="BO7" s="2279"/>
    </row>
    <row r="8" spans="1:67" s="2031" customFormat="1" ht="14.25">
      <c r="A8" s="2306">
        <f>'数据-汇总表'!C21</f>
        <v>0</v>
      </c>
      <c r="B8" s="2307" t="str">
        <f t="shared" si="1"/>
        <v/>
      </c>
      <c r="C8" s="2308"/>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804"/>
      <c r="AG8" s="147">
        <f t="shared" si="7"/>
        <v>0</v>
      </c>
      <c r="AH8" s="808"/>
      <c r="AI8" s="85"/>
      <c r="AJ8" s="86"/>
      <c r="AK8" s="809"/>
      <c r="AL8" s="810"/>
      <c r="AM8" s="811"/>
      <c r="AN8" s="2309"/>
      <c r="AO8" s="55" t="e">
        <f t="shared" ca="1" si="8"/>
        <v>#REF!</v>
      </c>
      <c r="AP8" s="2310">
        <f t="shared" si="9"/>
        <v>0</v>
      </c>
      <c r="AQ8" s="55">
        <f t="shared" si="10"/>
        <v>0</v>
      </c>
      <c r="AR8" s="55">
        <f t="shared" si="11"/>
        <v>0</v>
      </c>
      <c r="AS8" s="2279"/>
      <c r="AT8" s="2279"/>
      <c r="AU8" s="2279"/>
      <c r="AV8" s="2279"/>
      <c r="AW8" s="2279"/>
      <c r="AX8" s="2279"/>
      <c r="AY8" s="2279"/>
      <c r="AZ8" s="2279"/>
      <c r="BA8" s="2279"/>
      <c r="BB8" s="2279"/>
      <c r="BC8" s="2279"/>
      <c r="BD8" s="2279"/>
      <c r="BE8" s="2279"/>
      <c r="BF8" s="2279"/>
      <c r="BG8" s="2279"/>
      <c r="BH8" s="2279"/>
      <c r="BI8" s="2279"/>
      <c r="BJ8" s="2279"/>
      <c r="BK8" s="2279"/>
      <c r="BL8" s="2279"/>
      <c r="BM8" s="2279"/>
      <c r="BN8" s="2279"/>
      <c r="BO8" s="2279"/>
    </row>
    <row r="9" spans="1:67" s="2031" customFormat="1" ht="14.25">
      <c r="A9" s="2306">
        <f>'数据-汇总表'!C22</f>
        <v>0</v>
      </c>
      <c r="B9" s="2307" t="str">
        <f t="shared" si="1"/>
        <v/>
      </c>
      <c r="C9" s="2308"/>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09"/>
      <c r="AO9" s="55" t="e">
        <f t="shared" ca="1" si="8"/>
        <v>#REF!</v>
      </c>
      <c r="AP9" s="2310">
        <f t="shared" si="9"/>
        <v>0</v>
      </c>
      <c r="AQ9" s="55">
        <f t="shared" si="10"/>
        <v>0</v>
      </c>
      <c r="AR9" s="55">
        <f t="shared" si="11"/>
        <v>0</v>
      </c>
      <c r="AS9" s="2279"/>
      <c r="AT9" s="2279"/>
      <c r="AU9" s="2279"/>
      <c r="AV9" s="2279"/>
      <c r="AW9" s="2279"/>
      <c r="AX9" s="2279"/>
      <c r="AY9" s="2279"/>
      <c r="AZ9" s="2279"/>
      <c r="BA9" s="2279"/>
      <c r="BB9" s="2279"/>
      <c r="BC9" s="2279"/>
      <c r="BD9" s="2279"/>
      <c r="BE9" s="2279"/>
      <c r="BF9" s="2279"/>
      <c r="BG9" s="2279"/>
      <c r="BH9" s="2279"/>
      <c r="BI9" s="2279"/>
      <c r="BJ9" s="2279"/>
      <c r="BK9" s="2279"/>
      <c r="BL9" s="2279"/>
      <c r="BM9" s="2279"/>
      <c r="BN9" s="2279"/>
      <c r="BO9" s="2279"/>
    </row>
    <row r="10" spans="1:67" s="2031" customFormat="1" ht="14.25">
      <c r="A10" s="2306">
        <f>'数据-汇总表'!C23</f>
        <v>0</v>
      </c>
      <c r="B10" s="2307" t="str">
        <f t="shared" si="1"/>
        <v/>
      </c>
      <c r="C10" s="2308"/>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09"/>
      <c r="AO10" s="55" t="e">
        <f t="shared" ca="1" si="8"/>
        <v>#REF!</v>
      </c>
      <c r="AP10" s="2310">
        <f t="shared" si="9"/>
        <v>0</v>
      </c>
      <c r="AQ10" s="55">
        <f t="shared" si="10"/>
        <v>0</v>
      </c>
      <c r="AR10" s="55">
        <f t="shared" si="11"/>
        <v>0</v>
      </c>
      <c r="AS10" s="2279"/>
      <c r="AT10" s="2279"/>
      <c r="AU10" s="2279"/>
      <c r="AV10" s="2279"/>
      <c r="AW10" s="2279"/>
      <c r="AX10" s="2279"/>
      <c r="AY10" s="2279"/>
      <c r="AZ10" s="2279"/>
      <c r="BA10" s="2279"/>
      <c r="BB10" s="2279"/>
      <c r="BC10" s="2279"/>
      <c r="BD10" s="2279"/>
      <c r="BE10" s="2279"/>
      <c r="BF10" s="2279"/>
      <c r="BG10" s="2279"/>
      <c r="BH10" s="2279"/>
      <c r="BI10" s="2279"/>
      <c r="BJ10" s="2279"/>
      <c r="BK10" s="2279"/>
      <c r="BL10" s="2279"/>
      <c r="BM10" s="2279"/>
      <c r="BN10" s="2279"/>
      <c r="BO10" s="2279"/>
    </row>
    <row r="11" spans="1:67" s="2031" customFormat="1" ht="14.25">
      <c r="A11" s="2306">
        <f>'数据-汇总表'!C24</f>
        <v>0</v>
      </c>
      <c r="B11" s="2307" t="str">
        <f t="shared" si="1"/>
        <v/>
      </c>
      <c r="C11" s="2308"/>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9"/>
      <c r="AO11" s="55" t="e">
        <f t="shared" ca="1" si="8"/>
        <v>#REF!</v>
      </c>
      <c r="AP11" s="2310">
        <f t="shared" si="9"/>
        <v>0</v>
      </c>
      <c r="AQ11" s="55">
        <f t="shared" si="10"/>
        <v>0</v>
      </c>
      <c r="AR11" s="55">
        <f t="shared" si="11"/>
        <v>0</v>
      </c>
      <c r="AS11" s="2279"/>
      <c r="AT11" s="2279"/>
      <c r="AU11" s="2279"/>
      <c r="AV11" s="2279"/>
      <c r="AW11" s="2279"/>
      <c r="AX11" s="2279"/>
      <c r="AY11" s="2279"/>
      <c r="AZ11" s="2279"/>
      <c r="BA11" s="2279"/>
      <c r="BB11" s="2279"/>
      <c r="BC11" s="2279"/>
      <c r="BD11" s="2279"/>
      <c r="BE11" s="2279"/>
      <c r="BF11" s="2279"/>
      <c r="BG11" s="2279"/>
      <c r="BH11" s="2279"/>
      <c r="BI11" s="2279"/>
      <c r="BJ11" s="2279"/>
      <c r="BK11" s="2279"/>
      <c r="BL11" s="2279"/>
      <c r="BM11" s="2279"/>
      <c r="BN11" s="2279"/>
      <c r="BO11" s="2279"/>
    </row>
    <row r="12" spans="1:67" s="2031" customFormat="1" ht="14.25">
      <c r="A12" s="2306">
        <f>'数据-汇总表'!C25</f>
        <v>0</v>
      </c>
      <c r="B12" s="2307" t="str">
        <f t="shared" si="1"/>
        <v/>
      </c>
      <c r="C12" s="2308"/>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9"/>
      <c r="AO12" s="55" t="e">
        <f t="shared" ca="1" si="8"/>
        <v>#REF!</v>
      </c>
      <c r="AP12" s="2310">
        <f t="shared" si="9"/>
        <v>0</v>
      </c>
      <c r="AQ12" s="55">
        <f t="shared" si="10"/>
        <v>0</v>
      </c>
      <c r="AR12" s="55">
        <f t="shared" si="11"/>
        <v>0</v>
      </c>
      <c r="AS12" s="2279"/>
      <c r="AT12" s="2279"/>
      <c r="AU12" s="2279"/>
      <c r="AV12" s="2279"/>
      <c r="AW12" s="2279"/>
      <c r="AX12" s="2279"/>
      <c r="AY12" s="2279"/>
      <c r="AZ12" s="2279"/>
      <c r="BA12" s="2279"/>
      <c r="BB12" s="2279"/>
      <c r="BC12" s="2279"/>
      <c r="BD12" s="2279"/>
      <c r="BE12" s="2279"/>
      <c r="BF12" s="2279"/>
      <c r="BG12" s="2279"/>
      <c r="BH12" s="2279"/>
      <c r="BI12" s="2279"/>
      <c r="BJ12" s="2279"/>
      <c r="BK12" s="2279"/>
      <c r="BL12" s="2279"/>
      <c r="BM12" s="2279"/>
      <c r="BN12" s="2279"/>
      <c r="BO12" s="2279"/>
    </row>
    <row r="13" spans="1:67" s="2031" customFormat="1" ht="14.25">
      <c r="A13" s="2306">
        <f>'数据-汇总表'!C26</f>
        <v>0</v>
      </c>
      <c r="B13" s="2307" t="str">
        <f t="shared" si="1"/>
        <v/>
      </c>
      <c r="C13" s="2308"/>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09"/>
      <c r="AO13" s="55" t="e">
        <f t="shared" ca="1" si="8"/>
        <v>#REF!</v>
      </c>
      <c r="AP13" s="2310">
        <f t="shared" si="9"/>
        <v>0</v>
      </c>
      <c r="AQ13" s="55">
        <f t="shared" si="10"/>
        <v>0</v>
      </c>
      <c r="AR13" s="55">
        <f t="shared" si="11"/>
        <v>0</v>
      </c>
      <c r="AS13" s="2279"/>
      <c r="AT13" s="2279"/>
      <c r="AU13" s="2279"/>
      <c r="AV13" s="2279"/>
      <c r="AW13" s="2279"/>
      <c r="AX13" s="2279"/>
      <c r="AY13" s="2279"/>
      <c r="AZ13" s="2279"/>
      <c r="BA13" s="2279"/>
      <c r="BB13" s="2279"/>
      <c r="BC13" s="2279"/>
      <c r="BD13" s="2279"/>
      <c r="BE13" s="2279"/>
      <c r="BF13" s="2279"/>
      <c r="BG13" s="2279"/>
      <c r="BH13" s="2279"/>
      <c r="BI13" s="2279"/>
      <c r="BJ13" s="2279"/>
      <c r="BK13" s="2279"/>
      <c r="BL13" s="2279"/>
      <c r="BM13" s="2279"/>
      <c r="BN13" s="2279"/>
      <c r="BO13" s="2279"/>
    </row>
    <row r="14" spans="1:67" s="2031" customFormat="1" ht="14.25">
      <c r="A14" s="2311" t="s">
        <v>2008</v>
      </c>
      <c r="B14" s="2307" t="s">
        <v>2009</v>
      </c>
      <c r="C14" s="2312" t="s">
        <v>2008</v>
      </c>
      <c r="D14" s="1051"/>
      <c r="E14" s="1048"/>
      <c r="F14" s="72"/>
      <c r="G14" s="73"/>
      <c r="H14" s="1250"/>
      <c r="I14" s="1250"/>
      <c r="J14" s="1250"/>
      <c r="K14" s="1251">
        <f>SUMIF('数据-汇总表'!C$19:C$33,A14,'数据-汇总表'!E$19:E$33)</f>
        <v>0</v>
      </c>
      <c r="L14" s="91"/>
      <c r="M14" s="75">
        <f t="shared" si="0"/>
        <v>0</v>
      </c>
      <c r="N14" s="92"/>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15"/>
      <c r="AJ14" s="773"/>
      <c r="AK14" s="1263"/>
      <c r="AL14" s="1264"/>
      <c r="AM14" s="1265"/>
      <c r="AN14" s="2274"/>
      <c r="AO14" s="2279"/>
      <c r="AP14" s="2279"/>
      <c r="AQ14" s="2279"/>
      <c r="AR14" s="2279"/>
      <c r="AS14" s="2279"/>
      <c r="AT14" s="2279"/>
      <c r="AU14" s="2279"/>
      <c r="AV14" s="2279"/>
      <c r="AW14" s="2279"/>
      <c r="AX14" s="2279"/>
      <c r="AY14" s="2279"/>
      <c r="AZ14" s="2279"/>
      <c r="BA14" s="2279"/>
      <c r="BB14" s="2279"/>
      <c r="BC14" s="2279"/>
      <c r="BD14" s="2279"/>
      <c r="BE14" s="2279"/>
      <c r="BF14" s="2279"/>
      <c r="BG14" s="2279"/>
      <c r="BH14" s="2279"/>
      <c r="BI14" s="2279"/>
      <c r="BJ14" s="2279"/>
      <c r="BK14" s="2279"/>
      <c r="BL14" s="2279"/>
      <c r="BM14" s="2279"/>
      <c r="BN14" s="2279"/>
      <c r="BO14" s="2279"/>
    </row>
    <row r="15" spans="1:67" s="2031" customFormat="1" ht="27">
      <c r="A15" s="2311" t="s">
        <v>2010</v>
      </c>
      <c r="B15" s="2307" t="s">
        <v>2009</v>
      </c>
      <c r="C15" s="2312" t="s">
        <v>2011</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5"/>
      <c r="AJ15" s="773"/>
      <c r="AK15" s="1263"/>
      <c r="AL15" s="1264"/>
      <c r="AM15" s="1265"/>
      <c r="AN15" s="2274"/>
      <c r="AO15" s="2279"/>
      <c r="AP15" s="2279"/>
      <c r="AQ15" s="2279"/>
      <c r="AR15" s="2279"/>
      <c r="AS15" s="2279"/>
      <c r="AT15" s="2279"/>
      <c r="AU15" s="2279"/>
      <c r="AV15" s="2279"/>
      <c r="AW15" s="2279"/>
      <c r="AX15" s="2279"/>
      <c r="AY15" s="2279"/>
      <c r="AZ15" s="2279"/>
      <c r="BA15" s="2279"/>
      <c r="BB15" s="2279"/>
      <c r="BC15" s="2279"/>
      <c r="BD15" s="2279"/>
      <c r="BE15" s="2279"/>
      <c r="BF15" s="2279"/>
      <c r="BG15" s="2279"/>
      <c r="BH15" s="2279"/>
      <c r="BI15" s="2279"/>
      <c r="BJ15" s="2279"/>
      <c r="BK15" s="2279"/>
      <c r="BL15" s="2279"/>
      <c r="BM15" s="2279"/>
      <c r="BN15" s="2279"/>
      <c r="BO15" s="2279"/>
    </row>
    <row r="16" spans="1:67" s="2031" customFormat="1" ht="15.75" thickBot="1">
      <c r="A16" s="2313" t="s">
        <v>2012</v>
      </c>
      <c r="B16" s="97"/>
      <c r="C16" s="1005"/>
      <c r="D16" s="2314"/>
      <c r="E16" s="97"/>
      <c r="F16" s="97"/>
      <c r="G16" s="98">
        <f ca="1">ROUND(SUMPRODUCT(G6:G13,K6:K13)/SUMPRODUCT((G6:G13&gt;0)*(K6:K13)),3)</f>
        <v>0.80700000000000005</v>
      </c>
      <c r="H16" s="99">
        <f ca="1">ROUND(SUMPRODUCT(H6:H13,K6:K13)/SUMPRODUCT((H6:H13&gt;0)*(K6:K13)),3)</f>
        <v>4.8000000000000001E-2</v>
      </c>
      <c r="I16" s="100"/>
      <c r="J16" s="100"/>
      <c r="K16" s="101">
        <f>SUM(K6:K15)</f>
        <v>27202.3</v>
      </c>
      <c r="L16" s="102">
        <f>ROUND(M16*10000/SUM(K6:K14),0)</f>
        <v>2500</v>
      </c>
      <c r="M16" s="102">
        <f>SUM(M6:M14)</f>
        <v>6801</v>
      </c>
      <c r="N16" s="103">
        <f>ROUND(SUMPRODUCT(M6:M14,N6:N14)/M16,3)</f>
        <v>0.7</v>
      </c>
      <c r="O16" s="102">
        <f>SUM(O6:O14)</f>
        <v>0</v>
      </c>
      <c r="P16" s="102">
        <f>SUM(P6:P14)</f>
        <v>0</v>
      </c>
      <c r="Q16" s="104">
        <f>ROUND(SUMPRODUCT(Q6:Q13,K6:K13)/SUMPRODUCT((Q6:Q13&gt;0)*(K6:K13)),2)</f>
        <v>0.3</v>
      </c>
      <c r="R16" s="1255">
        <f ca="1">SUM(R6:R13)</f>
        <v>18455.759999999998</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4"/>
      <c r="AO16" s="2279"/>
      <c r="AP16" s="2279"/>
      <c r="AQ16" s="2279"/>
      <c r="AR16" s="2279"/>
      <c r="AS16" s="2279"/>
      <c r="AT16" s="2279"/>
      <c r="AU16" s="2279"/>
      <c r="AV16" s="2279"/>
      <c r="AW16" s="2279"/>
      <c r="AX16" s="2279"/>
      <c r="AY16" s="2279"/>
      <c r="AZ16" s="2279"/>
      <c r="BA16" s="2279"/>
      <c r="BB16" s="2279"/>
      <c r="BC16" s="2279"/>
      <c r="BD16" s="2279"/>
      <c r="BE16" s="2279"/>
      <c r="BF16" s="2279"/>
      <c r="BG16" s="2279"/>
      <c r="BH16" s="2279"/>
      <c r="BI16" s="2279"/>
      <c r="BJ16" s="2279"/>
      <c r="BK16" s="2279"/>
      <c r="BL16" s="2279"/>
      <c r="BM16" s="2279"/>
      <c r="BN16" s="2279"/>
      <c r="BO16" s="2279"/>
    </row>
    <row r="17" spans="1:67" ht="13.5" thickBot="1">
      <c r="A17" s="2315"/>
      <c r="B17" s="732"/>
      <c r="C17" s="1581"/>
      <c r="D17" s="2273"/>
      <c r="E17" s="2273"/>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2013</v>
      </c>
      <c r="B18" s="2280"/>
      <c r="C18" s="2277"/>
      <c r="D18" s="2278"/>
      <c r="E18" s="2277"/>
      <c r="F18" s="2277"/>
      <c r="G18" s="2277"/>
      <c r="H18" s="2277"/>
      <c r="I18" s="2277"/>
      <c r="J18" s="2277"/>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6" t="s">
        <v>2014</v>
      </c>
      <c r="B19" s="112">
        <v>0</v>
      </c>
      <c r="C19" s="2277" t="s">
        <v>2015</v>
      </c>
      <c r="D19" s="2278"/>
      <c r="E19" s="2277"/>
      <c r="F19" s="2277"/>
      <c r="G19" s="2277"/>
      <c r="H19" s="2277"/>
      <c r="I19" s="2277"/>
      <c r="J19" s="2277"/>
      <c r="K19" s="168"/>
      <c r="L19" s="168"/>
      <c r="M19" s="2976" t="s">
        <v>3185</v>
      </c>
      <c r="N19" s="2975">
        <f>ROUND(1-(1-收益法!M65)*(2019-1980)/收益法!J65,2)</f>
        <v>0.04</v>
      </c>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7" t="s">
        <v>2016</v>
      </c>
      <c r="B20" s="113">
        <v>1.5</v>
      </c>
      <c r="C20" s="2277" t="s">
        <v>2017</v>
      </c>
      <c r="D20" s="2278"/>
      <c r="E20" s="2277"/>
      <c r="F20" s="2277"/>
      <c r="G20" s="2277"/>
      <c r="H20" s="2277"/>
      <c r="I20" s="2277"/>
      <c r="J20" s="2277"/>
      <c r="K20" s="168"/>
      <c r="L20" s="168"/>
      <c r="M20" s="1581"/>
      <c r="N20" s="2975">
        <v>0.4</v>
      </c>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8" t="s">
        <v>2018</v>
      </c>
      <c r="B21" s="113">
        <v>1.5</v>
      </c>
      <c r="C21" s="2277"/>
      <c r="D21" s="2278"/>
      <c r="E21" s="2277"/>
      <c r="F21" s="2277"/>
      <c r="G21" s="2277"/>
      <c r="H21" s="2277"/>
      <c r="I21" s="2277"/>
      <c r="J21" s="2277"/>
      <c r="K21" s="168"/>
      <c r="L21" s="168"/>
      <c r="M21" s="1581"/>
      <c r="N21" s="2975">
        <v>0.8</v>
      </c>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17" t="s">
        <v>2019</v>
      </c>
      <c r="B22" s="114">
        <f>B19+B20</f>
        <v>1.5</v>
      </c>
      <c r="C22" s="2277"/>
      <c r="D22" s="2278"/>
      <c r="E22" s="2277"/>
      <c r="F22" s="2277"/>
      <c r="G22" s="2277"/>
      <c r="H22" s="2277"/>
      <c r="I22" s="2277"/>
      <c r="J22" s="2277"/>
      <c r="K22" s="168"/>
      <c r="L22" s="168"/>
      <c r="M22" s="1581"/>
      <c r="N22" s="2975">
        <f>(N20+N21)/2</f>
        <v>0.60000000000000009</v>
      </c>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8" t="s">
        <v>2020</v>
      </c>
      <c r="B23" s="114">
        <f>B19+B21</f>
        <v>1.5</v>
      </c>
      <c r="C23" s="2277"/>
      <c r="D23" s="2278"/>
      <c r="E23" s="2277"/>
      <c r="F23" s="2277"/>
      <c r="G23" s="2277"/>
      <c r="H23" s="2277"/>
      <c r="I23" s="2277"/>
      <c r="J23" s="2277"/>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9" t="s">
        <v>2021</v>
      </c>
      <c r="B24" s="115">
        <f>B20-B21</f>
        <v>0</v>
      </c>
      <c r="C24" s="2277"/>
      <c r="D24" s="2278"/>
      <c r="E24" s="2277"/>
      <c r="F24" s="2277"/>
      <c r="G24" s="2277"/>
      <c r="H24" s="2277"/>
      <c r="I24" s="2277"/>
      <c r="J24" s="2277"/>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9"/>
      <c r="B25" s="2280"/>
      <c r="C25" s="2277"/>
      <c r="D25" s="2278"/>
      <c r="E25" s="2277"/>
      <c r="F25" s="2277"/>
      <c r="G25" s="2277"/>
      <c r="H25" s="2277"/>
      <c r="I25" s="2277"/>
      <c r="J25" s="2277"/>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6" t="s">
        <v>2022</v>
      </c>
      <c r="B26" s="2320" t="s">
        <v>2023</v>
      </c>
      <c r="C26" s="2321" t="s">
        <v>2024</v>
      </c>
      <c r="D26" s="2278"/>
      <c r="E26" s="2277"/>
      <c r="F26" s="2277"/>
      <c r="G26" s="2277"/>
      <c r="H26" s="2277"/>
      <c r="I26" s="2277"/>
      <c r="J26" s="2277"/>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4" customFormat="1" ht="27.75">
      <c r="A27" s="2322" t="s">
        <v>2025</v>
      </c>
      <c r="B27" s="116">
        <v>160</v>
      </c>
      <c r="C27" s="1764" t="s">
        <v>2026</v>
      </c>
      <c r="D27" s="2323"/>
      <c r="E27" s="1427"/>
      <c r="F27" s="1427"/>
      <c r="G27" s="2277"/>
      <c r="H27" s="2277"/>
      <c r="I27" s="2277"/>
      <c r="J27" s="2277"/>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4" customFormat="1" ht="27.75">
      <c r="A28" s="2325" t="s">
        <v>2027</v>
      </c>
      <c r="B28" s="119">
        <v>200</v>
      </c>
      <c r="C28" s="2326"/>
      <c r="D28" s="2323"/>
      <c r="E28" s="1427"/>
      <c r="F28" s="1427"/>
      <c r="G28" s="2277"/>
      <c r="H28" s="2277"/>
      <c r="I28" s="2277"/>
      <c r="J28" s="2277"/>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4" customFormat="1" ht="28.5" thickBot="1">
      <c r="A29" s="2327" t="s">
        <v>2028</v>
      </c>
      <c r="B29" s="121">
        <f>ROUND(K16*B28/10000,0)</f>
        <v>544</v>
      </c>
      <c r="C29" s="1764" t="s">
        <v>2029</v>
      </c>
      <c r="D29" s="2323"/>
      <c r="E29" s="1427"/>
      <c r="F29" s="1427"/>
      <c r="G29" s="2277"/>
      <c r="H29" s="2277"/>
      <c r="I29" s="2277"/>
      <c r="J29" s="2277"/>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4" customFormat="1" ht="27">
      <c r="A30" s="2328" t="s">
        <v>2030</v>
      </c>
      <c r="B30" s="724">
        <v>200</v>
      </c>
      <c r="C30" s="2326"/>
      <c r="D30" s="2323"/>
      <c r="E30" s="1427"/>
      <c r="F30" s="1427"/>
      <c r="G30" s="2277"/>
      <c r="H30" s="2277"/>
      <c r="I30" s="2277"/>
      <c r="J30" s="2277"/>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4" customFormat="1" ht="27">
      <c r="A31" s="2325" t="s">
        <v>2031</v>
      </c>
      <c r="B31" s="120">
        <f>B30-B32</f>
        <v>200</v>
      </c>
      <c r="C31" s="1764"/>
      <c r="D31" s="2323"/>
      <c r="E31" s="1427"/>
      <c r="F31" s="1427"/>
      <c r="G31" s="2277"/>
      <c r="H31" s="2277"/>
      <c r="I31" s="2277"/>
      <c r="J31" s="2277"/>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4" customFormat="1" ht="27.75" thickBot="1">
      <c r="A32" s="2329" t="s">
        <v>2032</v>
      </c>
      <c r="B32" s="725">
        <v>0</v>
      </c>
      <c r="C32" s="2326"/>
      <c r="D32" s="2278"/>
      <c r="E32" s="2277"/>
      <c r="F32" s="2277"/>
      <c r="G32" s="2277"/>
      <c r="H32" s="2277"/>
      <c r="I32" s="2277"/>
      <c r="J32" s="2277"/>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4" customFormat="1" ht="14.25">
      <c r="A33" s="2322" t="s">
        <v>2033</v>
      </c>
      <c r="B33" s="726">
        <v>0.03</v>
      </c>
      <c r="C33" s="1763" t="s">
        <v>2034</v>
      </c>
      <c r="D33" s="2278"/>
      <c r="E33" s="2277"/>
      <c r="F33" s="2277"/>
      <c r="G33" s="2277"/>
      <c r="H33" s="2277"/>
      <c r="I33" s="2277"/>
      <c r="J33" s="2277"/>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4" customFormat="1" ht="14.25">
      <c r="A34" s="2325" t="s">
        <v>2035</v>
      </c>
      <c r="B34" s="122">
        <v>0</v>
      </c>
      <c r="C34" s="1763" t="s">
        <v>2036</v>
      </c>
      <c r="D34" s="2278" t="s">
        <v>2037</v>
      </c>
      <c r="E34" s="732"/>
      <c r="F34" s="2277"/>
      <c r="G34" s="2277"/>
      <c r="H34" s="2277"/>
      <c r="I34" s="2277"/>
      <c r="J34" s="2277"/>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4" customFormat="1" ht="14.25">
      <c r="A35" s="2325" t="s">
        <v>2038</v>
      </c>
      <c r="B35" s="119">
        <v>200</v>
      </c>
      <c r="C35" s="1763" t="s">
        <v>2039</v>
      </c>
      <c r="D35" s="2323"/>
      <c r="E35" s="1427"/>
      <c r="F35" s="1427"/>
      <c r="G35" s="2277"/>
      <c r="H35" s="2277"/>
      <c r="I35" s="2277"/>
      <c r="J35" s="2277"/>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7" t="s">
        <v>2040</v>
      </c>
      <c r="B36" s="123">
        <v>1.4999999999999999E-2</v>
      </c>
      <c r="C36" s="1763" t="s">
        <v>2041</v>
      </c>
      <c r="D36" s="2278"/>
      <c r="E36" s="2277"/>
      <c r="F36" s="2277"/>
      <c r="G36" s="2277"/>
      <c r="H36" s="2277"/>
      <c r="I36" s="2277"/>
      <c r="J36" s="2277"/>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8" t="s">
        <v>2042</v>
      </c>
      <c r="B37" s="124">
        <v>0.02</v>
      </c>
      <c r="C37" s="1763" t="s">
        <v>2043</v>
      </c>
      <c r="D37" s="2278"/>
      <c r="E37" s="2277"/>
      <c r="F37" s="2277"/>
      <c r="G37" s="2277"/>
      <c r="H37" s="2277"/>
      <c r="I37" s="2277"/>
      <c r="J37" s="2277"/>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5" t="s">
        <v>2044</v>
      </c>
      <c r="B38" s="122">
        <v>0.03</v>
      </c>
      <c r="C38" s="1763" t="s">
        <v>2043</v>
      </c>
      <c r="D38" s="2278"/>
      <c r="E38" s="2277"/>
      <c r="F38" s="2277"/>
      <c r="G38" s="2277"/>
      <c r="H38" s="2277"/>
      <c r="I38" s="2277"/>
      <c r="J38" s="2277"/>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9" t="s">
        <v>2045</v>
      </c>
      <c r="B39" s="362">
        <f ca="1">存贷款利率!I1</f>
        <v>1.4999999999999999E-2</v>
      </c>
      <c r="C39" s="1763"/>
      <c r="D39" s="2278"/>
      <c r="E39" s="2277"/>
      <c r="F39" s="2277"/>
      <c r="G39" s="2277"/>
      <c r="H39" s="2277"/>
      <c r="I39" s="2277"/>
      <c r="J39" s="2277"/>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9" t="s">
        <v>2046</v>
      </c>
      <c r="B40" s="1300">
        <f ca="1">存贷款利率!G1</f>
        <v>4.7500000000000001E-2</v>
      </c>
      <c r="C40" s="1763" t="s">
        <v>2047</v>
      </c>
      <c r="D40" s="1581"/>
      <c r="E40" s="2278"/>
      <c r="F40" s="2277"/>
      <c r="G40" s="2277"/>
      <c r="H40" s="2277"/>
      <c r="I40" s="2277"/>
      <c r="J40" s="2277"/>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22" t="s">
        <v>2048</v>
      </c>
      <c r="B41" s="125">
        <f>B42+B43</f>
        <v>5.6000000000000001E-2</v>
      </c>
      <c r="C41" s="1764"/>
      <c r="D41" s="1581"/>
      <c r="E41" s="2278"/>
      <c r="F41" s="2277"/>
      <c r="G41" s="2277"/>
      <c r="H41" s="2277"/>
      <c r="I41" s="2277"/>
      <c r="J41" s="2277"/>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30" t="s">
        <v>2049</v>
      </c>
      <c r="B42" s="126">
        <v>0.05</v>
      </c>
      <c r="C42" s="2331">
        <f>IF(B2&lt;DATE(2016,5,1),0,B42)</f>
        <v>0.05</v>
      </c>
      <c r="D42" s="2278"/>
      <c r="E42" s="2277"/>
      <c r="F42" s="2277"/>
      <c r="G42" s="2277"/>
      <c r="H42" s="2277"/>
      <c r="I42" s="2277"/>
      <c r="J42" s="2277"/>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30" t="s">
        <v>2050</v>
      </c>
      <c r="B43" s="127">
        <f>B42*(B44+B45+B46)+B47</f>
        <v>6.000000000000001E-3</v>
      </c>
      <c r="C43" s="1764"/>
      <c r="D43" s="2278"/>
      <c r="E43" s="2277"/>
      <c r="F43" s="2277"/>
      <c r="G43" s="2277"/>
      <c r="H43" s="2277"/>
      <c r="I43" s="2277"/>
      <c r="J43" s="2277"/>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32" t="s">
        <v>2051</v>
      </c>
      <c r="B44" s="128">
        <v>7.0000000000000007E-2</v>
      </c>
      <c r="C44" s="1763" t="s">
        <v>2052</v>
      </c>
      <c r="D44" s="2278"/>
      <c r="E44" s="2277"/>
      <c r="F44" s="2277"/>
      <c r="G44" s="2277"/>
      <c r="H44" s="2277"/>
      <c r="I44" s="2277"/>
      <c r="J44" s="2277"/>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32" t="s">
        <v>2053</v>
      </c>
      <c r="B45" s="126">
        <v>0.03</v>
      </c>
      <c r="C45" s="1764" t="s">
        <v>2054</v>
      </c>
      <c r="D45" s="2278"/>
      <c r="E45" s="2277"/>
      <c r="F45" s="2277"/>
      <c r="G45" s="2277"/>
      <c r="H45" s="2277"/>
      <c r="I45" s="2277"/>
      <c r="J45" s="2277"/>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32" t="s">
        <v>2055</v>
      </c>
      <c r="B46" s="126">
        <v>0.02</v>
      </c>
      <c r="C46" s="1764" t="s">
        <v>2056</v>
      </c>
      <c r="D46" s="2278"/>
      <c r="E46" s="2277"/>
      <c r="F46" s="2277"/>
      <c r="G46" s="2277"/>
      <c r="H46" s="2277"/>
      <c r="I46" s="2277"/>
      <c r="J46" s="2277"/>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33" t="s">
        <v>2057</v>
      </c>
      <c r="B47" s="129">
        <v>0</v>
      </c>
      <c r="C47" s="1764" t="s">
        <v>2058</v>
      </c>
      <c r="D47" s="2278"/>
      <c r="E47" s="2277"/>
      <c r="F47" s="2277"/>
      <c r="G47" s="2277"/>
      <c r="H47" s="2277"/>
      <c r="I47" s="2277"/>
      <c r="J47" s="2277"/>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4" t="s">
        <v>2059</v>
      </c>
      <c r="B48" s="130">
        <v>0.03</v>
      </c>
      <c r="C48" s="1771" t="s">
        <v>2060</v>
      </c>
      <c r="D48" s="2278"/>
      <c r="E48" s="2277"/>
      <c r="F48" s="2277"/>
      <c r="G48" s="2277"/>
      <c r="H48" s="2277"/>
      <c r="I48" s="2277"/>
      <c r="J48" s="2277"/>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9" t="s">
        <v>2061</v>
      </c>
      <c r="B49" s="126">
        <v>5.0000000000000001E-4</v>
      </c>
      <c r="C49" s="1771" t="s">
        <v>2062</v>
      </c>
      <c r="D49" s="2278"/>
      <c r="E49" s="2277"/>
      <c r="F49" s="2277"/>
      <c r="G49" s="2277"/>
      <c r="H49" s="2277"/>
      <c r="I49" s="2277"/>
      <c r="J49" s="2277"/>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5" t="s">
        <v>2063</v>
      </c>
      <c r="B50" s="131">
        <v>1.2E-2</v>
      </c>
      <c r="C50" s="1427"/>
      <c r="D50" s="2278"/>
      <c r="E50" s="2277"/>
      <c r="F50" s="2277"/>
      <c r="G50" s="2277"/>
      <c r="H50" s="2277"/>
      <c r="I50" s="2277"/>
      <c r="J50" s="2277"/>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7" t="s">
        <v>2064</v>
      </c>
      <c r="B51" s="132">
        <v>0.12</v>
      </c>
      <c r="C51" s="1427"/>
      <c r="D51" s="2278"/>
      <c r="E51" s="2277"/>
      <c r="F51" s="2277"/>
      <c r="G51" s="2277"/>
      <c r="H51" s="2277"/>
      <c r="I51" s="2277"/>
      <c r="J51" s="2277"/>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5" t="s">
        <v>2065</v>
      </c>
      <c r="B52" s="133">
        <f>SUMIF(A54:A63,B53,B54:B63)</f>
        <v>24</v>
      </c>
      <c r="C52" s="1427"/>
      <c r="D52" s="2278"/>
      <c r="E52" s="2277"/>
      <c r="F52" s="2277"/>
      <c r="G52" s="2277"/>
      <c r="H52" s="2277"/>
      <c r="I52" s="2277"/>
      <c r="J52" s="2277"/>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5" t="s">
        <v>2066</v>
      </c>
      <c r="B53" s="2336" t="s">
        <v>269</v>
      </c>
      <c r="C53" s="1427" t="s">
        <v>2067</v>
      </c>
      <c r="D53" s="2337" t="s">
        <v>2068</v>
      </c>
      <c r="E53" s="2277"/>
      <c r="F53" s="2277"/>
      <c r="G53" s="2277"/>
      <c r="H53" s="2277"/>
      <c r="I53" s="2277"/>
      <c r="J53" s="2277"/>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8" t="s">
        <v>2069</v>
      </c>
      <c r="B54" s="84"/>
      <c r="C54" s="1427">
        <v>30</v>
      </c>
      <c r="D54" s="2278"/>
      <c r="E54" s="2277"/>
      <c r="F54" s="2277"/>
      <c r="G54" s="2277"/>
      <c r="H54" s="2277"/>
      <c r="I54" s="2277"/>
      <c r="J54" s="2277"/>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8" t="s">
        <v>2070</v>
      </c>
      <c r="B55" s="84">
        <v>24</v>
      </c>
      <c r="C55" s="1427">
        <v>24</v>
      </c>
      <c r="D55" s="2278"/>
      <c r="E55" s="2277"/>
      <c r="F55" s="2277"/>
      <c r="G55" s="2277"/>
      <c r="H55" s="2277"/>
      <c r="I55" s="2339"/>
      <c r="J55" s="2277"/>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8" t="s">
        <v>2071</v>
      </c>
      <c r="B56" s="84"/>
      <c r="C56" s="1427">
        <v>18</v>
      </c>
      <c r="D56" s="2278"/>
      <c r="E56" s="2277"/>
      <c r="F56" s="2277"/>
      <c r="G56" s="2277"/>
      <c r="H56" s="2277"/>
      <c r="I56" s="2277"/>
      <c r="J56" s="2277"/>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8" t="s">
        <v>2072</v>
      </c>
      <c r="B57" s="84"/>
      <c r="C57" s="1427">
        <v>12</v>
      </c>
      <c r="D57" s="2278"/>
      <c r="E57" s="2277"/>
      <c r="F57" s="2277"/>
      <c r="G57" s="2277"/>
      <c r="H57" s="2277"/>
      <c r="I57" s="2277"/>
      <c r="J57" s="2277"/>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8" t="s">
        <v>2073</v>
      </c>
      <c r="B58" s="84"/>
      <c r="C58" s="1427">
        <v>3</v>
      </c>
      <c r="D58" s="2278"/>
      <c r="E58" s="2277"/>
      <c r="F58" s="2277"/>
      <c r="G58" s="2277"/>
      <c r="H58" s="2277"/>
      <c r="I58" s="2277"/>
      <c r="J58" s="2277"/>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8" t="s">
        <v>2074</v>
      </c>
      <c r="B59" s="84"/>
      <c r="C59" s="1427">
        <v>1.5</v>
      </c>
      <c r="D59" s="2278"/>
      <c r="E59" s="2277"/>
      <c r="F59" s="2277"/>
      <c r="G59" s="2277"/>
      <c r="H59" s="2277"/>
      <c r="I59" s="2277"/>
      <c r="J59" s="2277"/>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8" t="s">
        <v>2075</v>
      </c>
      <c r="B60" s="84"/>
      <c r="C60" s="2277"/>
      <c r="D60" s="2278"/>
      <c r="E60" s="2277"/>
      <c r="F60" s="2277"/>
      <c r="G60" s="2277"/>
      <c r="H60" s="2277"/>
      <c r="I60" s="2277"/>
      <c r="J60" s="2277"/>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8" t="s">
        <v>2076</v>
      </c>
      <c r="B61" s="84"/>
      <c r="C61" s="2277"/>
      <c r="D61" s="2278"/>
      <c r="E61" s="2277"/>
      <c r="F61" s="2277"/>
      <c r="G61" s="2277"/>
      <c r="H61" s="2277"/>
      <c r="I61" s="2277"/>
      <c r="J61" s="2277"/>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8" t="s">
        <v>2077</v>
      </c>
      <c r="B62" s="84"/>
      <c r="C62" s="2277"/>
      <c r="D62" s="2278"/>
      <c r="E62" s="2277"/>
      <c r="F62" s="2277"/>
      <c r="G62" s="2277"/>
      <c r="H62" s="2277"/>
      <c r="I62" s="2277"/>
      <c r="J62" s="2277"/>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40" t="s">
        <v>2078</v>
      </c>
      <c r="B63" s="134"/>
      <c r="C63" s="2277"/>
      <c r="D63" s="2278"/>
      <c r="E63" s="2277"/>
      <c r="F63" s="2277"/>
      <c r="G63" s="2277"/>
      <c r="H63" s="2277"/>
      <c r="I63" s="2277"/>
      <c r="J63" s="2277"/>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41"/>
      <c r="D64" s="2342"/>
      <c r="K64" s="798"/>
      <c r="L64" s="798"/>
    </row>
    <row r="65" spans="1:12" s="964" customFormat="1">
      <c r="A65" s="2341"/>
      <c r="D65" s="2342"/>
      <c r="K65" s="798"/>
      <c r="L65" s="798"/>
    </row>
    <row r="66" spans="1:12" s="964" customFormat="1">
      <c r="A66" s="2341"/>
      <c r="D66" s="2342"/>
      <c r="K66" s="798"/>
      <c r="L66" s="798"/>
    </row>
    <row r="67" spans="1:12" s="964" customFormat="1">
      <c r="A67" s="2341"/>
      <c r="D67" s="2342"/>
      <c r="K67" s="798"/>
      <c r="L67" s="798"/>
    </row>
    <row r="68" spans="1:12" s="964" customFormat="1">
      <c r="A68" s="2341"/>
      <c r="D68" s="2342"/>
      <c r="K68" s="798"/>
      <c r="L68" s="798"/>
    </row>
    <row r="69" spans="1:12" s="964" customFormat="1">
      <c r="A69" s="2341"/>
      <c r="D69" s="2342"/>
      <c r="K69" s="798"/>
      <c r="L69" s="798"/>
    </row>
    <row r="70" spans="1:12" s="964" customFormat="1">
      <c r="A70" s="2341"/>
      <c r="D70" s="2342"/>
      <c r="K70" s="798"/>
      <c r="L70" s="798"/>
    </row>
    <row r="71" spans="1:12" s="964" customFormat="1">
      <c r="A71" s="2341"/>
      <c r="D71" s="2342"/>
      <c r="K71" s="798"/>
      <c r="L71" s="798"/>
    </row>
    <row r="72" spans="1:12" s="964" customFormat="1">
      <c r="A72" s="2341"/>
      <c r="D72" s="2342"/>
      <c r="K72" s="798"/>
      <c r="L72" s="798"/>
    </row>
    <row r="73" spans="1:12" s="964" customFormat="1">
      <c r="A73" s="2341"/>
      <c r="D73" s="2342"/>
      <c r="K73" s="798"/>
      <c r="L73" s="798"/>
    </row>
    <row r="74" spans="1:12" s="964" customFormat="1">
      <c r="A74" s="2341"/>
      <c r="D74" s="2342"/>
      <c r="K74" s="798"/>
      <c r="L74" s="798"/>
    </row>
    <row r="75" spans="1:12" s="964" customFormat="1">
      <c r="A75" s="2341"/>
      <c r="D75" s="2342"/>
      <c r="K75" s="798"/>
      <c r="L75" s="798"/>
    </row>
    <row r="76" spans="1:12" s="964" customFormat="1">
      <c r="A76" s="2341"/>
      <c r="D76" s="2342"/>
      <c r="K76" s="798"/>
      <c r="L76" s="798"/>
    </row>
    <row r="77" spans="1:12" s="964" customFormat="1">
      <c r="A77" s="2341"/>
      <c r="D77" s="2342"/>
      <c r="K77" s="798"/>
      <c r="L77" s="798"/>
    </row>
    <row r="78" spans="1:12" s="964" customFormat="1">
      <c r="A78" s="2341"/>
      <c r="D78" s="2342"/>
      <c r="K78" s="798"/>
      <c r="L78" s="798"/>
    </row>
    <row r="79" spans="1:12" s="964" customFormat="1">
      <c r="A79" s="2341"/>
      <c r="D79" s="2342"/>
      <c r="K79" s="798"/>
      <c r="L79" s="798"/>
    </row>
    <row r="80" spans="1:12" s="964" customFormat="1">
      <c r="A80" s="2341"/>
      <c r="D80" s="2342"/>
      <c r="K80" s="798"/>
      <c r="L80" s="798"/>
    </row>
    <row r="81" spans="1:12" s="964" customFormat="1">
      <c r="A81" s="2341"/>
      <c r="D81" s="2342"/>
      <c r="K81" s="798"/>
      <c r="L81" s="798"/>
    </row>
    <row r="82" spans="1:12" s="964" customFormat="1">
      <c r="A82" s="2341"/>
      <c r="D82" s="2342"/>
      <c r="K82" s="798"/>
      <c r="L82" s="798"/>
    </row>
    <row r="83" spans="1:12" s="964" customFormat="1">
      <c r="A83" s="2341"/>
      <c r="D83" s="2342"/>
      <c r="K83" s="798"/>
      <c r="L83" s="798"/>
    </row>
    <row r="84" spans="1:12" s="964" customFormat="1">
      <c r="A84" s="2341"/>
      <c r="D84" s="2342"/>
      <c r="K84" s="798"/>
      <c r="L84" s="798"/>
    </row>
    <row r="85" spans="1:12" s="964" customFormat="1">
      <c r="A85" s="2341"/>
      <c r="D85" s="2342"/>
      <c r="K85" s="798"/>
      <c r="L85" s="798"/>
    </row>
    <row r="86" spans="1:12" s="964" customFormat="1">
      <c r="A86" s="2341"/>
      <c r="D86" s="2342"/>
      <c r="K86" s="798"/>
      <c r="L86" s="798"/>
    </row>
    <row r="87" spans="1:12" s="964" customFormat="1">
      <c r="A87" s="2341"/>
      <c r="D87" s="2342"/>
      <c r="K87" s="798"/>
      <c r="L87" s="798"/>
    </row>
    <row r="88" spans="1:12" s="964" customFormat="1">
      <c r="A88" s="2341"/>
      <c r="D88" s="2342"/>
      <c r="K88" s="798"/>
      <c r="L88" s="798"/>
    </row>
    <row r="89" spans="1:12" s="964" customFormat="1">
      <c r="A89" s="2341"/>
      <c r="D89" s="2342"/>
      <c r="K89" s="798"/>
      <c r="L89" s="798"/>
    </row>
    <row r="90" spans="1:12" s="964" customFormat="1">
      <c r="A90" s="2341"/>
      <c r="D90" s="2342"/>
      <c r="K90" s="798"/>
      <c r="L90" s="798"/>
    </row>
    <row r="91" spans="1:12" s="964" customFormat="1">
      <c r="A91" s="2341"/>
      <c r="D91" s="2342"/>
      <c r="K91" s="798"/>
      <c r="L91" s="798"/>
    </row>
    <row r="92" spans="1:12" s="964" customFormat="1">
      <c r="A92" s="2341"/>
      <c r="D92" s="2342"/>
      <c r="K92" s="798"/>
      <c r="L92" s="798"/>
    </row>
    <row r="93" spans="1:12" s="964" customFormat="1">
      <c r="A93" s="2341"/>
      <c r="D93" s="2342"/>
      <c r="K93" s="798"/>
      <c r="L93" s="798"/>
    </row>
    <row r="94" spans="1:12" s="964" customFormat="1">
      <c r="A94" s="2341"/>
      <c r="D94" s="2342"/>
      <c r="K94" s="798"/>
      <c r="L94" s="798"/>
    </row>
    <row r="95" spans="1:12" s="964" customFormat="1">
      <c r="A95" s="2341"/>
      <c r="D95" s="2342"/>
      <c r="K95" s="798"/>
      <c r="L95" s="798"/>
    </row>
    <row r="96" spans="1:12" s="964" customFormat="1">
      <c r="A96" s="2341"/>
      <c r="D96" s="2342"/>
      <c r="K96" s="798"/>
      <c r="L96" s="798"/>
    </row>
    <row r="97" spans="1:12" s="964" customFormat="1">
      <c r="A97" s="2341"/>
      <c r="D97" s="2342"/>
      <c r="K97" s="798"/>
      <c r="L97" s="798"/>
    </row>
    <row r="98" spans="1:12" s="964" customFormat="1">
      <c r="A98" s="2341"/>
      <c r="D98" s="2342"/>
      <c r="K98" s="798"/>
      <c r="L98" s="798"/>
    </row>
    <row r="99" spans="1:12" s="964" customFormat="1">
      <c r="A99" s="2341"/>
      <c r="D99" s="2342"/>
      <c r="K99" s="798"/>
      <c r="L99" s="798"/>
    </row>
    <row r="100" spans="1:12" s="964" customFormat="1">
      <c r="A100" s="2341"/>
      <c r="D100" s="2342"/>
      <c r="K100" s="798"/>
      <c r="L100" s="798"/>
    </row>
    <row r="101" spans="1:12" s="964" customFormat="1">
      <c r="A101" s="2341"/>
      <c r="D101" s="2342"/>
      <c r="K101" s="798"/>
      <c r="L101" s="798"/>
    </row>
    <row r="102" spans="1:12" s="964" customFormat="1">
      <c r="A102" s="2341"/>
      <c r="D102" s="2342"/>
      <c r="K102" s="798"/>
      <c r="L102" s="798"/>
    </row>
    <row r="103" spans="1:12" s="964" customFormat="1">
      <c r="A103" s="2341"/>
      <c r="D103" s="2342"/>
      <c r="K103" s="798"/>
      <c r="L103" s="798"/>
    </row>
    <row r="104" spans="1:12" s="964" customFormat="1">
      <c r="A104" s="2341"/>
      <c r="D104" s="2342"/>
      <c r="K104" s="798"/>
      <c r="L104" s="798"/>
    </row>
    <row r="105" spans="1:12" s="964" customFormat="1">
      <c r="A105" s="2341"/>
      <c r="D105" s="2342"/>
      <c r="K105" s="798"/>
      <c r="L105" s="798"/>
    </row>
    <row r="106" spans="1:12" s="964" customFormat="1">
      <c r="A106" s="2341"/>
      <c r="D106" s="2342"/>
      <c r="K106" s="798"/>
      <c r="L106" s="798"/>
    </row>
    <row r="107" spans="1:12" s="964" customFormat="1">
      <c r="A107" s="2341"/>
      <c r="D107" s="2342"/>
      <c r="K107" s="798"/>
      <c r="L107" s="798"/>
    </row>
    <row r="108" spans="1:12" s="964" customFormat="1">
      <c r="A108" s="2341"/>
      <c r="D108" s="2342"/>
      <c r="K108" s="798"/>
      <c r="L108" s="798"/>
    </row>
    <row r="109" spans="1:12" s="964" customFormat="1">
      <c r="A109" s="2341"/>
      <c r="D109" s="2342"/>
      <c r="K109" s="798"/>
      <c r="L109" s="798"/>
    </row>
    <row r="110" spans="1:12" s="964" customFormat="1">
      <c r="A110" s="2341"/>
      <c r="D110" s="2342"/>
      <c r="K110" s="798"/>
      <c r="L110" s="798"/>
    </row>
    <row r="111" spans="1:12" s="964" customFormat="1">
      <c r="A111" s="2341"/>
      <c r="D111" s="2342"/>
      <c r="K111" s="798"/>
      <c r="L111" s="798"/>
    </row>
    <row r="112" spans="1:12" s="964" customFormat="1">
      <c r="A112" s="2341"/>
      <c r="D112" s="2342"/>
      <c r="K112" s="798"/>
      <c r="L112" s="798"/>
    </row>
    <row r="113" spans="1:12" s="964" customFormat="1">
      <c r="A113" s="2341"/>
      <c r="D113" s="2342"/>
      <c r="K113" s="798"/>
      <c r="L113" s="798"/>
    </row>
    <row r="114" spans="1:12" s="964" customFormat="1">
      <c r="A114" s="2341"/>
      <c r="D114" s="2342"/>
      <c r="K114" s="798"/>
      <c r="L114" s="798"/>
    </row>
    <row r="115" spans="1:12" s="964" customFormat="1">
      <c r="A115" s="2341"/>
      <c r="D115" s="2342"/>
      <c r="K115" s="798"/>
      <c r="L115" s="798"/>
    </row>
    <row r="116" spans="1:12" s="964" customFormat="1">
      <c r="A116" s="2341"/>
      <c r="D116" s="2342"/>
      <c r="K116" s="798"/>
      <c r="L116" s="798"/>
    </row>
    <row r="117" spans="1:12" s="964" customFormat="1">
      <c r="A117" s="2341"/>
      <c r="D117" s="2342"/>
      <c r="K117" s="798"/>
      <c r="L117" s="798"/>
    </row>
    <row r="118" spans="1:12" s="964" customFormat="1">
      <c r="A118" s="2341"/>
      <c r="D118" s="2342"/>
      <c r="K118" s="798"/>
      <c r="L118" s="798"/>
    </row>
    <row r="119" spans="1:12" s="964" customFormat="1">
      <c r="A119" s="2341"/>
      <c r="D119" s="2342"/>
      <c r="K119" s="798"/>
      <c r="L119" s="798"/>
    </row>
    <row r="120" spans="1:12" s="964" customFormat="1">
      <c r="A120" s="2341"/>
      <c r="D120" s="2342"/>
      <c r="K120" s="798"/>
      <c r="L120" s="798"/>
    </row>
    <row r="121" spans="1:12" s="964" customFormat="1">
      <c r="A121" s="2341"/>
      <c r="D121" s="2342"/>
      <c r="K121" s="798"/>
      <c r="L121" s="798"/>
    </row>
    <row r="122" spans="1:12" s="964" customFormat="1">
      <c r="A122" s="2341"/>
      <c r="D122" s="2342"/>
      <c r="K122" s="798"/>
      <c r="L122" s="798"/>
    </row>
    <row r="123" spans="1:12" s="964" customFormat="1">
      <c r="A123" s="2341"/>
      <c r="D123" s="2342"/>
      <c r="K123" s="798"/>
      <c r="L123" s="798"/>
    </row>
    <row r="124" spans="1:12" s="964" customFormat="1">
      <c r="A124" s="2341"/>
      <c r="D124" s="2342"/>
      <c r="K124" s="798"/>
      <c r="L124" s="798"/>
    </row>
    <row r="125" spans="1:12" s="964" customFormat="1">
      <c r="A125" s="2341"/>
      <c r="D125" s="2342"/>
      <c r="K125" s="798"/>
      <c r="L125" s="798"/>
    </row>
    <row r="126" spans="1:12" s="964" customFormat="1">
      <c r="A126" s="2341"/>
      <c r="D126" s="2342"/>
      <c r="K126" s="798"/>
      <c r="L126" s="798"/>
    </row>
    <row r="127" spans="1:12" s="964" customFormat="1">
      <c r="A127" s="2341"/>
      <c r="D127" s="2342"/>
      <c r="K127" s="798"/>
      <c r="L127" s="798"/>
    </row>
    <row r="128" spans="1:12" s="964" customFormat="1">
      <c r="A128" s="2341"/>
      <c r="D128" s="2342"/>
      <c r="K128" s="798"/>
      <c r="L128" s="798"/>
    </row>
    <row r="129" spans="1:12" s="964" customFormat="1">
      <c r="A129" s="2341"/>
      <c r="D129" s="2342"/>
      <c r="K129" s="798"/>
      <c r="L129" s="798"/>
    </row>
    <row r="130" spans="1:12" s="964" customFormat="1">
      <c r="A130" s="2341"/>
      <c r="D130" s="2342"/>
      <c r="K130" s="798"/>
      <c r="L130" s="798"/>
    </row>
    <row r="131" spans="1:12" s="964" customFormat="1">
      <c r="A131" s="2341"/>
      <c r="D131" s="2342"/>
      <c r="K131" s="798"/>
      <c r="L131" s="798"/>
    </row>
    <row r="132" spans="1:12" s="964" customFormat="1">
      <c r="A132" s="2341"/>
      <c r="D132" s="2342"/>
      <c r="K132" s="798"/>
      <c r="L132" s="798"/>
    </row>
    <row r="133" spans="1:12" s="964" customFormat="1">
      <c r="A133" s="2341"/>
      <c r="D133" s="2342"/>
      <c r="K133" s="798"/>
      <c r="L133" s="798"/>
    </row>
    <row r="134" spans="1:12" s="2274" customFormat="1">
      <c r="A134" s="2343"/>
      <c r="D134" s="2344"/>
      <c r="K134" s="27"/>
      <c r="L134" s="27"/>
    </row>
    <row r="135" spans="1:12" s="2274" customFormat="1">
      <c r="A135" s="2343"/>
      <c r="D135" s="2344"/>
      <c r="K135" s="27"/>
      <c r="L135" s="27"/>
    </row>
    <row r="136" spans="1:12" s="2274" customFormat="1">
      <c r="A136" s="2343"/>
      <c r="D136" s="2344"/>
      <c r="K136" s="27"/>
      <c r="L136" s="27"/>
    </row>
    <row r="137" spans="1:12" s="2274" customFormat="1">
      <c r="A137" s="2343"/>
      <c r="D137" s="2344"/>
      <c r="K137" s="27"/>
      <c r="L137" s="27"/>
    </row>
    <row r="138" spans="1:12" s="2274" customFormat="1">
      <c r="A138" s="2343"/>
      <c r="D138" s="2344"/>
      <c r="K138" s="27"/>
      <c r="L138" s="27"/>
    </row>
    <row r="139" spans="1:12" s="2274" customFormat="1">
      <c r="A139" s="2343"/>
      <c r="D139" s="2344"/>
      <c r="K139" s="27"/>
      <c r="L139" s="27"/>
    </row>
    <row r="140" spans="1:12" s="2274" customFormat="1">
      <c r="A140" s="2343"/>
      <c r="D140" s="2344"/>
      <c r="K140" s="27"/>
      <c r="L140" s="27"/>
    </row>
    <row r="141" spans="1:12" s="2274" customFormat="1">
      <c r="A141" s="2343"/>
      <c r="D141" s="2344"/>
      <c r="K141" s="27"/>
      <c r="L141" s="27"/>
    </row>
    <row r="142" spans="1:12" s="2274" customFormat="1">
      <c r="A142" s="2343"/>
      <c r="D142" s="2344"/>
      <c r="K142" s="27"/>
      <c r="L142" s="27"/>
    </row>
    <row r="143" spans="1:12" s="2274" customFormat="1">
      <c r="A143" s="2343"/>
      <c r="D143" s="2344"/>
      <c r="K143" s="27"/>
      <c r="L143" s="27"/>
    </row>
    <row r="144" spans="1:12" s="2274" customFormat="1">
      <c r="A144" s="2343"/>
      <c r="D144" s="2344"/>
      <c r="K144" s="27"/>
      <c r="L144" s="27"/>
    </row>
    <row r="145" spans="1:12" s="2274" customFormat="1">
      <c r="A145" s="2343"/>
      <c r="D145" s="2344"/>
      <c r="K145" s="27"/>
      <c r="L145" s="27"/>
    </row>
    <row r="146" spans="1:12" s="2274" customFormat="1">
      <c r="A146" s="2343"/>
      <c r="D146" s="2344"/>
      <c r="K146" s="27"/>
      <c r="L146" s="27"/>
    </row>
    <row r="147" spans="1:12" s="2274" customFormat="1">
      <c r="A147" s="2343"/>
      <c r="D147" s="2344"/>
      <c r="K147" s="27"/>
      <c r="L147" s="27"/>
    </row>
    <row r="148" spans="1:12" s="2274" customFormat="1">
      <c r="A148" s="2343"/>
      <c r="D148" s="2344"/>
      <c r="K148" s="27"/>
      <c r="L148" s="27"/>
    </row>
    <row r="149" spans="1:12" s="2274" customFormat="1">
      <c r="A149" s="2343"/>
      <c r="D149" s="2344"/>
      <c r="K149" s="27"/>
      <c r="L149" s="27"/>
    </row>
    <row r="150" spans="1:12" s="2274" customFormat="1">
      <c r="A150" s="2343"/>
      <c r="D150" s="2344"/>
      <c r="K150" s="27"/>
      <c r="L150" s="27"/>
    </row>
    <row r="151" spans="1:12" s="2274" customFormat="1">
      <c r="A151" s="2343"/>
      <c r="D151" s="2344"/>
      <c r="K151" s="27"/>
      <c r="L151" s="27"/>
    </row>
    <row r="152" spans="1:12" s="2274" customFormat="1">
      <c r="A152" s="2343"/>
      <c r="D152" s="2344"/>
      <c r="K152" s="27"/>
      <c r="L152" s="27"/>
    </row>
    <row r="153" spans="1:12" s="2274" customFormat="1">
      <c r="A153" s="2343"/>
      <c r="D153" s="2344"/>
      <c r="K153" s="27"/>
      <c r="L153" s="27"/>
    </row>
    <row r="154" spans="1:12" s="2274" customFormat="1">
      <c r="A154" s="2343"/>
      <c r="D154" s="2344"/>
      <c r="K154" s="27"/>
      <c r="L154" s="27"/>
    </row>
    <row r="155" spans="1:12" s="2274" customFormat="1">
      <c r="A155" s="2343"/>
      <c r="D155" s="2344"/>
      <c r="K155" s="27"/>
      <c r="L155" s="27"/>
    </row>
    <row r="156" spans="1:12" s="2274" customFormat="1">
      <c r="A156" s="2343"/>
      <c r="D156" s="2344"/>
      <c r="K156" s="27"/>
      <c r="L156" s="27"/>
    </row>
    <row r="157" spans="1:12" s="2274" customFormat="1">
      <c r="A157" s="2343"/>
      <c r="D157" s="2344"/>
      <c r="K157" s="27"/>
      <c r="L157" s="27"/>
    </row>
    <row r="158" spans="1:12" s="2274" customFormat="1">
      <c r="A158" s="2343"/>
      <c r="D158" s="2344"/>
      <c r="K158" s="27"/>
      <c r="L158" s="27"/>
    </row>
    <row r="159" spans="1:12" s="2274" customFormat="1">
      <c r="A159" s="2343"/>
      <c r="D159" s="2344"/>
      <c r="K159" s="27"/>
      <c r="L159" s="27"/>
    </row>
    <row r="160" spans="1:12" s="2274" customFormat="1">
      <c r="A160" s="2343"/>
      <c r="D160" s="2344"/>
      <c r="K160" s="27"/>
      <c r="L160" s="27"/>
    </row>
    <row r="161" spans="1:12" s="2274" customFormat="1">
      <c r="A161" s="2343"/>
      <c r="D161" s="2344"/>
      <c r="K161" s="27"/>
      <c r="L161" s="27"/>
    </row>
    <row r="162" spans="1:12" s="2274" customFormat="1">
      <c r="A162" s="2343"/>
      <c r="D162" s="2344"/>
      <c r="K162" s="27"/>
      <c r="L162" s="27"/>
    </row>
    <row r="163" spans="1:12" s="2274" customFormat="1">
      <c r="A163" s="2343"/>
      <c r="D163" s="2344"/>
      <c r="K163" s="27"/>
      <c r="L163" s="27"/>
    </row>
    <row r="164" spans="1:12" s="2274" customFormat="1">
      <c r="A164" s="2343"/>
      <c r="D164" s="2344"/>
      <c r="K164" s="27"/>
      <c r="L164" s="27"/>
    </row>
    <row r="165" spans="1:12" s="2274" customFormat="1">
      <c r="A165" s="2343"/>
      <c r="D165" s="2344"/>
      <c r="K165" s="27"/>
      <c r="L165" s="27"/>
    </row>
    <row r="166" spans="1:12" s="2274" customFormat="1">
      <c r="A166" s="2343"/>
      <c r="D166" s="2344"/>
      <c r="K166" s="27"/>
      <c r="L166" s="27"/>
    </row>
    <row r="167" spans="1:12" s="2274" customFormat="1">
      <c r="A167" s="2343"/>
      <c r="D167" s="2344"/>
      <c r="K167" s="27"/>
      <c r="L167" s="27"/>
    </row>
    <row r="168" spans="1:12" s="2274" customFormat="1">
      <c r="A168" s="2343"/>
      <c r="D168" s="2344"/>
      <c r="K168" s="27"/>
      <c r="L168" s="27"/>
    </row>
    <row r="169" spans="1:12" s="2274" customFormat="1">
      <c r="A169" s="2343"/>
      <c r="D169" s="2344"/>
      <c r="K169" s="27"/>
      <c r="L169" s="27"/>
    </row>
    <row r="170" spans="1:12" s="2274" customFormat="1">
      <c r="A170" s="2343"/>
      <c r="D170" s="2344"/>
      <c r="K170" s="27"/>
      <c r="L170" s="27"/>
    </row>
    <row r="171" spans="1:12" s="2274" customFormat="1">
      <c r="A171" s="2343"/>
      <c r="D171" s="2344"/>
      <c r="K171" s="27"/>
      <c r="L171" s="27"/>
    </row>
    <row r="172" spans="1:12" s="2274" customFormat="1">
      <c r="A172" s="2343"/>
      <c r="D172" s="2344"/>
      <c r="K172" s="27"/>
      <c r="L172" s="27"/>
    </row>
    <row r="173" spans="1:12" s="2274" customFormat="1">
      <c r="A173" s="2343"/>
      <c r="D173" s="2344"/>
      <c r="K173" s="27"/>
      <c r="L173" s="27"/>
    </row>
    <row r="174" spans="1:12" s="2274" customFormat="1">
      <c r="A174" s="2343"/>
      <c r="D174" s="2344"/>
      <c r="K174" s="27"/>
      <c r="L174" s="27"/>
    </row>
  </sheetData>
  <sheetProtection password="C66D" sheet="1" objects="1" scenarios="1" formatCells="0" formatColumns="0" formatRows="0"/>
  <phoneticPr fontId="5"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69" customWidth="1"/>
    <col min="2" max="2" width="24.5" style="2417" customWidth="1"/>
    <col min="3" max="3" width="24.5" style="2416" customWidth="1"/>
    <col min="4" max="4" width="2.625" style="2416" customWidth="1"/>
    <col min="5" max="5" width="5.875" style="2416" customWidth="1"/>
    <col min="6" max="6" width="27" style="2417" customWidth="1"/>
    <col min="7" max="7" width="27" style="2418" customWidth="1"/>
    <col min="8" max="8" width="11.875" style="2396" customWidth="1"/>
    <col min="9" max="9" width="16.75" style="2397" customWidth="1"/>
    <col min="10" max="10" width="2.625" style="2396" customWidth="1"/>
    <col min="11" max="11" width="11.875" style="2396" customWidth="1"/>
    <col min="12" max="12" width="16.75" style="2397" customWidth="1"/>
    <col min="13" max="13" width="2.625" style="2396" customWidth="1"/>
    <col min="14" max="14" width="11.875" style="2396" customWidth="1"/>
    <col min="15" max="15" width="16.75" style="2397" customWidth="1"/>
    <col min="16" max="16" width="2.625" style="2396" customWidth="1"/>
    <col min="17" max="17" width="11.875" style="2396" customWidth="1"/>
    <col min="18" max="18" width="16.75" style="2398" customWidth="1"/>
    <col min="19" max="29" width="9" style="2368"/>
    <col min="30" max="16384" width="9" style="2369"/>
  </cols>
  <sheetData>
    <row r="1" spans="1:29" s="2362" customFormat="1" ht="19.5" thickBot="1">
      <c r="A1" s="3114" t="s">
        <v>2079</v>
      </c>
      <c r="B1" s="3115"/>
      <c r="C1" s="3115"/>
      <c r="D1" s="3115"/>
      <c r="E1" s="3115"/>
      <c r="F1" s="3115"/>
      <c r="G1" s="3115"/>
      <c r="H1" s="2357"/>
      <c r="I1" s="2358"/>
      <c r="J1" s="2357"/>
      <c r="K1" s="2357"/>
      <c r="L1" s="2358"/>
      <c r="M1" s="2357"/>
      <c r="N1" s="2357"/>
      <c r="O1" s="2358"/>
      <c r="P1" s="2357"/>
      <c r="Q1" s="2359"/>
      <c r="R1" s="2360"/>
      <c r="S1" s="2361"/>
      <c r="T1" s="2361"/>
      <c r="U1" s="2361"/>
      <c r="V1" s="2361"/>
      <c r="W1" s="2361"/>
      <c r="X1" s="2361"/>
      <c r="Y1" s="2361"/>
      <c r="Z1" s="2361"/>
      <c r="AA1" s="2361"/>
      <c r="AB1" s="2361"/>
      <c r="AC1" s="2361"/>
    </row>
    <row r="2" spans="1:29" ht="15.75" thickBot="1">
      <c r="A2" s="2363"/>
      <c r="B2" s="2364"/>
      <c r="C2" s="2365" t="s">
        <v>2080</v>
      </c>
      <c r="D2" s="2366"/>
      <c r="E2" s="2367"/>
      <c r="F2" s="2286"/>
      <c r="G2" s="2365" t="s">
        <v>2081</v>
      </c>
      <c r="H2" s="2368"/>
      <c r="I2" s="2368"/>
      <c r="J2" s="2368"/>
      <c r="K2" s="2368"/>
      <c r="L2" s="2368"/>
      <c r="M2" s="2368"/>
      <c r="N2" s="2368"/>
      <c r="O2" s="2368"/>
      <c r="P2" s="2368"/>
      <c r="Q2" s="2368"/>
      <c r="R2" s="2368"/>
    </row>
    <row r="3" spans="1:29" ht="54">
      <c r="A3" s="415" t="s">
        <v>2082</v>
      </c>
      <c r="B3" s="1268" t="s">
        <v>2083</v>
      </c>
      <c r="C3" s="2370" t="s">
        <v>2084</v>
      </c>
      <c r="D3" s="2371"/>
      <c r="E3" s="431" t="s">
        <v>2082</v>
      </c>
      <c r="F3" s="2372" t="s">
        <v>2085</v>
      </c>
      <c r="G3" s="2373" t="s">
        <v>2086</v>
      </c>
      <c r="H3" s="2368"/>
      <c r="I3" s="2368"/>
      <c r="J3" s="2368"/>
      <c r="K3" s="2368"/>
      <c r="L3" s="2368"/>
      <c r="M3" s="2368"/>
      <c r="N3" s="2368"/>
      <c r="O3" s="2368"/>
      <c r="P3" s="2368"/>
      <c r="Q3" s="2368"/>
      <c r="R3" s="2368"/>
    </row>
    <row r="4" spans="1:29" ht="41.25">
      <c r="A4" s="431"/>
      <c r="B4" s="1795" t="s">
        <v>2087</v>
      </c>
      <c r="C4" s="2374" t="s">
        <v>2088</v>
      </c>
      <c r="D4" s="2371"/>
      <c r="E4" s="2375"/>
      <c r="F4" s="42" t="s">
        <v>2089</v>
      </c>
      <c r="G4" s="2376" t="s">
        <v>2090</v>
      </c>
      <c r="H4" s="2368"/>
      <c r="I4" s="2368"/>
      <c r="J4" s="2368"/>
      <c r="K4" s="2368"/>
      <c r="L4" s="2368"/>
      <c r="M4" s="2368"/>
      <c r="N4" s="2368"/>
      <c r="O4" s="2368"/>
      <c r="P4" s="2368"/>
      <c r="Q4" s="2368"/>
      <c r="R4" s="2368"/>
    </row>
    <row r="5" spans="1:29" ht="41.25">
      <c r="A5" s="431"/>
      <c r="B5" s="1795" t="s">
        <v>2091</v>
      </c>
      <c r="C5" s="2374" t="s">
        <v>2092</v>
      </c>
      <c r="D5" s="2371"/>
      <c r="E5" s="2375"/>
      <c r="F5" s="1795" t="s">
        <v>2093</v>
      </c>
      <c r="G5" s="2376" t="s">
        <v>2094</v>
      </c>
      <c r="H5" s="2368"/>
      <c r="I5" s="2368"/>
      <c r="J5" s="2368"/>
      <c r="K5" s="2368"/>
      <c r="L5" s="2368"/>
      <c r="M5" s="2368"/>
      <c r="N5" s="2368"/>
      <c r="O5" s="2368"/>
      <c r="P5" s="2368"/>
      <c r="Q5" s="2368"/>
      <c r="R5" s="2368"/>
    </row>
    <row r="6" spans="1:29" ht="54">
      <c r="A6" s="431"/>
      <c r="B6" s="1795" t="s">
        <v>2095</v>
      </c>
      <c r="C6" s="2376" t="s">
        <v>2090</v>
      </c>
      <c r="D6" s="2371"/>
      <c r="E6" s="2375"/>
      <c r="F6" s="1795" t="s">
        <v>2096</v>
      </c>
      <c r="G6" s="2376" t="s">
        <v>2097</v>
      </c>
      <c r="H6" s="2368"/>
      <c r="I6" s="2368"/>
      <c r="J6" s="2368"/>
      <c r="K6" s="2368"/>
      <c r="L6" s="2368"/>
      <c r="M6" s="2368"/>
      <c r="N6" s="2368"/>
      <c r="O6" s="2368"/>
      <c r="P6" s="2368"/>
      <c r="Q6" s="2368"/>
      <c r="R6" s="2368"/>
    </row>
    <row r="7" spans="1:29" ht="41.25" thickBot="1">
      <c r="A7" s="431"/>
      <c r="B7" s="1795" t="s">
        <v>2093</v>
      </c>
      <c r="C7" s="2376" t="s">
        <v>2094</v>
      </c>
      <c r="D7" s="2377"/>
      <c r="E7" s="2378"/>
      <c r="F7" s="2379" t="s">
        <v>2098</v>
      </c>
      <c r="G7" s="2380" t="s">
        <v>2099</v>
      </c>
      <c r="H7" s="2368"/>
      <c r="I7" s="2368"/>
      <c r="J7" s="2368"/>
      <c r="K7" s="2368"/>
      <c r="L7" s="2368"/>
      <c r="M7" s="2368"/>
      <c r="N7" s="2368"/>
      <c r="O7" s="2368"/>
      <c r="P7" s="2368"/>
      <c r="Q7" s="2368"/>
      <c r="R7" s="2368"/>
    </row>
    <row r="8" spans="1:29" ht="27">
      <c r="A8" s="431"/>
      <c r="B8" s="1795" t="s">
        <v>2096</v>
      </c>
      <c r="C8" s="2376" t="s">
        <v>2097</v>
      </c>
      <c r="D8" s="2377"/>
      <c r="E8" s="2377"/>
      <c r="F8" s="1133"/>
      <c r="G8" s="1133"/>
      <c r="H8" s="2368"/>
      <c r="I8" s="2368"/>
      <c r="J8" s="2368"/>
      <c r="K8" s="2368"/>
      <c r="L8" s="2368"/>
      <c r="M8" s="2368"/>
      <c r="N8" s="2368"/>
      <c r="O8" s="2368"/>
      <c r="P8" s="2368"/>
      <c r="Q8" s="2368"/>
      <c r="R8" s="2368"/>
    </row>
    <row r="9" spans="1:29" ht="27">
      <c r="A9" s="431"/>
      <c r="B9" s="1795" t="s">
        <v>2100</v>
      </c>
      <c r="C9" s="2374" t="s">
        <v>2101</v>
      </c>
      <c r="D9" s="2371"/>
      <c r="E9" s="2377"/>
      <c r="F9" s="1133"/>
      <c r="G9" s="1133"/>
      <c r="H9" s="2368"/>
      <c r="I9" s="2368"/>
      <c r="J9" s="2368"/>
      <c r="K9" s="2368"/>
      <c r="L9" s="2368"/>
      <c r="M9" s="2368"/>
      <c r="N9" s="2368"/>
      <c r="O9" s="2368"/>
      <c r="P9" s="2368"/>
      <c r="Q9" s="2368"/>
      <c r="R9" s="2368"/>
    </row>
    <row r="10" spans="1:29" s="117" customFormat="1" ht="15.75" thickBot="1">
      <c r="A10" s="2381"/>
      <c r="B10" s="2382" t="s">
        <v>2102</v>
      </c>
      <c r="C10" s="2383"/>
      <c r="D10" s="2371"/>
      <c r="E10" s="2371"/>
      <c r="F10" s="1133"/>
      <c r="G10" s="1133"/>
      <c r="H10" s="2384"/>
      <c r="I10" s="2385"/>
      <c r="J10" s="2386"/>
      <c r="K10" s="2384"/>
      <c r="L10" s="2385"/>
      <c r="M10" s="2386"/>
      <c r="N10" s="2384"/>
      <c r="O10" s="2385"/>
      <c r="P10" s="2386"/>
      <c r="Q10" s="2384"/>
      <c r="R10" s="2385"/>
      <c r="S10" s="2368"/>
      <c r="T10" s="2368"/>
      <c r="U10" s="2368"/>
      <c r="V10" s="2368"/>
      <c r="W10" s="2368"/>
      <c r="X10" s="2368"/>
      <c r="Y10" s="2368"/>
      <c r="Z10" s="2368"/>
      <c r="AA10" s="2368"/>
      <c r="AB10" s="2368"/>
      <c r="AC10" s="2368"/>
    </row>
    <row r="11" spans="1:29" s="117" customFormat="1" ht="15">
      <c r="A11" s="2387"/>
      <c r="B11" s="2377"/>
      <c r="C11" s="2371"/>
      <c r="D11" s="2371"/>
      <c r="E11" s="2371"/>
      <c r="F11" s="2377"/>
      <c r="G11" s="1151"/>
      <c r="H11" s="2384"/>
      <c r="I11" s="2385"/>
      <c r="J11" s="2386"/>
      <c r="K11" s="2384"/>
      <c r="L11" s="2385"/>
      <c r="M11" s="2386"/>
      <c r="N11" s="2384"/>
      <c r="O11" s="2385"/>
      <c r="P11" s="2386"/>
      <c r="Q11" s="2384"/>
      <c r="R11" s="2385"/>
      <c r="S11" s="2368"/>
      <c r="T11" s="2368"/>
      <c r="U11" s="2368"/>
      <c r="V11" s="2368"/>
      <c r="W11" s="2368"/>
      <c r="X11" s="2368"/>
      <c r="Y11" s="2368"/>
      <c r="Z11" s="2368"/>
      <c r="AA11" s="2368"/>
      <c r="AB11" s="2368"/>
      <c r="AC11" s="2368"/>
    </row>
    <row r="12" spans="1:29" s="2362" customFormat="1" ht="18">
      <c r="A12" s="2387"/>
      <c r="B12" s="2377"/>
      <c r="C12" s="2371"/>
      <c r="D12" s="2388"/>
      <c r="E12" s="2371"/>
      <c r="F12" s="2377"/>
      <c r="G12" s="1151"/>
      <c r="H12" s="2389"/>
      <c r="I12" s="2390"/>
      <c r="J12" s="2389"/>
      <c r="K12" s="2389"/>
      <c r="L12" s="2391"/>
      <c r="M12" s="2389"/>
      <c r="N12" s="2392"/>
      <c r="O12" s="2393"/>
      <c r="P12" s="2392"/>
      <c r="Q12" s="2392"/>
      <c r="R12" s="2360"/>
      <c r="S12" s="2361"/>
      <c r="T12" s="2361"/>
      <c r="U12" s="2361"/>
      <c r="V12" s="2361"/>
      <c r="W12" s="2361"/>
      <c r="X12" s="2361"/>
      <c r="Y12" s="2361"/>
      <c r="Z12" s="2361"/>
      <c r="AA12" s="2361"/>
      <c r="AB12" s="2361"/>
      <c r="AC12" s="2361"/>
    </row>
    <row r="13" spans="1:29" ht="19.5" thickBot="1">
      <c r="A13" s="2394" t="s">
        <v>2103</v>
      </c>
      <c r="B13" s="2388"/>
      <c r="C13" s="2388"/>
      <c r="D13" s="2395"/>
      <c r="E13" s="2388"/>
      <c r="F13" s="2388"/>
      <c r="G13" s="2388"/>
    </row>
    <row r="14" spans="1:29" ht="15.75" thickBot="1">
      <c r="A14" s="2399"/>
      <c r="B14" s="2400"/>
      <c r="C14" s="2401" t="s">
        <v>2104</v>
      </c>
      <c r="D14" s="2371"/>
      <c r="E14" s="2402"/>
      <c r="F14" s="2402"/>
      <c r="G14" s="2365" t="s">
        <v>2105</v>
      </c>
    </row>
    <row r="15" spans="1:29" ht="57">
      <c r="A15" s="68" t="s">
        <v>2106</v>
      </c>
      <c r="B15" s="1267" t="s">
        <v>2083</v>
      </c>
      <c r="C15" s="2403" t="str">
        <f>C3</f>
        <v>估价对象周边居住用地比例、居住小区规模和社区发展完善程度，综合评价居住社区成熟度一般</v>
      </c>
      <c r="D15" s="2371"/>
      <c r="E15" s="2404" t="s">
        <v>2107</v>
      </c>
      <c r="F15" s="1267" t="s">
        <v>2108</v>
      </c>
      <c r="G15" s="135" t="str">
        <f>G3</f>
        <v>估价对象位于XX开发区，园区建设成熟度XX，产业集聚程度XX</v>
      </c>
    </row>
    <row r="16" spans="1:29" ht="42.75">
      <c r="A16" s="645"/>
      <c r="B16" s="2405" t="s">
        <v>2087</v>
      </c>
      <c r="C16" s="2406" t="str">
        <f>C4</f>
        <v>估价对象位于XX商圈，周边商业氛围成熟，人流量大，商业繁华度好</v>
      </c>
      <c r="D16" s="2371"/>
      <c r="E16" s="2407"/>
      <c r="F16" s="2408" t="s">
        <v>2089</v>
      </c>
      <c r="G16" s="136" t="str">
        <f>G4</f>
        <v>估价对象周边道路状况、公共交通通达情况、停车便捷程度，综合评价交通便捷度较好</v>
      </c>
    </row>
    <row r="17" spans="1:18" ht="42.75">
      <c r="A17" s="645"/>
      <c r="B17" s="2405" t="s">
        <v>2091</v>
      </c>
      <c r="C17" s="2406" t="str">
        <f>C5</f>
        <v>估价对象位于XX商圈，周边办公楼项目较多，入驻率高，办公集聚程度较好</v>
      </c>
      <c r="D17" s="2377"/>
      <c r="E17" s="2407"/>
      <c r="F17" s="2408" t="s">
        <v>2109</v>
      </c>
      <c r="G17" s="1569"/>
    </row>
    <row r="18" spans="1:18" ht="57">
      <c r="A18" s="645"/>
      <c r="B18" s="2408" t="s">
        <v>2095</v>
      </c>
      <c r="C18" s="136" t="str">
        <f>C6</f>
        <v>估价对象周边道路状况、公共交通通达情况、停车便捷程度，综合评价交通便捷度较好</v>
      </c>
      <c r="D18" s="2377"/>
      <c r="E18" s="2407"/>
      <c r="F18" s="2408" t="s">
        <v>2098</v>
      </c>
      <c r="G18" s="136" t="str">
        <f>G7</f>
        <v>该园区内是否有污染型企业，绿化情况，卫生条件，整体环境状况判断</v>
      </c>
    </row>
    <row r="19" spans="1:18" ht="28.5">
      <c r="A19" s="645"/>
      <c r="B19" s="2408" t="s">
        <v>2110</v>
      </c>
      <c r="C19" s="1569"/>
      <c r="D19" s="2371"/>
      <c r="E19" s="2407"/>
      <c r="F19" s="1795" t="s">
        <v>2093</v>
      </c>
      <c r="G19" s="136" t="str">
        <f>G5</f>
        <v>估价对象所在区域公共配套设施齐备情况</v>
      </c>
    </row>
    <row r="20" spans="1:18" ht="28.5">
      <c r="A20" s="645"/>
      <c r="B20" s="2408" t="s">
        <v>2111</v>
      </c>
      <c r="C20" s="2406" t="str">
        <f>C9</f>
        <v>区域自然环境：；人文环境；综合评价环境状况一般</v>
      </c>
      <c r="D20" s="2377"/>
      <c r="E20" s="2407"/>
      <c r="F20" s="1795" t="s">
        <v>2112</v>
      </c>
      <c r="G20" s="136" t="str">
        <f>G6</f>
        <v>估价对象所在区域基础设施水平</v>
      </c>
    </row>
    <row r="21" spans="1:18" ht="28.5">
      <c r="A21" s="645"/>
      <c r="B21" s="1795" t="s">
        <v>2093</v>
      </c>
      <c r="C21" s="136" t="str">
        <f>C7</f>
        <v>估价对象所在区域公共配套设施齐备情况</v>
      </c>
      <c r="D21" s="2371"/>
      <c r="E21" s="2407"/>
      <c r="F21" s="2408" t="s">
        <v>2113</v>
      </c>
      <c r="G21" s="2409"/>
    </row>
    <row r="22" spans="1:18" ht="13.5" customHeight="1">
      <c r="A22" s="645"/>
      <c r="B22" s="1795" t="s">
        <v>2096</v>
      </c>
      <c r="C22" s="136" t="str">
        <f>C8</f>
        <v>估价对象所在区域基础设施水平</v>
      </c>
      <c r="D22" s="2371"/>
      <c r="E22" s="2407"/>
      <c r="F22" s="2408" t="s">
        <v>2102</v>
      </c>
      <c r="G22" s="1569"/>
    </row>
    <row r="23" spans="1:18" s="2368" customFormat="1" ht="15.75" thickBot="1">
      <c r="A23" s="645"/>
      <c r="B23" s="2408" t="s">
        <v>2113</v>
      </c>
      <c r="C23" s="2409"/>
      <c r="D23" s="2396"/>
      <c r="E23" s="2410"/>
      <c r="F23" s="2411" t="s">
        <v>2114</v>
      </c>
      <c r="G23" s="2412"/>
      <c r="H23" s="2396"/>
      <c r="I23" s="2397"/>
      <c r="J23" s="2396"/>
      <c r="K23" s="2396"/>
      <c r="L23" s="2397"/>
      <c r="M23" s="2396"/>
      <c r="N23" s="2396"/>
      <c r="O23" s="2397"/>
      <c r="P23" s="2396"/>
      <c r="Q23" s="2396"/>
      <c r="R23" s="2398"/>
    </row>
    <row r="24" spans="1:18" s="2368" customFormat="1" ht="15.75" thickBot="1">
      <c r="A24" s="2413"/>
      <c r="B24" s="2411" t="s">
        <v>2115</v>
      </c>
      <c r="C24" s="137">
        <f>C10</f>
        <v>0</v>
      </c>
      <c r="D24" s="2396"/>
      <c r="E24" s="2414"/>
      <c r="F24" s="2414"/>
      <c r="G24" s="2415"/>
      <c r="H24" s="2396"/>
      <c r="I24" s="2397"/>
      <c r="J24" s="2396"/>
      <c r="K24" s="2396"/>
      <c r="L24" s="2397"/>
      <c r="M24" s="2396"/>
      <c r="N24" s="2396"/>
      <c r="O24" s="2397"/>
      <c r="P24" s="2396"/>
      <c r="Q24" s="2396"/>
      <c r="R24" s="2398"/>
    </row>
    <row r="25" spans="1:18" s="2368" customFormat="1">
      <c r="B25" s="2396"/>
      <c r="C25" s="2396"/>
      <c r="D25" s="2396"/>
      <c r="H25" s="2396"/>
      <c r="I25" s="2397"/>
      <c r="J25" s="2396"/>
      <c r="K25" s="2396"/>
      <c r="L25" s="2397"/>
      <c r="M25" s="2396"/>
      <c r="N25" s="2396"/>
      <c r="O25" s="2397"/>
      <c r="P25" s="2396"/>
      <c r="Q25" s="2396"/>
      <c r="R25" s="2398"/>
    </row>
    <row r="26" spans="1:18" s="2368" customFormat="1">
      <c r="B26" s="2396"/>
      <c r="C26" s="2396"/>
      <c r="D26" s="2396"/>
      <c r="H26" s="2396"/>
      <c r="I26" s="2397"/>
      <c r="J26" s="2396"/>
      <c r="K26" s="2396"/>
      <c r="L26" s="2397"/>
      <c r="M26" s="2396"/>
      <c r="N26" s="2396"/>
      <c r="O26" s="2397"/>
      <c r="P26" s="2396"/>
      <c r="Q26" s="2396"/>
      <c r="R26" s="2398"/>
    </row>
    <row r="27" spans="1:18" s="2368" customFormat="1">
      <c r="B27" s="2396"/>
      <c r="C27" s="2396"/>
      <c r="D27" s="2396"/>
      <c r="H27" s="2396"/>
      <c r="I27" s="2397"/>
      <c r="J27" s="2396"/>
      <c r="K27" s="2396"/>
      <c r="L27" s="2397"/>
      <c r="M27" s="2396"/>
      <c r="N27" s="2396"/>
      <c r="O27" s="2397"/>
      <c r="P27" s="2396"/>
      <c r="Q27" s="2396"/>
      <c r="R27" s="2398"/>
    </row>
    <row r="28" spans="1:18" s="2368" customFormat="1">
      <c r="B28" s="2396"/>
      <c r="C28" s="2396"/>
      <c r="D28" s="2396"/>
      <c r="H28" s="2396"/>
      <c r="I28" s="2397"/>
      <c r="J28" s="2396"/>
      <c r="K28" s="2396"/>
      <c r="L28" s="2397"/>
      <c r="M28" s="2396"/>
      <c r="N28" s="2396"/>
      <c r="O28" s="2397"/>
      <c r="P28" s="2396"/>
      <c r="Q28" s="2396"/>
      <c r="R28" s="2398"/>
    </row>
    <row r="29" spans="1:18" s="2368" customFormat="1">
      <c r="B29" s="2396"/>
      <c r="C29" s="2396"/>
      <c r="D29" s="2396"/>
      <c r="H29" s="2396"/>
      <c r="I29" s="2397"/>
      <c r="J29" s="2396"/>
      <c r="K29" s="2396"/>
      <c r="L29" s="2397"/>
      <c r="M29" s="2396"/>
      <c r="N29" s="2396"/>
      <c r="O29" s="2397"/>
      <c r="P29" s="2396"/>
      <c r="Q29" s="2396"/>
      <c r="R29" s="2398"/>
    </row>
    <row r="30" spans="1:18" s="2368" customFormat="1">
      <c r="B30" s="2396"/>
      <c r="C30" s="2396"/>
      <c r="D30" s="2396"/>
      <c r="H30" s="2396"/>
      <c r="I30" s="2397"/>
      <c r="J30" s="2396"/>
      <c r="K30" s="2396"/>
      <c r="L30" s="2397"/>
      <c r="M30" s="2396"/>
      <c r="N30" s="2396"/>
      <c r="O30" s="2397"/>
      <c r="P30" s="2396"/>
      <c r="Q30" s="2396"/>
      <c r="R30" s="2398"/>
    </row>
    <row r="31" spans="1:18" s="2368" customFormat="1">
      <c r="B31" s="2396"/>
      <c r="C31" s="2396"/>
      <c r="D31" s="2396"/>
      <c r="H31" s="2396"/>
      <c r="I31" s="2397"/>
      <c r="J31" s="2396"/>
      <c r="K31" s="2396"/>
      <c r="L31" s="2397"/>
      <c r="M31" s="2396"/>
      <c r="N31" s="2396"/>
      <c r="O31" s="2397"/>
      <c r="P31" s="2396"/>
      <c r="Q31" s="2396"/>
      <c r="R31" s="2398"/>
    </row>
    <row r="32" spans="1:18" s="2368" customFormat="1">
      <c r="B32" s="2396"/>
      <c r="C32" s="2396"/>
      <c r="D32" s="2396"/>
      <c r="H32" s="2396"/>
      <c r="I32" s="2397"/>
      <c r="J32" s="2396"/>
      <c r="K32" s="2396"/>
      <c r="L32" s="2397"/>
      <c r="M32" s="2396"/>
      <c r="N32" s="2396"/>
      <c r="O32" s="2397"/>
      <c r="P32" s="2396"/>
      <c r="Q32" s="2396"/>
      <c r="R32" s="2398"/>
    </row>
    <row r="33" spans="2:18" s="2368" customFormat="1">
      <c r="B33" s="2396"/>
      <c r="C33" s="2396"/>
      <c r="D33" s="2396"/>
      <c r="H33" s="2396"/>
      <c r="I33" s="2397"/>
      <c r="J33" s="2396"/>
      <c r="K33" s="2396"/>
      <c r="L33" s="2397"/>
      <c r="M33" s="2396"/>
      <c r="N33" s="2396"/>
      <c r="O33" s="2397"/>
      <c r="P33" s="2396"/>
      <c r="Q33" s="2396"/>
      <c r="R33" s="2398"/>
    </row>
    <row r="34" spans="2:18" s="2368" customFormat="1">
      <c r="B34" s="2396"/>
      <c r="C34" s="2396"/>
      <c r="D34" s="2396"/>
      <c r="H34" s="2396"/>
      <c r="I34" s="2397"/>
      <c r="J34" s="2396"/>
      <c r="K34" s="2396"/>
      <c r="L34" s="2397"/>
      <c r="M34" s="2396"/>
      <c r="N34" s="2396"/>
      <c r="O34" s="2397"/>
      <c r="P34" s="2396"/>
      <c r="Q34" s="2396"/>
      <c r="R34" s="2398"/>
    </row>
    <row r="35" spans="2:18" s="2368" customFormat="1">
      <c r="B35" s="2396"/>
      <c r="C35" s="2396"/>
      <c r="D35" s="2396"/>
      <c r="H35" s="2396"/>
      <c r="I35" s="2397"/>
      <c r="J35" s="2396"/>
      <c r="K35" s="2396"/>
      <c r="L35" s="2397"/>
      <c r="M35" s="2396"/>
      <c r="N35" s="2396"/>
      <c r="O35" s="2397"/>
      <c r="P35" s="2396"/>
      <c r="Q35" s="2396"/>
      <c r="R35" s="2398"/>
    </row>
    <row r="36" spans="2:18" s="2368" customFormat="1">
      <c r="B36" s="2396"/>
      <c r="C36" s="2396"/>
      <c r="D36" s="2396"/>
      <c r="H36" s="2396"/>
      <c r="I36" s="2397"/>
      <c r="J36" s="2396"/>
      <c r="K36" s="2396"/>
      <c r="L36" s="2397"/>
      <c r="M36" s="2396"/>
      <c r="N36" s="2396"/>
      <c r="O36" s="2397"/>
      <c r="P36" s="2396"/>
      <c r="Q36" s="2396"/>
      <c r="R36" s="2398"/>
    </row>
    <row r="37" spans="2:18" s="2368" customFormat="1">
      <c r="B37" s="2396"/>
      <c r="C37" s="2396"/>
      <c r="D37" s="2396"/>
      <c r="H37" s="2396"/>
      <c r="I37" s="2397"/>
      <c r="J37" s="2396"/>
      <c r="K37" s="2396"/>
      <c r="L37" s="2397"/>
      <c r="M37" s="2396"/>
      <c r="N37" s="2396"/>
      <c r="O37" s="2397"/>
      <c r="P37" s="2396"/>
      <c r="Q37" s="2396"/>
      <c r="R37" s="2398"/>
    </row>
    <row r="38" spans="2:18" s="2368" customFormat="1">
      <c r="B38" s="2396"/>
      <c r="C38" s="2396"/>
      <c r="D38" s="2396"/>
      <c r="E38" s="2396"/>
      <c r="F38" s="2396"/>
      <c r="G38" s="2397"/>
      <c r="H38" s="2396"/>
      <c r="I38" s="2397"/>
      <c r="J38" s="2396"/>
      <c r="K38" s="2396"/>
      <c r="L38" s="2397"/>
      <c r="M38" s="2396"/>
      <c r="N38" s="2396"/>
      <c r="O38" s="2397"/>
      <c r="P38" s="2396"/>
      <c r="Q38" s="2396"/>
      <c r="R38" s="2398"/>
    </row>
    <row r="39" spans="2:18" s="2368" customFormat="1">
      <c r="B39" s="2396"/>
      <c r="C39" s="2396"/>
      <c r="D39" s="2396"/>
      <c r="E39" s="2396"/>
      <c r="F39" s="2396"/>
      <c r="G39" s="2397"/>
      <c r="H39" s="2396"/>
      <c r="I39" s="2397"/>
      <c r="J39" s="2396"/>
      <c r="K39" s="2396"/>
      <c r="L39" s="2397"/>
      <c r="M39" s="2396"/>
      <c r="N39" s="2396"/>
      <c r="O39" s="2397"/>
      <c r="P39" s="2396"/>
      <c r="Q39" s="2396"/>
      <c r="R39" s="2398"/>
    </row>
    <row r="40" spans="2:18" s="2368" customFormat="1">
      <c r="B40" s="2396"/>
      <c r="C40" s="2396"/>
      <c r="D40" s="2396"/>
      <c r="E40" s="2396"/>
      <c r="F40" s="2396"/>
      <c r="G40" s="2397"/>
      <c r="H40" s="2396"/>
      <c r="I40" s="2397"/>
      <c r="J40" s="2396"/>
      <c r="K40" s="2396"/>
      <c r="L40" s="2397"/>
      <c r="M40" s="2396"/>
      <c r="N40" s="2396"/>
      <c r="O40" s="2397"/>
      <c r="P40" s="2396"/>
      <c r="Q40" s="2396"/>
      <c r="R40" s="2398"/>
    </row>
    <row r="41" spans="2:18" s="2368" customFormat="1">
      <c r="B41" s="2396"/>
      <c r="C41" s="2396"/>
      <c r="D41" s="2396"/>
      <c r="E41" s="2396"/>
      <c r="F41" s="2396"/>
      <c r="G41" s="2397"/>
      <c r="H41" s="2396"/>
      <c r="I41" s="2397"/>
      <c r="J41" s="2396"/>
      <c r="K41" s="2396"/>
      <c r="L41" s="2397"/>
      <c r="M41" s="2396"/>
      <c r="N41" s="2396"/>
      <c r="O41" s="2397"/>
      <c r="P41" s="2396"/>
      <c r="Q41" s="2396"/>
      <c r="R41" s="2398"/>
    </row>
    <row r="42" spans="2:18" s="2368" customFormat="1">
      <c r="B42" s="2396"/>
      <c r="C42" s="2396"/>
      <c r="D42" s="2396"/>
      <c r="E42" s="2396"/>
      <c r="F42" s="2396"/>
      <c r="G42" s="2397"/>
      <c r="H42" s="2396"/>
      <c r="I42" s="2397"/>
      <c r="J42" s="2396"/>
      <c r="K42" s="2396"/>
      <c r="L42" s="2397"/>
      <c r="M42" s="2396"/>
      <c r="N42" s="2396"/>
      <c r="O42" s="2397"/>
      <c r="P42" s="2396"/>
      <c r="Q42" s="2396"/>
      <c r="R42" s="2398"/>
    </row>
    <row r="43" spans="2:18" s="2368" customFormat="1">
      <c r="B43" s="2396"/>
      <c r="C43" s="2396"/>
      <c r="D43" s="2396"/>
      <c r="E43" s="2396"/>
      <c r="F43" s="2396"/>
      <c r="G43" s="2397"/>
      <c r="H43" s="2396"/>
      <c r="I43" s="2397"/>
      <c r="J43" s="2396"/>
      <c r="K43" s="2396"/>
      <c r="L43" s="2397"/>
      <c r="M43" s="2396"/>
      <c r="N43" s="2396"/>
      <c r="O43" s="2397"/>
      <c r="P43" s="2396"/>
      <c r="Q43" s="2396"/>
      <c r="R43" s="2398"/>
    </row>
    <row r="44" spans="2:18" s="2368" customFormat="1">
      <c r="B44" s="2396"/>
      <c r="C44" s="2396"/>
      <c r="D44" s="2396"/>
      <c r="E44" s="2396"/>
      <c r="F44" s="2396"/>
      <c r="G44" s="2397"/>
      <c r="H44" s="2396"/>
      <c r="I44" s="2397"/>
      <c r="J44" s="2396"/>
      <c r="K44" s="2396"/>
      <c r="L44" s="2397"/>
      <c r="M44" s="2396"/>
      <c r="N44" s="2396"/>
      <c r="O44" s="2397"/>
      <c r="P44" s="2396"/>
      <c r="Q44" s="2396"/>
      <c r="R44" s="2398"/>
    </row>
    <row r="45" spans="2:18" s="2368" customFormat="1">
      <c r="B45" s="2396"/>
      <c r="C45" s="2396"/>
      <c r="D45" s="2396"/>
      <c r="E45" s="2396"/>
      <c r="F45" s="2396"/>
      <c r="G45" s="2397"/>
      <c r="H45" s="2396"/>
      <c r="I45" s="2397"/>
      <c r="J45" s="2396"/>
      <c r="K45" s="2396"/>
      <c r="L45" s="2397"/>
      <c r="M45" s="2396"/>
      <c r="N45" s="2396"/>
      <c r="O45" s="2397"/>
      <c r="P45" s="2396"/>
      <c r="Q45" s="2396"/>
      <c r="R45" s="2398"/>
    </row>
    <row r="46" spans="2:18" s="2368" customFormat="1">
      <c r="B46" s="2396"/>
      <c r="C46" s="2396"/>
      <c r="D46" s="2396"/>
      <c r="E46" s="2396"/>
      <c r="F46" s="2396"/>
      <c r="G46" s="2397"/>
      <c r="H46" s="2396"/>
      <c r="I46" s="2397"/>
      <c r="J46" s="2396"/>
      <c r="K46" s="2396"/>
      <c r="L46" s="2397"/>
      <c r="M46" s="2396"/>
      <c r="N46" s="2396"/>
      <c r="O46" s="2397"/>
      <c r="P46" s="2396"/>
      <c r="Q46" s="2396"/>
      <c r="R46" s="2398"/>
    </row>
    <row r="47" spans="2:18" s="2368" customFormat="1">
      <c r="B47" s="2396"/>
      <c r="C47" s="2396"/>
      <c r="D47" s="2396"/>
      <c r="E47" s="2396"/>
      <c r="F47" s="2396"/>
      <c r="G47" s="2397"/>
      <c r="H47" s="2396"/>
      <c r="I47" s="2397"/>
      <c r="J47" s="2396"/>
      <c r="K47" s="2396"/>
      <c r="L47" s="2397"/>
      <c r="M47" s="2396"/>
      <c r="N47" s="2396"/>
      <c r="O47" s="2397"/>
      <c r="P47" s="2396"/>
      <c r="Q47" s="2396"/>
      <c r="R47" s="2398"/>
    </row>
    <row r="48" spans="2:18" s="2368" customFormat="1">
      <c r="B48" s="2396"/>
      <c r="C48" s="2396"/>
      <c r="D48" s="2396"/>
      <c r="E48" s="2396"/>
      <c r="F48" s="2396"/>
      <c r="G48" s="2397"/>
      <c r="H48" s="2396"/>
      <c r="I48" s="2397"/>
      <c r="J48" s="2396"/>
      <c r="K48" s="2396"/>
      <c r="L48" s="2397"/>
      <c r="M48" s="2396"/>
      <c r="N48" s="2396"/>
      <c r="O48" s="2397"/>
      <c r="P48" s="2396"/>
      <c r="Q48" s="2396"/>
      <c r="R48" s="2398"/>
    </row>
    <row r="49" spans="2:18" s="2368" customFormat="1">
      <c r="B49" s="2396"/>
      <c r="C49" s="2396"/>
      <c r="D49" s="2396"/>
      <c r="E49" s="2396"/>
      <c r="F49" s="2396"/>
      <c r="G49" s="2397"/>
      <c r="H49" s="2396"/>
      <c r="I49" s="2397"/>
      <c r="J49" s="2396"/>
      <c r="K49" s="2396"/>
      <c r="L49" s="2397"/>
      <c r="M49" s="2396"/>
      <c r="N49" s="2396"/>
      <c r="O49" s="2397"/>
      <c r="P49" s="2396"/>
      <c r="Q49" s="2396"/>
      <c r="R49" s="2398"/>
    </row>
    <row r="50" spans="2:18" s="2368" customFormat="1">
      <c r="B50" s="2396"/>
      <c r="C50" s="2396"/>
      <c r="D50" s="2396"/>
      <c r="E50" s="2396"/>
      <c r="F50" s="2396"/>
      <c r="G50" s="2397"/>
      <c r="H50" s="2396"/>
      <c r="I50" s="2397"/>
      <c r="J50" s="2396"/>
      <c r="K50" s="2396"/>
      <c r="L50" s="2397"/>
      <c r="M50" s="2396"/>
      <c r="N50" s="2396"/>
      <c r="O50" s="2397"/>
      <c r="P50" s="2396"/>
      <c r="Q50" s="2396"/>
      <c r="R50" s="2398"/>
    </row>
    <row r="51" spans="2:18" s="2368" customFormat="1">
      <c r="B51" s="2396"/>
      <c r="C51" s="2396"/>
      <c r="D51" s="2396"/>
      <c r="E51" s="2396"/>
      <c r="F51" s="2396"/>
      <c r="G51" s="2397"/>
      <c r="H51" s="2396"/>
      <c r="I51" s="2397"/>
      <c r="J51" s="2396"/>
      <c r="K51" s="2396"/>
      <c r="L51" s="2397"/>
      <c r="M51" s="2396"/>
      <c r="N51" s="2396"/>
      <c r="O51" s="2397"/>
      <c r="P51" s="2396"/>
      <c r="Q51" s="2396"/>
      <c r="R51" s="2398"/>
    </row>
    <row r="52" spans="2:18" s="2368" customFormat="1">
      <c r="B52" s="2396"/>
      <c r="C52" s="2396"/>
      <c r="D52" s="2396"/>
      <c r="E52" s="2396"/>
      <c r="F52" s="2396"/>
      <c r="G52" s="2397"/>
      <c r="H52" s="2396"/>
      <c r="I52" s="2397"/>
      <c r="J52" s="2396"/>
      <c r="K52" s="2396"/>
      <c r="L52" s="2397"/>
      <c r="M52" s="2396"/>
      <c r="N52" s="2396"/>
      <c r="O52" s="2397"/>
      <c r="P52" s="2396"/>
      <c r="Q52" s="2396"/>
      <c r="R52" s="2398"/>
    </row>
    <row r="53" spans="2:18" s="2368" customFormat="1">
      <c r="B53" s="2396"/>
      <c r="C53" s="2396"/>
      <c r="D53" s="2396"/>
      <c r="E53" s="2396"/>
      <c r="F53" s="2396"/>
      <c r="G53" s="2397"/>
      <c r="H53" s="2396"/>
      <c r="I53" s="2397"/>
      <c r="J53" s="2396"/>
      <c r="K53" s="2396"/>
      <c r="L53" s="2397"/>
      <c r="M53" s="2396"/>
      <c r="N53" s="2396"/>
      <c r="O53" s="2397"/>
      <c r="P53" s="2396"/>
      <c r="Q53" s="2396"/>
      <c r="R53" s="2398"/>
    </row>
    <row r="54" spans="2:18" s="2368" customFormat="1">
      <c r="B54" s="2396"/>
      <c r="C54" s="2396"/>
      <c r="D54" s="2396"/>
      <c r="E54" s="2396"/>
      <c r="F54" s="2396"/>
      <c r="G54" s="2397"/>
      <c r="H54" s="2396"/>
      <c r="I54" s="2397"/>
      <c r="J54" s="2396"/>
      <c r="K54" s="2396"/>
      <c r="L54" s="2397"/>
      <c r="M54" s="2396"/>
      <c r="N54" s="2396"/>
      <c r="O54" s="2397"/>
      <c r="P54" s="2396"/>
      <c r="Q54" s="2396"/>
      <c r="R54" s="2398"/>
    </row>
    <row r="55" spans="2:18" s="2368" customFormat="1">
      <c r="B55" s="2396"/>
      <c r="C55" s="2396"/>
      <c r="D55" s="2396"/>
      <c r="E55" s="2396"/>
      <c r="F55" s="2396"/>
      <c r="G55" s="2397"/>
      <c r="H55" s="2396"/>
      <c r="I55" s="2397"/>
      <c r="J55" s="2396"/>
      <c r="K55" s="2396"/>
      <c r="L55" s="2397"/>
      <c r="M55" s="2396"/>
      <c r="N55" s="2396"/>
      <c r="O55" s="2397"/>
      <c r="P55" s="2396"/>
      <c r="Q55" s="2396"/>
      <c r="R55" s="2398"/>
    </row>
    <row r="56" spans="2:18" s="2368" customFormat="1">
      <c r="B56" s="2396"/>
      <c r="C56" s="2396"/>
      <c r="D56" s="2396"/>
      <c r="E56" s="2396"/>
      <c r="F56" s="2396"/>
      <c r="G56" s="2397"/>
      <c r="H56" s="2396"/>
      <c r="I56" s="2397"/>
      <c r="J56" s="2396"/>
      <c r="K56" s="2396"/>
      <c r="L56" s="2397"/>
      <c r="M56" s="2396"/>
      <c r="N56" s="2396"/>
      <c r="O56" s="2397"/>
      <c r="P56" s="2396"/>
      <c r="Q56" s="2396"/>
      <c r="R56" s="2398"/>
    </row>
    <row r="57" spans="2:18" s="2368" customFormat="1">
      <c r="B57" s="2396"/>
      <c r="C57" s="2396"/>
      <c r="D57" s="2396"/>
      <c r="E57" s="2396"/>
      <c r="F57" s="2396"/>
      <c r="G57" s="2397"/>
      <c r="H57" s="2396"/>
      <c r="I57" s="2397"/>
      <c r="J57" s="2396"/>
      <c r="K57" s="2396"/>
      <c r="L57" s="2397"/>
      <c r="M57" s="2396"/>
      <c r="N57" s="2396"/>
      <c r="O57" s="2397"/>
      <c r="P57" s="2396"/>
      <c r="Q57" s="2396"/>
      <c r="R57" s="2398"/>
    </row>
    <row r="58" spans="2:18" s="2368" customFormat="1">
      <c r="B58" s="2396"/>
      <c r="C58" s="2396"/>
      <c r="D58" s="2396"/>
      <c r="E58" s="2396"/>
      <c r="F58" s="2396"/>
      <c r="G58" s="2397"/>
      <c r="H58" s="2396"/>
      <c r="I58" s="2397"/>
      <c r="J58" s="2396"/>
      <c r="K58" s="2396"/>
      <c r="L58" s="2397"/>
      <c r="M58" s="2396"/>
      <c r="N58" s="2396"/>
      <c r="O58" s="2397"/>
      <c r="P58" s="2396"/>
      <c r="Q58" s="2396"/>
      <c r="R58" s="2398"/>
    </row>
    <row r="59" spans="2:18" s="2368" customFormat="1">
      <c r="B59" s="2396"/>
      <c r="C59" s="2396"/>
      <c r="D59" s="2396"/>
      <c r="E59" s="2396"/>
      <c r="F59" s="2396"/>
      <c r="G59" s="2397"/>
      <c r="H59" s="2396"/>
      <c r="I59" s="2397"/>
      <c r="J59" s="2396"/>
      <c r="K59" s="2396"/>
      <c r="L59" s="2397"/>
      <c r="M59" s="2396"/>
      <c r="N59" s="2396"/>
      <c r="O59" s="2397"/>
      <c r="P59" s="2396"/>
      <c r="Q59" s="2396"/>
      <c r="R59" s="2398"/>
    </row>
    <row r="60" spans="2:18" s="2368" customFormat="1">
      <c r="B60" s="2396"/>
      <c r="C60" s="2396"/>
      <c r="D60" s="2396"/>
      <c r="E60" s="2396"/>
      <c r="F60" s="2396"/>
      <c r="G60" s="2397"/>
      <c r="H60" s="2396"/>
      <c r="I60" s="2397"/>
      <c r="J60" s="2396"/>
      <c r="K60" s="2396"/>
      <c r="L60" s="2397"/>
      <c r="M60" s="2396"/>
      <c r="N60" s="2396"/>
      <c r="O60" s="2397"/>
      <c r="P60" s="2396"/>
      <c r="Q60" s="2396"/>
      <c r="R60" s="2398"/>
    </row>
    <row r="61" spans="2:18" s="2368" customFormat="1">
      <c r="B61" s="2396"/>
      <c r="C61" s="2396"/>
      <c r="D61" s="2396"/>
      <c r="E61" s="2396"/>
      <c r="F61" s="2396"/>
      <c r="G61" s="2397"/>
      <c r="H61" s="2396"/>
      <c r="I61" s="2397"/>
      <c r="J61" s="2396"/>
      <c r="K61" s="2396"/>
      <c r="L61" s="2397"/>
      <c r="M61" s="2396"/>
      <c r="N61" s="2396"/>
      <c r="O61" s="2397"/>
      <c r="P61" s="2396"/>
      <c r="Q61" s="2396"/>
      <c r="R61" s="2398"/>
    </row>
    <row r="62" spans="2:18" s="2368" customFormat="1">
      <c r="B62" s="2396"/>
      <c r="C62" s="2396"/>
      <c r="D62" s="2396"/>
      <c r="E62" s="2396"/>
      <c r="F62" s="2396"/>
      <c r="G62" s="2397"/>
      <c r="H62" s="2396"/>
      <c r="I62" s="2397"/>
      <c r="J62" s="2396"/>
      <c r="K62" s="2396"/>
      <c r="L62" s="2397"/>
      <c r="M62" s="2396"/>
      <c r="N62" s="2396"/>
      <c r="O62" s="2397"/>
      <c r="P62" s="2396"/>
      <c r="Q62" s="2396"/>
      <c r="R62" s="2398"/>
    </row>
    <row r="63" spans="2:18" s="2368" customFormat="1">
      <c r="B63" s="2396"/>
      <c r="C63" s="2396"/>
      <c r="D63" s="2396"/>
      <c r="E63" s="2396"/>
      <c r="F63" s="2396"/>
      <c r="G63" s="2397"/>
      <c r="H63" s="2396"/>
      <c r="I63" s="2397"/>
      <c r="J63" s="2396"/>
      <c r="K63" s="2396"/>
      <c r="L63" s="2397"/>
      <c r="M63" s="2396"/>
      <c r="N63" s="2396"/>
      <c r="O63" s="2397"/>
      <c r="P63" s="2396"/>
      <c r="Q63" s="2396"/>
      <c r="R63" s="2398"/>
    </row>
    <row r="64" spans="2:18" s="2368" customFormat="1">
      <c r="B64" s="2396"/>
      <c r="C64" s="2396"/>
      <c r="D64" s="2396"/>
      <c r="E64" s="2396"/>
      <c r="F64" s="2396"/>
      <c r="G64" s="2397"/>
      <c r="H64" s="2396"/>
      <c r="I64" s="2397"/>
      <c r="J64" s="2396"/>
      <c r="K64" s="2396"/>
      <c r="L64" s="2397"/>
      <c r="M64" s="2396"/>
      <c r="N64" s="2396"/>
      <c r="O64" s="2397"/>
      <c r="P64" s="2396"/>
      <c r="Q64" s="2396"/>
      <c r="R64" s="2398"/>
    </row>
    <row r="65" spans="2:18" s="2368" customFormat="1">
      <c r="B65" s="2396"/>
      <c r="C65" s="2396"/>
      <c r="D65" s="2396"/>
      <c r="E65" s="2396"/>
      <c r="F65" s="2396"/>
      <c r="G65" s="2397"/>
      <c r="H65" s="2396"/>
      <c r="I65" s="2397"/>
      <c r="J65" s="2396"/>
      <c r="K65" s="2396"/>
      <c r="L65" s="2397"/>
      <c r="M65" s="2396"/>
      <c r="N65" s="2396"/>
      <c r="O65" s="2397"/>
      <c r="P65" s="2396"/>
      <c r="Q65" s="2396"/>
      <c r="R65" s="2398"/>
    </row>
    <row r="66" spans="2:18" s="2368" customFormat="1">
      <c r="B66" s="2396"/>
      <c r="C66" s="2396"/>
      <c r="D66" s="2396"/>
      <c r="E66" s="2396"/>
      <c r="F66" s="2396"/>
      <c r="G66" s="2397"/>
      <c r="H66" s="2396"/>
      <c r="I66" s="2397"/>
      <c r="J66" s="2396"/>
      <c r="K66" s="2396"/>
      <c r="L66" s="2397"/>
      <c r="M66" s="2396"/>
      <c r="N66" s="2396"/>
      <c r="O66" s="2397"/>
      <c r="P66" s="2396"/>
      <c r="Q66" s="2396"/>
      <c r="R66" s="2398"/>
    </row>
    <row r="67" spans="2:18" s="2368" customFormat="1">
      <c r="B67" s="2396"/>
      <c r="C67" s="2396"/>
      <c r="D67" s="2396"/>
      <c r="E67" s="2396"/>
      <c r="F67" s="2396"/>
      <c r="G67" s="2397"/>
      <c r="H67" s="2396"/>
      <c r="I67" s="2397"/>
      <c r="J67" s="2396"/>
      <c r="K67" s="2396"/>
      <c r="L67" s="2397"/>
      <c r="M67" s="2396"/>
      <c r="N67" s="2396"/>
      <c r="O67" s="2397"/>
      <c r="P67" s="2396"/>
      <c r="Q67" s="2396"/>
      <c r="R67" s="2398"/>
    </row>
    <row r="68" spans="2:18" s="2368" customFormat="1">
      <c r="B68" s="2396"/>
      <c r="C68" s="2396"/>
      <c r="D68" s="2396"/>
      <c r="E68" s="2396"/>
      <c r="F68" s="2396"/>
      <c r="G68" s="2397"/>
      <c r="H68" s="2396"/>
      <c r="I68" s="2397"/>
      <c r="J68" s="2396"/>
      <c r="K68" s="2396"/>
      <c r="L68" s="2397"/>
      <c r="M68" s="2396"/>
      <c r="N68" s="2396"/>
      <c r="O68" s="2397"/>
      <c r="P68" s="2396"/>
      <c r="Q68" s="2396"/>
      <c r="R68" s="2398"/>
    </row>
    <row r="69" spans="2:18" s="2368" customFormat="1">
      <c r="B69" s="2396"/>
      <c r="C69" s="2396"/>
      <c r="D69" s="2396"/>
      <c r="E69" s="2396"/>
      <c r="F69" s="2396"/>
      <c r="G69" s="2397"/>
      <c r="H69" s="2396"/>
      <c r="I69" s="2397"/>
      <c r="J69" s="2396"/>
      <c r="K69" s="2396"/>
      <c r="L69" s="2397"/>
      <c r="M69" s="2396"/>
      <c r="N69" s="2396"/>
      <c r="O69" s="2397"/>
      <c r="P69" s="2396"/>
      <c r="Q69" s="2396"/>
      <c r="R69" s="2398"/>
    </row>
    <row r="70" spans="2:18" s="2368" customFormat="1">
      <c r="B70" s="2396"/>
      <c r="C70" s="2396"/>
      <c r="D70" s="2396"/>
      <c r="E70" s="2396"/>
      <c r="F70" s="2396"/>
      <c r="G70" s="2397"/>
      <c r="H70" s="2396"/>
      <c r="I70" s="2397"/>
      <c r="J70" s="2396"/>
      <c r="K70" s="2396"/>
      <c r="L70" s="2397"/>
      <c r="M70" s="2396"/>
      <c r="N70" s="2396"/>
      <c r="O70" s="2397"/>
      <c r="P70" s="2396"/>
      <c r="Q70" s="2396"/>
      <c r="R70" s="2398"/>
    </row>
    <row r="71" spans="2:18" s="2368" customFormat="1">
      <c r="B71" s="2396"/>
      <c r="C71" s="2396"/>
      <c r="D71" s="2396"/>
      <c r="E71" s="2396"/>
      <c r="F71" s="2396"/>
      <c r="G71" s="2397"/>
      <c r="H71" s="2396"/>
      <c r="I71" s="2397"/>
      <c r="J71" s="2396"/>
      <c r="K71" s="2396"/>
      <c r="L71" s="2397"/>
      <c r="M71" s="2396"/>
      <c r="N71" s="2396"/>
      <c r="O71" s="2397"/>
      <c r="P71" s="2396"/>
      <c r="Q71" s="2396"/>
      <c r="R71" s="2398"/>
    </row>
    <row r="72" spans="2:18" s="2368" customFormat="1">
      <c r="B72" s="2396"/>
      <c r="C72" s="2396"/>
      <c r="D72" s="2396"/>
      <c r="E72" s="2396"/>
      <c r="F72" s="2396"/>
      <c r="G72" s="2397"/>
      <c r="H72" s="2396"/>
      <c r="I72" s="2397"/>
      <c r="J72" s="2396"/>
      <c r="K72" s="2396"/>
      <c r="L72" s="2397"/>
      <c r="M72" s="2396"/>
      <c r="N72" s="2396"/>
      <c r="O72" s="2397"/>
      <c r="P72" s="2396"/>
      <c r="Q72" s="2396"/>
      <c r="R72" s="2398"/>
    </row>
    <row r="73" spans="2:18" s="2368" customFormat="1">
      <c r="B73" s="2396"/>
      <c r="C73" s="2396"/>
      <c r="D73" s="2396"/>
      <c r="E73" s="2396"/>
      <c r="F73" s="2396"/>
      <c r="G73" s="2397"/>
      <c r="H73" s="2396"/>
      <c r="I73" s="2397"/>
      <c r="J73" s="2396"/>
      <c r="K73" s="2396"/>
      <c r="L73" s="2397"/>
      <c r="M73" s="2396"/>
      <c r="N73" s="2396"/>
      <c r="O73" s="2397"/>
      <c r="P73" s="2396"/>
      <c r="Q73" s="2396"/>
      <c r="R73" s="2398"/>
    </row>
    <row r="74" spans="2:18" s="2368" customFormat="1">
      <c r="B74" s="2396"/>
      <c r="C74" s="2396"/>
      <c r="D74" s="2396"/>
      <c r="E74" s="2396"/>
      <c r="F74" s="2396"/>
      <c r="G74" s="2397"/>
      <c r="H74" s="2396"/>
      <c r="I74" s="2397"/>
      <c r="J74" s="2396"/>
      <c r="K74" s="2396"/>
      <c r="L74" s="2397"/>
      <c r="M74" s="2396"/>
      <c r="N74" s="2396"/>
      <c r="O74" s="2397"/>
      <c r="P74" s="2396"/>
      <c r="Q74" s="2396"/>
      <c r="R74" s="2398"/>
    </row>
    <row r="75" spans="2:18" s="2368" customFormat="1">
      <c r="B75" s="2396"/>
      <c r="C75" s="2396"/>
      <c r="D75" s="2396"/>
      <c r="E75" s="2396"/>
      <c r="F75" s="2396"/>
      <c r="G75" s="2397"/>
      <c r="H75" s="2396"/>
      <c r="I75" s="2397"/>
      <c r="J75" s="2396"/>
      <c r="K75" s="2396"/>
      <c r="L75" s="2397"/>
      <c r="M75" s="2396"/>
      <c r="N75" s="2396"/>
      <c r="O75" s="2397"/>
      <c r="P75" s="2396"/>
      <c r="Q75" s="2396"/>
      <c r="R75" s="2398"/>
    </row>
    <row r="76" spans="2:18" s="2368" customFormat="1">
      <c r="B76" s="2396"/>
      <c r="C76" s="2396"/>
      <c r="D76" s="2396"/>
      <c r="E76" s="2396"/>
      <c r="F76" s="2396"/>
      <c r="G76" s="2397"/>
      <c r="H76" s="2396"/>
      <c r="I76" s="2397"/>
      <c r="J76" s="2396"/>
      <c r="K76" s="2396"/>
      <c r="L76" s="2397"/>
      <c r="M76" s="2396"/>
      <c r="N76" s="2396"/>
      <c r="O76" s="2397"/>
      <c r="P76" s="2396"/>
      <c r="Q76" s="2396"/>
      <c r="R76" s="2398"/>
    </row>
    <row r="77" spans="2:18" s="2368" customFormat="1">
      <c r="B77" s="2396"/>
      <c r="C77" s="2396"/>
      <c r="D77" s="2396"/>
      <c r="E77" s="2396"/>
      <c r="F77" s="2396"/>
      <c r="G77" s="2397"/>
      <c r="H77" s="2396"/>
      <c r="I77" s="2397"/>
      <c r="J77" s="2396"/>
      <c r="K77" s="2396"/>
      <c r="L77" s="2397"/>
      <c r="M77" s="2396"/>
      <c r="N77" s="2396"/>
      <c r="O77" s="2397"/>
      <c r="P77" s="2396"/>
      <c r="Q77" s="2396"/>
      <c r="R77" s="2398"/>
    </row>
    <row r="78" spans="2:18" s="2368" customFormat="1">
      <c r="B78" s="2396"/>
      <c r="C78" s="2396"/>
      <c r="D78" s="2396"/>
      <c r="E78" s="2396"/>
      <c r="F78" s="2396"/>
      <c r="G78" s="2397"/>
      <c r="H78" s="2396"/>
      <c r="I78" s="2397"/>
      <c r="J78" s="2396"/>
      <c r="K78" s="2396"/>
      <c r="L78" s="2397"/>
      <c r="M78" s="2396"/>
      <c r="N78" s="2396"/>
      <c r="O78" s="2397"/>
      <c r="P78" s="2396"/>
      <c r="Q78" s="2396"/>
      <c r="R78" s="2398"/>
    </row>
    <row r="79" spans="2:18" s="2368" customFormat="1">
      <c r="B79" s="2396"/>
      <c r="C79" s="2396"/>
      <c r="D79" s="2396"/>
      <c r="E79" s="2396"/>
      <c r="F79" s="2396"/>
      <c r="G79" s="2397"/>
      <c r="H79" s="2396"/>
      <c r="I79" s="2397"/>
      <c r="J79" s="2396"/>
      <c r="K79" s="2396"/>
      <c r="L79" s="2397"/>
      <c r="M79" s="2396"/>
      <c r="N79" s="2396"/>
      <c r="O79" s="2397"/>
      <c r="P79" s="2396"/>
      <c r="Q79" s="2396"/>
      <c r="R79" s="2398"/>
    </row>
    <row r="80" spans="2:18" s="2368" customFormat="1">
      <c r="B80" s="2396"/>
      <c r="C80" s="2396"/>
      <c r="D80" s="2396"/>
      <c r="E80" s="2396"/>
      <c r="F80" s="2396"/>
      <c r="G80" s="2397"/>
      <c r="H80" s="2396"/>
      <c r="I80" s="2397"/>
      <c r="J80" s="2396"/>
      <c r="K80" s="2396"/>
      <c r="L80" s="2397"/>
      <c r="M80" s="2396"/>
      <c r="N80" s="2396"/>
      <c r="O80" s="2397"/>
      <c r="P80" s="2396"/>
      <c r="Q80" s="2396"/>
      <c r="R80" s="2398"/>
    </row>
    <row r="81" spans="2:18" s="2368" customFormat="1">
      <c r="B81" s="2396"/>
      <c r="C81" s="2396"/>
      <c r="D81" s="2396"/>
      <c r="E81" s="2396"/>
      <c r="F81" s="2396"/>
      <c r="G81" s="2397"/>
      <c r="H81" s="2396"/>
      <c r="I81" s="2397"/>
      <c r="J81" s="2396"/>
      <c r="K81" s="2396"/>
      <c r="L81" s="2397"/>
      <c r="M81" s="2396"/>
      <c r="N81" s="2396"/>
      <c r="O81" s="2397"/>
      <c r="P81" s="2396"/>
      <c r="Q81" s="2396"/>
      <c r="R81" s="2398"/>
    </row>
    <row r="82" spans="2:18" s="2368" customFormat="1">
      <c r="B82" s="2396"/>
      <c r="C82" s="2396"/>
      <c r="D82" s="2396"/>
      <c r="E82" s="2396"/>
      <c r="F82" s="2396"/>
      <c r="G82" s="2397"/>
      <c r="H82" s="2396"/>
      <c r="I82" s="2397"/>
      <c r="J82" s="2396"/>
      <c r="K82" s="2396"/>
      <c r="L82" s="2397"/>
      <c r="M82" s="2396"/>
      <c r="N82" s="2396"/>
      <c r="O82" s="2397"/>
      <c r="P82" s="2396"/>
      <c r="Q82" s="2396"/>
      <c r="R82" s="2398"/>
    </row>
    <row r="83" spans="2:18" s="2368" customFormat="1">
      <c r="B83" s="2396"/>
      <c r="C83" s="2396"/>
      <c r="D83" s="2396"/>
      <c r="E83" s="2396"/>
      <c r="F83" s="2396"/>
      <c r="G83" s="2397"/>
      <c r="H83" s="2396"/>
      <c r="I83" s="2397"/>
      <c r="J83" s="2396"/>
      <c r="K83" s="2396"/>
      <c r="L83" s="2397"/>
      <c r="M83" s="2396"/>
      <c r="N83" s="2396"/>
      <c r="O83" s="2397"/>
      <c r="P83" s="2396"/>
      <c r="Q83" s="2396"/>
      <c r="R83" s="2398"/>
    </row>
    <row r="84" spans="2:18" s="2368" customFormat="1">
      <c r="B84" s="2396"/>
      <c r="C84" s="2396"/>
      <c r="D84" s="2396"/>
      <c r="E84" s="2396"/>
      <c r="F84" s="2396"/>
      <c r="G84" s="2397"/>
      <c r="H84" s="2396"/>
      <c r="I84" s="2397"/>
      <c r="J84" s="2396"/>
      <c r="K84" s="2396"/>
      <c r="L84" s="2397"/>
      <c r="M84" s="2396"/>
      <c r="N84" s="2396"/>
      <c r="O84" s="2397"/>
      <c r="P84" s="2396"/>
      <c r="Q84" s="2396"/>
      <c r="R84" s="2398"/>
    </row>
    <row r="85" spans="2:18" s="2368" customFormat="1">
      <c r="B85" s="2396"/>
      <c r="C85" s="2396"/>
      <c r="D85" s="2396"/>
      <c r="E85" s="2396"/>
      <c r="F85" s="2396"/>
      <c r="G85" s="2397"/>
      <c r="H85" s="2396"/>
      <c r="I85" s="2397"/>
      <c r="J85" s="2396"/>
      <c r="K85" s="2396"/>
      <c r="L85" s="2397"/>
      <c r="M85" s="2396"/>
      <c r="N85" s="2396"/>
      <c r="O85" s="2397"/>
      <c r="P85" s="2396"/>
      <c r="Q85" s="2396"/>
      <c r="R85" s="2398"/>
    </row>
    <row r="86" spans="2:18" s="2368" customFormat="1">
      <c r="B86" s="2396"/>
      <c r="C86" s="2396"/>
      <c r="D86" s="2396"/>
      <c r="E86" s="2396"/>
      <c r="F86" s="2396"/>
      <c r="G86" s="2397"/>
      <c r="H86" s="2396"/>
      <c r="I86" s="2397"/>
      <c r="J86" s="2396"/>
      <c r="K86" s="2396"/>
      <c r="L86" s="2397"/>
      <c r="M86" s="2396"/>
      <c r="N86" s="2396"/>
      <c r="O86" s="2397"/>
      <c r="P86" s="2396"/>
      <c r="Q86" s="2396"/>
      <c r="R86" s="2398"/>
    </row>
    <row r="87" spans="2:18" s="2368" customFormat="1">
      <c r="B87" s="2396"/>
      <c r="C87" s="2396"/>
      <c r="D87" s="2396"/>
      <c r="E87" s="2396"/>
      <c r="F87" s="2396"/>
      <c r="G87" s="2397"/>
      <c r="H87" s="2396"/>
      <c r="I87" s="2397"/>
      <c r="J87" s="2396"/>
      <c r="K87" s="2396"/>
      <c r="L87" s="2397"/>
      <c r="M87" s="2396"/>
      <c r="N87" s="2396"/>
      <c r="O87" s="2397"/>
      <c r="P87" s="2396"/>
      <c r="Q87" s="2396"/>
      <c r="R87" s="2398"/>
    </row>
    <row r="88" spans="2:18" s="2368" customFormat="1">
      <c r="B88" s="2396"/>
      <c r="C88" s="2396"/>
      <c r="D88" s="2396"/>
      <c r="E88" s="2396"/>
      <c r="F88" s="2396"/>
      <c r="G88" s="2397"/>
      <c r="H88" s="2396"/>
      <c r="I88" s="2397"/>
      <c r="J88" s="2396"/>
      <c r="K88" s="2396"/>
      <c r="L88" s="2397"/>
      <c r="M88" s="2396"/>
      <c r="N88" s="2396"/>
      <c r="O88" s="2397"/>
      <c r="P88" s="2396"/>
      <c r="Q88" s="2396"/>
      <c r="R88" s="2398"/>
    </row>
    <row r="89" spans="2:18" s="2368" customFormat="1">
      <c r="B89" s="2396"/>
      <c r="C89" s="2396"/>
      <c r="D89" s="2396"/>
      <c r="E89" s="2396"/>
      <c r="F89" s="2396"/>
      <c r="G89" s="2397"/>
      <c r="H89" s="2396"/>
      <c r="I89" s="2397"/>
      <c r="J89" s="2396"/>
      <c r="K89" s="2396"/>
      <c r="L89" s="2397"/>
      <c r="M89" s="2396"/>
      <c r="N89" s="2396"/>
      <c r="O89" s="2397"/>
      <c r="P89" s="2396"/>
      <c r="Q89" s="2396"/>
      <c r="R89" s="2398"/>
    </row>
    <row r="90" spans="2:18" s="2368" customFormat="1">
      <c r="B90" s="2396"/>
      <c r="C90" s="2396"/>
      <c r="D90" s="2396"/>
      <c r="E90" s="2396"/>
      <c r="F90" s="2396"/>
      <c r="G90" s="2397"/>
      <c r="H90" s="2396"/>
      <c r="I90" s="2397"/>
      <c r="J90" s="2396"/>
      <c r="K90" s="2396"/>
      <c r="L90" s="2397"/>
      <c r="M90" s="2396"/>
      <c r="N90" s="2396"/>
      <c r="O90" s="2397"/>
      <c r="P90" s="2396"/>
      <c r="Q90" s="2396"/>
      <c r="R90" s="2398"/>
    </row>
    <row r="91" spans="2:18" s="2368" customFormat="1">
      <c r="B91" s="2396"/>
      <c r="C91" s="2396"/>
      <c r="D91" s="2396"/>
      <c r="E91" s="2396"/>
      <c r="F91" s="2396"/>
      <c r="G91" s="2397"/>
      <c r="H91" s="2396"/>
      <c r="I91" s="2397"/>
      <c r="J91" s="2396"/>
      <c r="K91" s="2396"/>
      <c r="L91" s="2397"/>
      <c r="M91" s="2396"/>
      <c r="N91" s="2396"/>
      <c r="O91" s="2397"/>
      <c r="P91" s="2396"/>
      <c r="Q91" s="2396"/>
      <c r="R91" s="2398"/>
    </row>
    <row r="92" spans="2:18" s="2368" customFormat="1">
      <c r="B92" s="2396"/>
      <c r="C92" s="2396"/>
      <c r="D92" s="2396"/>
      <c r="E92" s="2396"/>
      <c r="F92" s="2396"/>
      <c r="G92" s="2397"/>
      <c r="H92" s="2396"/>
      <c r="I92" s="2397"/>
      <c r="J92" s="2396"/>
      <c r="K92" s="2396"/>
      <c r="L92" s="2397"/>
      <c r="M92" s="2396"/>
      <c r="N92" s="2396"/>
      <c r="O92" s="2397"/>
      <c r="P92" s="2396"/>
      <c r="Q92" s="2396"/>
      <c r="R92" s="2398"/>
    </row>
    <row r="93" spans="2:18" s="2368" customFormat="1">
      <c r="B93" s="2396"/>
      <c r="C93" s="2396"/>
      <c r="D93" s="2396"/>
      <c r="E93" s="2396"/>
      <c r="F93" s="2396"/>
      <c r="G93" s="2397"/>
      <c r="H93" s="2396"/>
      <c r="I93" s="2397"/>
      <c r="J93" s="2396"/>
      <c r="K93" s="2396"/>
      <c r="L93" s="2397"/>
      <c r="M93" s="2396"/>
      <c r="N93" s="2396"/>
      <c r="O93" s="2397"/>
      <c r="P93" s="2396"/>
      <c r="Q93" s="2396"/>
      <c r="R93" s="2398"/>
    </row>
    <row r="94" spans="2:18" s="2368" customFormat="1">
      <c r="B94" s="2396"/>
      <c r="C94" s="2396"/>
      <c r="D94" s="2396"/>
      <c r="E94" s="2396"/>
      <c r="F94" s="2396"/>
      <c r="G94" s="2397"/>
      <c r="H94" s="2396"/>
      <c r="I94" s="2397"/>
      <c r="J94" s="2396"/>
      <c r="K94" s="2396"/>
      <c r="L94" s="2397"/>
      <c r="M94" s="2396"/>
      <c r="N94" s="2396"/>
      <c r="O94" s="2397"/>
      <c r="P94" s="2396"/>
      <c r="Q94" s="2396"/>
      <c r="R94" s="2398"/>
    </row>
    <row r="95" spans="2:18" s="2368" customFormat="1">
      <c r="B95" s="2396"/>
      <c r="C95" s="2396"/>
      <c r="D95" s="2396"/>
      <c r="E95" s="2396"/>
      <c r="F95" s="2396"/>
      <c r="G95" s="2397"/>
      <c r="H95" s="2396"/>
      <c r="I95" s="2397"/>
      <c r="J95" s="2396"/>
      <c r="K95" s="2396"/>
      <c r="L95" s="2397"/>
      <c r="M95" s="2396"/>
      <c r="N95" s="2396"/>
      <c r="O95" s="2397"/>
      <c r="P95" s="2396"/>
      <c r="Q95" s="2396"/>
      <c r="R95" s="2398"/>
    </row>
    <row r="96" spans="2:18" s="2368" customFormat="1">
      <c r="B96" s="2396"/>
      <c r="C96" s="2396"/>
      <c r="D96" s="2396"/>
      <c r="E96" s="2396"/>
      <c r="F96" s="2396"/>
      <c r="G96" s="2397"/>
      <c r="H96" s="2396"/>
      <c r="I96" s="2397"/>
      <c r="J96" s="2396"/>
      <c r="K96" s="2396"/>
      <c r="L96" s="2397"/>
      <c r="M96" s="2396"/>
      <c r="N96" s="2396"/>
      <c r="O96" s="2397"/>
      <c r="P96" s="2396"/>
      <c r="Q96" s="2396"/>
      <c r="R96" s="2398"/>
    </row>
    <row r="97" spans="2:18" s="2368" customFormat="1">
      <c r="B97" s="2396"/>
      <c r="C97" s="2396"/>
      <c r="D97" s="2396"/>
      <c r="E97" s="2396"/>
      <c r="F97" s="2396"/>
      <c r="G97" s="2397"/>
      <c r="H97" s="2396"/>
      <c r="I97" s="2397"/>
      <c r="J97" s="2396"/>
      <c r="K97" s="2396"/>
      <c r="L97" s="2397"/>
      <c r="M97" s="2396"/>
      <c r="N97" s="2396"/>
      <c r="O97" s="2397"/>
      <c r="P97" s="2396"/>
      <c r="Q97" s="2396"/>
      <c r="R97" s="2398"/>
    </row>
    <row r="98" spans="2:18" s="2368" customFormat="1">
      <c r="B98" s="2396"/>
      <c r="C98" s="2396"/>
      <c r="D98" s="2396"/>
      <c r="E98" s="2396"/>
      <c r="F98" s="2396"/>
      <c r="G98" s="2397"/>
      <c r="H98" s="2396"/>
      <c r="I98" s="2397"/>
      <c r="J98" s="2396"/>
      <c r="K98" s="2396"/>
      <c r="L98" s="2397"/>
      <c r="M98" s="2396"/>
      <c r="N98" s="2396"/>
      <c r="O98" s="2397"/>
      <c r="P98" s="2396"/>
      <c r="Q98" s="2396"/>
      <c r="R98" s="2398"/>
    </row>
    <row r="99" spans="2:18" s="2368" customFormat="1">
      <c r="B99" s="2396"/>
      <c r="C99" s="2396"/>
      <c r="D99" s="2396"/>
      <c r="E99" s="2396"/>
      <c r="F99" s="2396"/>
      <c r="G99" s="2397"/>
      <c r="H99" s="2396"/>
      <c r="I99" s="2397"/>
      <c r="J99" s="2396"/>
      <c r="K99" s="2396"/>
      <c r="L99" s="2397"/>
      <c r="M99" s="2396"/>
      <c r="N99" s="2396"/>
      <c r="O99" s="2397"/>
      <c r="P99" s="2396"/>
      <c r="Q99" s="2396"/>
      <c r="R99" s="2398"/>
    </row>
    <row r="100" spans="2:18" s="2368" customFormat="1">
      <c r="B100" s="2396"/>
      <c r="C100" s="2396"/>
      <c r="D100" s="2396"/>
      <c r="E100" s="2396"/>
      <c r="F100" s="2396"/>
      <c r="G100" s="2397"/>
      <c r="H100" s="2396"/>
      <c r="I100" s="2397"/>
      <c r="J100" s="2396"/>
      <c r="K100" s="2396"/>
      <c r="L100" s="2397"/>
      <c r="M100" s="2396"/>
      <c r="N100" s="2396"/>
      <c r="O100" s="2397"/>
      <c r="P100" s="2396"/>
      <c r="Q100" s="2396"/>
      <c r="R100" s="2398"/>
    </row>
    <row r="101" spans="2:18" s="2368" customFormat="1">
      <c r="B101" s="2396"/>
      <c r="C101" s="2396"/>
      <c r="D101" s="2396"/>
      <c r="E101" s="2396"/>
      <c r="F101" s="2396"/>
      <c r="G101" s="2397"/>
      <c r="H101" s="2396"/>
      <c r="I101" s="2397"/>
      <c r="J101" s="2396"/>
      <c r="K101" s="2396"/>
      <c r="L101" s="2397"/>
      <c r="M101" s="2396"/>
      <c r="N101" s="2396"/>
      <c r="O101" s="2397"/>
      <c r="P101" s="2396"/>
      <c r="Q101" s="2396"/>
      <c r="R101" s="2398"/>
    </row>
    <row r="102" spans="2:18" s="2368" customFormat="1">
      <c r="B102" s="2396"/>
      <c r="C102" s="2396"/>
      <c r="D102" s="2396"/>
      <c r="E102" s="2396"/>
      <c r="F102" s="2396"/>
      <c r="G102" s="2397"/>
      <c r="H102" s="2396"/>
      <c r="I102" s="2397"/>
      <c r="J102" s="2396"/>
      <c r="K102" s="2396"/>
      <c r="L102" s="2397"/>
      <c r="M102" s="2396"/>
      <c r="N102" s="2396"/>
      <c r="O102" s="2397"/>
      <c r="P102" s="2396"/>
      <c r="Q102" s="2396"/>
      <c r="R102" s="2398"/>
    </row>
    <row r="103" spans="2:18" s="2368" customFormat="1">
      <c r="B103" s="2396"/>
      <c r="C103" s="2396"/>
      <c r="D103" s="2396"/>
      <c r="E103" s="2396"/>
      <c r="F103" s="2396"/>
      <c r="G103" s="2397"/>
      <c r="H103" s="2396"/>
      <c r="I103" s="2397"/>
      <c r="J103" s="2396"/>
      <c r="K103" s="2396"/>
      <c r="L103" s="2397"/>
      <c r="M103" s="2396"/>
      <c r="N103" s="2396"/>
      <c r="O103" s="2397"/>
      <c r="P103" s="2396"/>
      <c r="Q103" s="2396"/>
      <c r="R103" s="2398"/>
    </row>
    <row r="104" spans="2:18" s="2368" customFormat="1">
      <c r="B104" s="2396"/>
      <c r="C104" s="2396"/>
      <c r="D104" s="2396"/>
      <c r="E104" s="2396"/>
      <c r="F104" s="2396"/>
      <c r="G104" s="2397"/>
      <c r="H104" s="2396"/>
      <c r="I104" s="2397"/>
      <c r="J104" s="2396"/>
      <c r="K104" s="2396"/>
      <c r="L104" s="2397"/>
      <c r="M104" s="2396"/>
      <c r="N104" s="2396"/>
      <c r="O104" s="2397"/>
      <c r="P104" s="2396"/>
      <c r="Q104" s="2396"/>
      <c r="R104" s="2398"/>
    </row>
    <row r="105" spans="2:18" s="2368" customFormat="1">
      <c r="B105" s="2396"/>
      <c r="C105" s="2396"/>
      <c r="D105" s="2396"/>
      <c r="E105" s="2396"/>
      <c r="F105" s="2396"/>
      <c r="G105" s="2397"/>
      <c r="H105" s="2396"/>
      <c r="I105" s="2397"/>
      <c r="J105" s="2396"/>
      <c r="K105" s="2396"/>
      <c r="L105" s="2397"/>
      <c r="M105" s="2396"/>
      <c r="N105" s="2396"/>
      <c r="O105" s="2397"/>
      <c r="P105" s="2396"/>
      <c r="Q105" s="2396"/>
      <c r="R105" s="2398"/>
    </row>
    <row r="106" spans="2:18" s="2368" customFormat="1">
      <c r="B106" s="2396"/>
      <c r="C106" s="2396"/>
      <c r="D106" s="2396"/>
      <c r="E106" s="2396"/>
      <c r="F106" s="2396"/>
      <c r="G106" s="2397"/>
      <c r="H106" s="2396"/>
      <c r="I106" s="2397"/>
      <c r="J106" s="2396"/>
      <c r="K106" s="2396"/>
      <c r="L106" s="2397"/>
      <c r="M106" s="2396"/>
      <c r="N106" s="2396"/>
      <c r="O106" s="2397"/>
      <c r="P106" s="2396"/>
      <c r="Q106" s="2396"/>
      <c r="R106" s="2398"/>
    </row>
    <row r="107" spans="2:18" s="2368" customFormat="1">
      <c r="B107" s="2396"/>
      <c r="C107" s="2396"/>
      <c r="D107" s="2396"/>
      <c r="E107" s="2396"/>
      <c r="F107" s="2396"/>
      <c r="G107" s="2397"/>
      <c r="H107" s="2396"/>
      <c r="I107" s="2397"/>
      <c r="J107" s="2396"/>
      <c r="K107" s="2396"/>
      <c r="L107" s="2397"/>
      <c r="M107" s="2396"/>
      <c r="N107" s="2396"/>
      <c r="O107" s="2397"/>
      <c r="P107" s="2396"/>
      <c r="Q107" s="2396"/>
      <c r="R107" s="2398"/>
    </row>
    <row r="108" spans="2:18" s="2368" customFormat="1">
      <c r="B108" s="2396"/>
      <c r="C108" s="2396"/>
      <c r="D108" s="2396"/>
      <c r="E108" s="2396"/>
      <c r="F108" s="2396"/>
      <c r="G108" s="2397"/>
      <c r="H108" s="2396"/>
      <c r="I108" s="2397"/>
      <c r="J108" s="2396"/>
      <c r="K108" s="2396"/>
      <c r="L108" s="2397"/>
      <c r="M108" s="2396"/>
      <c r="N108" s="2396"/>
      <c r="O108" s="2397"/>
      <c r="P108" s="2396"/>
      <c r="Q108" s="2396"/>
      <c r="R108" s="2398"/>
    </row>
    <row r="109" spans="2:18" s="2368" customFormat="1">
      <c r="B109" s="2396"/>
      <c r="C109" s="2396"/>
      <c r="D109" s="2396"/>
      <c r="E109" s="2396"/>
      <c r="F109" s="2396"/>
      <c r="G109" s="2397"/>
      <c r="H109" s="2396"/>
      <c r="I109" s="2397"/>
      <c r="J109" s="2396"/>
      <c r="K109" s="2396"/>
      <c r="L109" s="2397"/>
      <c r="M109" s="2396"/>
      <c r="N109" s="2396"/>
      <c r="O109" s="2397"/>
      <c r="P109" s="2396"/>
      <c r="Q109" s="2396"/>
      <c r="R109" s="2398"/>
    </row>
    <row r="110" spans="2:18" s="2368" customFormat="1">
      <c r="B110" s="2396"/>
      <c r="C110" s="2396"/>
      <c r="D110" s="2396"/>
      <c r="E110" s="2396"/>
      <c r="F110" s="2396"/>
      <c r="G110" s="2397"/>
      <c r="H110" s="2396"/>
      <c r="I110" s="2397"/>
      <c r="J110" s="2396"/>
      <c r="K110" s="2396"/>
      <c r="L110" s="2397"/>
      <c r="M110" s="2396"/>
      <c r="N110" s="2396"/>
      <c r="O110" s="2397"/>
      <c r="P110" s="2396"/>
      <c r="Q110" s="2396"/>
      <c r="R110" s="2398"/>
    </row>
    <row r="111" spans="2:18" s="2368" customFormat="1">
      <c r="B111" s="2396"/>
      <c r="C111" s="2396"/>
      <c r="D111" s="2396"/>
      <c r="E111" s="2396"/>
      <c r="F111" s="2396"/>
      <c r="G111" s="2397"/>
      <c r="H111" s="2396"/>
      <c r="I111" s="2397"/>
      <c r="J111" s="2396"/>
      <c r="K111" s="2396"/>
      <c r="L111" s="2397"/>
      <c r="M111" s="2396"/>
      <c r="N111" s="2396"/>
      <c r="O111" s="2397"/>
      <c r="P111" s="2396"/>
      <c r="Q111" s="2396"/>
      <c r="R111" s="2398"/>
    </row>
    <row r="112" spans="2:18" s="2368" customFormat="1">
      <c r="B112" s="2396"/>
      <c r="C112" s="2396"/>
      <c r="D112" s="2396"/>
      <c r="E112" s="2396"/>
      <c r="F112" s="2396"/>
      <c r="G112" s="2397"/>
      <c r="H112" s="2396"/>
      <c r="I112" s="2397"/>
      <c r="J112" s="2396"/>
      <c r="K112" s="2396"/>
      <c r="L112" s="2397"/>
      <c r="M112" s="2396"/>
      <c r="N112" s="2396"/>
      <c r="O112" s="2397"/>
      <c r="P112" s="2396"/>
      <c r="Q112" s="2396"/>
      <c r="R112" s="2398"/>
    </row>
    <row r="113" spans="2:18" s="2368" customFormat="1">
      <c r="B113" s="2396"/>
      <c r="C113" s="2396"/>
      <c r="D113" s="2396"/>
      <c r="E113" s="2396"/>
      <c r="F113" s="2396"/>
      <c r="G113" s="2397"/>
      <c r="H113" s="2396"/>
      <c r="I113" s="2397"/>
      <c r="J113" s="2396"/>
      <c r="K113" s="2396"/>
      <c r="L113" s="2397"/>
      <c r="M113" s="2396"/>
      <c r="N113" s="2396"/>
      <c r="O113" s="2397"/>
      <c r="P113" s="2396"/>
      <c r="Q113" s="2396"/>
      <c r="R113" s="2398"/>
    </row>
    <row r="114" spans="2:18" s="2368" customFormat="1">
      <c r="B114" s="2396"/>
      <c r="C114" s="2396"/>
      <c r="D114" s="2396"/>
      <c r="E114" s="2396"/>
      <c r="F114" s="2396"/>
      <c r="G114" s="2397"/>
      <c r="H114" s="2396"/>
      <c r="I114" s="2397"/>
      <c r="J114" s="2396"/>
      <c r="K114" s="2396"/>
      <c r="L114" s="2397"/>
      <c r="M114" s="2396"/>
      <c r="N114" s="2396"/>
      <c r="O114" s="2397"/>
      <c r="P114" s="2396"/>
      <c r="Q114" s="2396"/>
      <c r="R114" s="2398"/>
    </row>
    <row r="115" spans="2:18" s="2368" customFormat="1">
      <c r="B115" s="2396"/>
      <c r="C115" s="2396"/>
      <c r="D115" s="2396"/>
      <c r="E115" s="2396"/>
      <c r="F115" s="2396"/>
      <c r="G115" s="2397"/>
      <c r="H115" s="2396"/>
      <c r="I115" s="2397"/>
      <c r="J115" s="2396"/>
      <c r="K115" s="2396"/>
      <c r="L115" s="2397"/>
      <c r="M115" s="2396"/>
      <c r="N115" s="2396"/>
      <c r="O115" s="2397"/>
      <c r="P115" s="2396"/>
      <c r="Q115" s="2396"/>
      <c r="R115" s="2398"/>
    </row>
    <row r="116" spans="2:18" s="2368" customFormat="1">
      <c r="B116" s="2396"/>
      <c r="C116" s="2396"/>
      <c r="D116" s="2396"/>
      <c r="E116" s="2396"/>
      <c r="F116" s="2396"/>
      <c r="G116" s="2397"/>
      <c r="H116" s="2396"/>
      <c r="I116" s="2397"/>
      <c r="J116" s="2396"/>
      <c r="K116" s="2396"/>
      <c r="L116" s="2397"/>
      <c r="M116" s="2396"/>
      <c r="N116" s="2396"/>
      <c r="O116" s="2397"/>
      <c r="P116" s="2396"/>
      <c r="Q116" s="2396"/>
      <c r="R116" s="2398"/>
    </row>
    <row r="117" spans="2:18" s="2368" customFormat="1">
      <c r="B117" s="2396"/>
      <c r="C117" s="2396"/>
      <c r="D117" s="2396"/>
      <c r="E117" s="2396"/>
      <c r="F117" s="2396"/>
      <c r="G117" s="2397"/>
      <c r="H117" s="2396"/>
      <c r="I117" s="2397"/>
      <c r="J117" s="2396"/>
      <c r="K117" s="2396"/>
      <c r="L117" s="2397"/>
      <c r="M117" s="2396"/>
      <c r="N117" s="2396"/>
      <c r="O117" s="2397"/>
      <c r="P117" s="2396"/>
      <c r="Q117" s="2396"/>
      <c r="R117" s="2398"/>
    </row>
    <row r="118" spans="2:18" s="2368" customFormat="1">
      <c r="B118" s="2396"/>
      <c r="C118" s="2396"/>
      <c r="D118" s="2396"/>
      <c r="E118" s="2396"/>
      <c r="F118" s="2396"/>
      <c r="G118" s="2397"/>
      <c r="H118" s="2396"/>
      <c r="I118" s="2397"/>
      <c r="J118" s="2396"/>
      <c r="K118" s="2396"/>
      <c r="L118" s="2397"/>
      <c r="M118" s="2396"/>
      <c r="N118" s="2396"/>
      <c r="O118" s="2397"/>
      <c r="P118" s="2396"/>
      <c r="Q118" s="2396"/>
      <c r="R118" s="2398"/>
    </row>
    <row r="119" spans="2:18" s="2368" customFormat="1">
      <c r="B119" s="2396"/>
      <c r="C119" s="2396"/>
      <c r="D119" s="2396"/>
      <c r="E119" s="2396"/>
      <c r="F119" s="2396"/>
      <c r="G119" s="2397"/>
      <c r="H119" s="2396"/>
      <c r="I119" s="2397"/>
      <c r="J119" s="2396"/>
      <c r="K119" s="2396"/>
      <c r="L119" s="2397"/>
      <c r="M119" s="2396"/>
      <c r="N119" s="2396"/>
      <c r="O119" s="2397"/>
      <c r="P119" s="2396"/>
      <c r="Q119" s="2396"/>
      <c r="R119" s="2398"/>
    </row>
    <row r="120" spans="2:18" s="2368" customFormat="1">
      <c r="B120" s="2396"/>
      <c r="C120" s="2396"/>
      <c r="D120" s="2396"/>
      <c r="E120" s="2396"/>
      <c r="F120" s="2396"/>
      <c r="G120" s="2397"/>
      <c r="H120" s="2396"/>
      <c r="I120" s="2397"/>
      <c r="J120" s="2396"/>
      <c r="K120" s="2396"/>
      <c r="L120" s="2397"/>
      <c r="M120" s="2396"/>
      <c r="N120" s="2396"/>
      <c r="O120" s="2397"/>
      <c r="P120" s="2396"/>
      <c r="Q120" s="2396"/>
      <c r="R120" s="2398"/>
    </row>
    <row r="121" spans="2:18" s="2368" customFormat="1">
      <c r="B121" s="2396"/>
      <c r="C121" s="2396"/>
      <c r="D121" s="2396"/>
      <c r="E121" s="2396"/>
      <c r="F121" s="2396"/>
      <c r="G121" s="2397"/>
      <c r="H121" s="2396"/>
      <c r="I121" s="2397"/>
      <c r="J121" s="2396"/>
      <c r="K121" s="2396"/>
      <c r="L121" s="2397"/>
      <c r="M121" s="2396"/>
      <c r="N121" s="2396"/>
      <c r="O121" s="2397"/>
      <c r="P121" s="2396"/>
      <c r="Q121" s="2396"/>
      <c r="R121" s="2398"/>
    </row>
    <row r="122" spans="2:18" s="2368" customFormat="1">
      <c r="B122" s="2396"/>
      <c r="C122" s="2396"/>
      <c r="D122" s="2396"/>
      <c r="E122" s="2396"/>
      <c r="F122" s="2396"/>
      <c r="G122" s="2397"/>
      <c r="H122" s="2396"/>
      <c r="I122" s="2397"/>
      <c r="J122" s="2396"/>
      <c r="K122" s="2396"/>
      <c r="L122" s="2397"/>
      <c r="M122" s="2396"/>
      <c r="N122" s="2396"/>
      <c r="O122" s="2397"/>
      <c r="P122" s="2396"/>
      <c r="Q122" s="2396"/>
      <c r="R122" s="2398"/>
    </row>
    <row r="123" spans="2:18" s="2368" customFormat="1">
      <c r="B123" s="2396"/>
      <c r="C123" s="2396"/>
      <c r="D123" s="2396"/>
      <c r="E123" s="2396"/>
      <c r="F123" s="2396"/>
      <c r="G123" s="2397"/>
      <c r="H123" s="2396"/>
      <c r="I123" s="2397"/>
      <c r="J123" s="2396"/>
      <c r="K123" s="2396"/>
      <c r="L123" s="2397"/>
      <c r="M123" s="2396"/>
      <c r="N123" s="2396"/>
      <c r="O123" s="2397"/>
      <c r="P123" s="2396"/>
      <c r="Q123" s="2396"/>
      <c r="R123" s="2398"/>
    </row>
    <row r="124" spans="2:18" s="2368" customFormat="1">
      <c r="B124" s="2396"/>
      <c r="C124" s="2396"/>
      <c r="D124" s="2396"/>
      <c r="E124" s="2396"/>
      <c r="F124" s="2396"/>
      <c r="G124" s="2397"/>
      <c r="H124" s="2396"/>
      <c r="I124" s="2397"/>
      <c r="J124" s="2396"/>
      <c r="K124" s="2396"/>
      <c r="L124" s="2397"/>
      <c r="M124" s="2396"/>
      <c r="N124" s="2396"/>
      <c r="O124" s="2397"/>
      <c r="P124" s="2396"/>
      <c r="Q124" s="2396"/>
      <c r="R124" s="2398"/>
    </row>
    <row r="125" spans="2:18" s="2368" customFormat="1">
      <c r="B125" s="2396"/>
      <c r="C125" s="2396"/>
      <c r="D125" s="2396"/>
      <c r="E125" s="2396"/>
      <c r="F125" s="2396"/>
      <c r="G125" s="2397"/>
      <c r="H125" s="2396"/>
      <c r="I125" s="2397"/>
      <c r="J125" s="2396"/>
      <c r="K125" s="2396"/>
      <c r="L125" s="2397"/>
      <c r="M125" s="2396"/>
      <c r="N125" s="2396"/>
      <c r="O125" s="2397"/>
      <c r="P125" s="2396"/>
      <c r="Q125" s="2396"/>
      <c r="R125" s="2398"/>
    </row>
    <row r="126" spans="2:18" s="2368" customFormat="1">
      <c r="B126" s="2396"/>
      <c r="C126" s="2396"/>
      <c r="D126" s="2396"/>
      <c r="E126" s="2396"/>
      <c r="F126" s="2396"/>
      <c r="G126" s="2397"/>
      <c r="H126" s="2396"/>
      <c r="I126" s="2397"/>
      <c r="J126" s="2396"/>
      <c r="K126" s="2396"/>
      <c r="L126" s="2397"/>
      <c r="M126" s="2396"/>
      <c r="N126" s="2396"/>
      <c r="O126" s="2397"/>
      <c r="P126" s="2396"/>
      <c r="Q126" s="2396"/>
      <c r="R126" s="2398"/>
    </row>
    <row r="127" spans="2:18" s="2368" customFormat="1">
      <c r="B127" s="2396"/>
      <c r="C127" s="2396"/>
      <c r="D127" s="2396"/>
      <c r="E127" s="2396"/>
      <c r="F127" s="2396"/>
      <c r="G127" s="2397"/>
      <c r="H127" s="2396"/>
      <c r="I127" s="2397"/>
      <c r="J127" s="2396"/>
      <c r="K127" s="2396"/>
      <c r="L127" s="2397"/>
      <c r="M127" s="2396"/>
      <c r="N127" s="2396"/>
      <c r="O127" s="2397"/>
      <c r="P127" s="2396"/>
      <c r="Q127" s="2396"/>
      <c r="R127" s="2398"/>
    </row>
    <row r="128" spans="2:18" s="2368" customFormat="1">
      <c r="B128" s="2396"/>
      <c r="C128" s="2396"/>
      <c r="D128" s="2396"/>
      <c r="E128" s="2396"/>
      <c r="F128" s="2396"/>
      <c r="G128" s="2397"/>
      <c r="H128" s="2396"/>
      <c r="I128" s="2397"/>
      <c r="J128" s="2396"/>
      <c r="K128" s="2396"/>
      <c r="L128" s="2397"/>
      <c r="M128" s="2396"/>
      <c r="N128" s="2396"/>
      <c r="O128" s="2397"/>
      <c r="P128" s="2396"/>
      <c r="Q128" s="2396"/>
      <c r="R128" s="2398"/>
    </row>
    <row r="129" spans="2:18" s="2368" customFormat="1">
      <c r="B129" s="2396"/>
      <c r="C129" s="2396"/>
      <c r="D129" s="2396"/>
      <c r="E129" s="2396"/>
      <c r="F129" s="2396"/>
      <c r="G129" s="2397"/>
      <c r="H129" s="2396"/>
      <c r="I129" s="2397"/>
      <c r="J129" s="2396"/>
      <c r="K129" s="2396"/>
      <c r="L129" s="2397"/>
      <c r="M129" s="2396"/>
      <c r="N129" s="2396"/>
      <c r="O129" s="2397"/>
      <c r="P129" s="2396"/>
      <c r="Q129" s="2396"/>
      <c r="R129" s="2398"/>
    </row>
    <row r="130" spans="2:18" s="2368" customFormat="1">
      <c r="B130" s="2396"/>
      <c r="C130" s="2396"/>
      <c r="D130" s="2396"/>
      <c r="E130" s="2396"/>
      <c r="F130" s="2396"/>
      <c r="G130" s="2397"/>
      <c r="H130" s="2396"/>
      <c r="I130" s="2397"/>
      <c r="J130" s="2396"/>
      <c r="K130" s="2396"/>
      <c r="L130" s="2397"/>
      <c r="M130" s="2396"/>
      <c r="N130" s="2396"/>
      <c r="O130" s="2397"/>
      <c r="P130" s="2396"/>
      <c r="Q130" s="2396"/>
      <c r="R130" s="2398"/>
    </row>
    <row r="131" spans="2:18" s="2368" customFormat="1">
      <c r="B131" s="2396"/>
      <c r="C131" s="2396"/>
      <c r="D131" s="2396"/>
      <c r="E131" s="2396"/>
      <c r="F131" s="2396"/>
      <c r="G131" s="2397"/>
      <c r="H131" s="2396"/>
      <c r="I131" s="2397"/>
      <c r="J131" s="2396"/>
      <c r="K131" s="2396"/>
      <c r="L131" s="2397"/>
      <c r="M131" s="2396"/>
      <c r="N131" s="2396"/>
      <c r="O131" s="2397"/>
      <c r="P131" s="2396"/>
      <c r="Q131" s="2396"/>
      <c r="R131" s="2398"/>
    </row>
    <row r="132" spans="2:18" s="2368" customFormat="1">
      <c r="B132" s="2396"/>
      <c r="C132" s="2396"/>
      <c r="D132" s="2396"/>
      <c r="E132" s="2396"/>
      <c r="F132" s="2396"/>
      <c r="G132" s="2397"/>
      <c r="H132" s="2396"/>
      <c r="I132" s="2397"/>
      <c r="J132" s="2396"/>
      <c r="K132" s="2396"/>
      <c r="L132" s="2397"/>
      <c r="M132" s="2396"/>
      <c r="N132" s="2396"/>
      <c r="O132" s="2397"/>
      <c r="P132" s="2396"/>
      <c r="Q132" s="2396"/>
      <c r="R132" s="2398"/>
    </row>
    <row r="133" spans="2:18" s="2368" customFormat="1">
      <c r="B133" s="2396"/>
      <c r="C133" s="2396"/>
      <c r="D133" s="2396"/>
      <c r="E133" s="2396"/>
      <c r="F133" s="2396"/>
      <c r="G133" s="2397"/>
      <c r="H133" s="2396"/>
      <c r="I133" s="2397"/>
      <c r="J133" s="2396"/>
      <c r="K133" s="2396"/>
      <c r="L133" s="2397"/>
      <c r="M133" s="2396"/>
      <c r="N133" s="2396"/>
      <c r="O133" s="2397"/>
      <c r="P133" s="2396"/>
      <c r="Q133" s="2396"/>
      <c r="R133" s="2398"/>
    </row>
    <row r="134" spans="2:18" s="2368" customFormat="1">
      <c r="B134" s="2396"/>
      <c r="C134" s="2396"/>
      <c r="D134" s="2396"/>
      <c r="E134" s="2396"/>
      <c r="F134" s="2396"/>
      <c r="G134" s="2397"/>
      <c r="H134" s="2396"/>
      <c r="I134" s="2397"/>
      <c r="J134" s="2396"/>
      <c r="K134" s="2396"/>
      <c r="L134" s="2397"/>
      <c r="M134" s="2396"/>
      <c r="N134" s="2396"/>
      <c r="O134" s="2397"/>
      <c r="P134" s="2396"/>
      <c r="Q134" s="2396"/>
      <c r="R134" s="2398"/>
    </row>
    <row r="135" spans="2:18" s="2368" customFormat="1">
      <c r="B135" s="2396"/>
      <c r="C135" s="2396"/>
      <c r="D135" s="2396"/>
      <c r="E135" s="2396"/>
      <c r="F135" s="2396"/>
      <c r="G135" s="2397"/>
      <c r="H135" s="2396"/>
      <c r="I135" s="2397"/>
      <c r="J135" s="2396"/>
      <c r="K135" s="2396"/>
      <c r="L135" s="2397"/>
      <c r="M135" s="2396"/>
      <c r="N135" s="2396"/>
      <c r="O135" s="2397"/>
      <c r="P135" s="2396"/>
      <c r="Q135" s="2396"/>
      <c r="R135" s="2398"/>
    </row>
    <row r="136" spans="2:18" s="2368" customFormat="1">
      <c r="B136" s="2396"/>
      <c r="C136" s="2396"/>
      <c r="D136" s="2396"/>
      <c r="E136" s="2396"/>
      <c r="F136" s="2396"/>
      <c r="G136" s="2397"/>
      <c r="H136" s="2396"/>
      <c r="I136" s="2397"/>
      <c r="J136" s="2396"/>
      <c r="K136" s="2396"/>
      <c r="L136" s="2397"/>
      <c r="M136" s="2396"/>
      <c r="N136" s="2396"/>
      <c r="O136" s="2397"/>
      <c r="P136" s="2396"/>
      <c r="Q136" s="2396"/>
      <c r="R136" s="2398"/>
    </row>
    <row r="137" spans="2:18" s="2368" customFormat="1">
      <c r="B137" s="2396"/>
      <c r="C137" s="2396"/>
      <c r="D137" s="2396"/>
      <c r="E137" s="2396"/>
      <c r="F137" s="2396"/>
      <c r="G137" s="2397"/>
      <c r="H137" s="2396"/>
      <c r="I137" s="2397"/>
      <c r="J137" s="2396"/>
      <c r="K137" s="2396"/>
      <c r="L137" s="2397"/>
      <c r="M137" s="2396"/>
      <c r="N137" s="2396"/>
      <c r="O137" s="2397"/>
      <c r="P137" s="2396"/>
      <c r="Q137" s="2396"/>
      <c r="R137" s="2398"/>
    </row>
    <row r="138" spans="2:18" s="2368" customFormat="1">
      <c r="B138" s="2396"/>
      <c r="C138" s="2396"/>
      <c r="D138" s="2396"/>
      <c r="E138" s="2396"/>
      <c r="F138" s="2396"/>
      <c r="G138" s="2397"/>
      <c r="H138" s="2396"/>
      <c r="I138" s="2397"/>
      <c r="J138" s="2396"/>
      <c r="K138" s="2396"/>
      <c r="L138" s="2397"/>
      <c r="M138" s="2396"/>
      <c r="N138" s="2396"/>
      <c r="O138" s="2397"/>
      <c r="P138" s="2396"/>
      <c r="Q138" s="2396"/>
      <c r="R138" s="2398"/>
    </row>
    <row r="139" spans="2:18" s="2368" customFormat="1">
      <c r="B139" s="2396"/>
      <c r="C139" s="2396"/>
      <c r="D139" s="2396"/>
      <c r="E139" s="2396"/>
      <c r="F139" s="2396"/>
      <c r="G139" s="2397"/>
      <c r="H139" s="2396"/>
      <c r="I139" s="2397"/>
      <c r="J139" s="2396"/>
      <c r="K139" s="2396"/>
      <c r="L139" s="2397"/>
      <c r="M139" s="2396"/>
      <c r="N139" s="2396"/>
      <c r="O139" s="2397"/>
      <c r="P139" s="2396"/>
      <c r="Q139" s="2396"/>
      <c r="R139" s="2398"/>
    </row>
    <row r="140" spans="2:18" s="2368" customFormat="1">
      <c r="B140" s="2396"/>
      <c r="C140" s="2396"/>
      <c r="D140" s="2396"/>
      <c r="E140" s="2396"/>
      <c r="F140" s="2396"/>
      <c r="G140" s="2397"/>
      <c r="H140" s="2396"/>
      <c r="I140" s="2397"/>
      <c r="J140" s="2396"/>
      <c r="K140" s="2396"/>
      <c r="L140" s="2397"/>
      <c r="M140" s="2396"/>
      <c r="N140" s="2396"/>
      <c r="O140" s="2397"/>
      <c r="P140" s="2396"/>
      <c r="Q140" s="2396"/>
      <c r="R140" s="2398"/>
    </row>
    <row r="141" spans="2:18" s="2368" customFormat="1">
      <c r="B141" s="2396"/>
      <c r="C141" s="2396"/>
      <c r="D141" s="2396"/>
      <c r="E141" s="2396"/>
      <c r="F141" s="2396"/>
      <c r="G141" s="2397"/>
      <c r="H141" s="2396"/>
      <c r="I141" s="2397"/>
      <c r="J141" s="2396"/>
      <c r="K141" s="2396"/>
      <c r="L141" s="2397"/>
      <c r="M141" s="2396"/>
      <c r="N141" s="2396"/>
      <c r="O141" s="2397"/>
      <c r="P141" s="2396"/>
      <c r="Q141" s="2396"/>
      <c r="R141" s="2398"/>
    </row>
    <row r="142" spans="2:18" s="2368" customFormat="1">
      <c r="B142" s="2396"/>
      <c r="C142" s="2396"/>
      <c r="D142" s="2396"/>
      <c r="E142" s="2396"/>
      <c r="F142" s="2396"/>
      <c r="G142" s="2397"/>
      <c r="H142" s="2396"/>
      <c r="I142" s="2397"/>
      <c r="J142" s="2396"/>
      <c r="K142" s="2396"/>
      <c r="L142" s="2397"/>
      <c r="M142" s="2396"/>
      <c r="N142" s="2396"/>
      <c r="O142" s="2397"/>
      <c r="P142" s="2396"/>
      <c r="Q142" s="2396"/>
      <c r="R142" s="2398"/>
    </row>
    <row r="143" spans="2:18" s="2368" customFormat="1">
      <c r="B143" s="2396"/>
      <c r="C143" s="2396"/>
      <c r="D143" s="2396"/>
      <c r="E143" s="2396"/>
      <c r="F143" s="2396"/>
      <c r="G143" s="2397"/>
      <c r="H143" s="2396"/>
      <c r="I143" s="2397"/>
      <c r="J143" s="2396"/>
      <c r="K143" s="2396"/>
      <c r="L143" s="2397"/>
      <c r="M143" s="2396"/>
      <c r="N143" s="2396"/>
      <c r="O143" s="2397"/>
      <c r="P143" s="2396"/>
      <c r="Q143" s="2396"/>
      <c r="R143" s="2398"/>
    </row>
    <row r="144" spans="2:18" s="2368" customFormat="1">
      <c r="B144" s="2396"/>
      <c r="C144" s="2396"/>
      <c r="D144" s="2396"/>
      <c r="E144" s="2396"/>
      <c r="F144" s="2396"/>
      <c r="G144" s="2397"/>
      <c r="H144" s="2396"/>
      <c r="I144" s="2397"/>
      <c r="J144" s="2396"/>
      <c r="K144" s="2396"/>
      <c r="L144" s="2397"/>
      <c r="M144" s="2396"/>
      <c r="N144" s="2396"/>
      <c r="O144" s="2397"/>
      <c r="P144" s="2396"/>
      <c r="Q144" s="2396"/>
      <c r="R144" s="2398"/>
    </row>
    <row r="145" spans="2:18" s="2368" customFormat="1">
      <c r="B145" s="2396"/>
      <c r="C145" s="2396"/>
      <c r="D145" s="2396"/>
      <c r="E145" s="2396"/>
      <c r="F145" s="2396"/>
      <c r="G145" s="2397"/>
      <c r="H145" s="2396"/>
      <c r="I145" s="2397"/>
      <c r="J145" s="2396"/>
      <c r="K145" s="2396"/>
      <c r="L145" s="2397"/>
      <c r="M145" s="2396"/>
      <c r="N145" s="2396"/>
      <c r="O145" s="2397"/>
      <c r="P145" s="2396"/>
      <c r="Q145" s="2396"/>
      <c r="R145" s="2398"/>
    </row>
    <row r="146" spans="2:18" s="2368" customFormat="1">
      <c r="B146" s="2396"/>
      <c r="C146" s="2396"/>
      <c r="D146" s="2396"/>
      <c r="E146" s="2396"/>
      <c r="F146" s="2396"/>
      <c r="G146" s="2397"/>
      <c r="H146" s="2396"/>
      <c r="I146" s="2397"/>
      <c r="J146" s="2396"/>
      <c r="K146" s="2396"/>
      <c r="L146" s="2397"/>
      <c r="M146" s="2396"/>
      <c r="N146" s="2396"/>
      <c r="O146" s="2397"/>
      <c r="P146" s="2396"/>
      <c r="Q146" s="2396"/>
      <c r="R146" s="2398"/>
    </row>
    <row r="147" spans="2:18" s="2368" customFormat="1">
      <c r="B147" s="2396"/>
      <c r="C147" s="2396"/>
      <c r="D147" s="2396"/>
      <c r="E147" s="2396"/>
      <c r="F147" s="2396"/>
      <c r="G147" s="2397"/>
      <c r="H147" s="2396"/>
      <c r="I147" s="2397"/>
      <c r="J147" s="2396"/>
      <c r="K147" s="2396"/>
      <c r="L147" s="2397"/>
      <c r="M147" s="2396"/>
      <c r="N147" s="2396"/>
      <c r="O147" s="2397"/>
      <c r="P147" s="2396"/>
      <c r="Q147" s="2396"/>
      <c r="R147" s="2398"/>
    </row>
    <row r="148" spans="2:18" s="2368" customFormat="1">
      <c r="B148" s="2396"/>
      <c r="C148" s="2396"/>
      <c r="D148" s="2396"/>
      <c r="E148" s="2396"/>
      <c r="F148" s="2396"/>
      <c r="G148" s="2397"/>
      <c r="H148" s="2396"/>
      <c r="I148" s="2397"/>
      <c r="J148" s="2396"/>
      <c r="K148" s="2396"/>
      <c r="L148" s="2397"/>
      <c r="M148" s="2396"/>
      <c r="N148" s="2396"/>
      <c r="O148" s="2397"/>
      <c r="P148" s="2396"/>
      <c r="Q148" s="2396"/>
      <c r="R148" s="2398"/>
    </row>
    <row r="149" spans="2:18" s="2368" customFormat="1">
      <c r="B149" s="2396"/>
      <c r="C149" s="2396"/>
      <c r="D149" s="2396"/>
      <c r="E149" s="2396"/>
      <c r="F149" s="2396"/>
      <c r="G149" s="2397"/>
      <c r="H149" s="2396"/>
      <c r="I149" s="2397"/>
      <c r="J149" s="2396"/>
      <c r="K149" s="2396"/>
      <c r="L149" s="2397"/>
      <c r="M149" s="2396"/>
      <c r="N149" s="2396"/>
      <c r="O149" s="2397"/>
      <c r="P149" s="2396"/>
      <c r="Q149" s="2396"/>
      <c r="R149" s="2398"/>
    </row>
    <row r="150" spans="2:18" s="2368" customFormat="1">
      <c r="B150" s="2396"/>
      <c r="C150" s="2396"/>
      <c r="D150" s="2396"/>
      <c r="E150" s="2396"/>
      <c r="F150" s="2396"/>
      <c r="G150" s="2397"/>
      <c r="H150" s="2396"/>
      <c r="I150" s="2397"/>
      <c r="J150" s="2396"/>
      <c r="K150" s="2396"/>
      <c r="L150" s="2397"/>
      <c r="M150" s="2396"/>
      <c r="N150" s="2396"/>
      <c r="O150" s="2397"/>
      <c r="P150" s="2396"/>
      <c r="Q150" s="2396"/>
      <c r="R150" s="2398"/>
    </row>
    <row r="151" spans="2:18" s="2368" customFormat="1">
      <c r="B151" s="2396"/>
      <c r="C151" s="2396"/>
      <c r="D151" s="2396"/>
      <c r="E151" s="2396"/>
      <c r="F151" s="2396"/>
      <c r="G151" s="2397"/>
      <c r="H151" s="2396"/>
      <c r="I151" s="2397"/>
      <c r="J151" s="2396"/>
      <c r="K151" s="2396"/>
      <c r="L151" s="2397"/>
      <c r="M151" s="2396"/>
      <c r="N151" s="2396"/>
      <c r="O151" s="2397"/>
      <c r="P151" s="2396"/>
      <c r="Q151" s="2396"/>
      <c r="R151" s="2398"/>
    </row>
    <row r="152" spans="2:18" s="2368" customFormat="1">
      <c r="B152" s="2396"/>
      <c r="C152" s="2396"/>
      <c r="D152" s="2396"/>
      <c r="E152" s="2396"/>
      <c r="F152" s="2396"/>
      <c r="G152" s="2397"/>
      <c r="H152" s="2396"/>
      <c r="I152" s="2397"/>
      <c r="J152" s="2396"/>
      <c r="K152" s="2396"/>
      <c r="L152" s="2397"/>
      <c r="M152" s="2396"/>
      <c r="N152" s="2396"/>
      <c r="O152" s="2397"/>
      <c r="P152" s="2396"/>
      <c r="Q152" s="2396"/>
      <c r="R152" s="2398"/>
    </row>
    <row r="153" spans="2:18" s="2368" customFormat="1">
      <c r="B153" s="2396"/>
      <c r="C153" s="2396"/>
      <c r="D153" s="2396"/>
      <c r="E153" s="2396"/>
      <c r="F153" s="2396"/>
      <c r="G153" s="2397"/>
      <c r="H153" s="2396"/>
      <c r="I153" s="2397"/>
      <c r="J153" s="2396"/>
      <c r="K153" s="2396"/>
      <c r="L153" s="2397"/>
      <c r="M153" s="2396"/>
      <c r="N153" s="2396"/>
      <c r="O153" s="2397"/>
      <c r="P153" s="2396"/>
      <c r="Q153" s="2396"/>
      <c r="R153" s="2398"/>
    </row>
    <row r="154" spans="2:18" s="2368" customFormat="1">
      <c r="B154" s="2396"/>
      <c r="C154" s="2396"/>
      <c r="D154" s="2396"/>
      <c r="E154" s="2396"/>
      <c r="F154" s="2396"/>
      <c r="G154" s="2397"/>
      <c r="H154" s="2396"/>
      <c r="I154" s="2397"/>
      <c r="J154" s="2396"/>
      <c r="K154" s="2396"/>
      <c r="L154" s="2397"/>
      <c r="M154" s="2396"/>
      <c r="N154" s="2396"/>
      <c r="O154" s="2397"/>
      <c r="P154" s="2396"/>
      <c r="Q154" s="2396"/>
      <c r="R154" s="2398"/>
    </row>
    <row r="155" spans="2:18" s="2368" customFormat="1">
      <c r="B155" s="2396"/>
      <c r="C155" s="2396"/>
      <c r="D155" s="2396"/>
      <c r="E155" s="2396"/>
      <c r="F155" s="2396"/>
      <c r="G155" s="2397"/>
      <c r="H155" s="2396"/>
      <c r="I155" s="2397"/>
      <c r="J155" s="2396"/>
      <c r="K155" s="2396"/>
      <c r="L155" s="2397"/>
      <c r="M155" s="2396"/>
      <c r="N155" s="2396"/>
      <c r="O155" s="2397"/>
      <c r="P155" s="2396"/>
      <c r="Q155" s="2396"/>
      <c r="R155" s="2398"/>
    </row>
    <row r="156" spans="2:18" s="2368" customFormat="1">
      <c r="B156" s="2396"/>
      <c r="C156" s="2396"/>
      <c r="D156" s="2396"/>
      <c r="E156" s="2396"/>
      <c r="F156" s="2396"/>
      <c r="G156" s="2397"/>
      <c r="H156" s="2396"/>
      <c r="I156" s="2397"/>
      <c r="J156" s="2396"/>
      <c r="K156" s="2396"/>
      <c r="L156" s="2397"/>
      <c r="M156" s="2396"/>
      <c r="N156" s="2396"/>
      <c r="O156" s="2397"/>
      <c r="P156" s="2396"/>
      <c r="Q156" s="2396"/>
      <c r="R156" s="2398"/>
    </row>
    <row r="157" spans="2:18" s="2368" customFormat="1">
      <c r="B157" s="2396"/>
      <c r="C157" s="2396"/>
      <c r="D157" s="2396"/>
      <c r="E157" s="2396"/>
      <c r="F157" s="2396"/>
      <c r="G157" s="2397"/>
      <c r="H157" s="2396"/>
      <c r="I157" s="2397"/>
      <c r="J157" s="2396"/>
      <c r="K157" s="2396"/>
      <c r="L157" s="2397"/>
      <c r="M157" s="2396"/>
      <c r="N157" s="2396"/>
      <c r="O157" s="2397"/>
      <c r="P157" s="2396"/>
      <c r="Q157" s="2396"/>
      <c r="R157" s="2398"/>
    </row>
    <row r="158" spans="2:18" s="2368" customFormat="1">
      <c r="B158" s="2396"/>
      <c r="C158" s="2396"/>
      <c r="D158" s="2396"/>
      <c r="E158" s="2396"/>
      <c r="F158" s="2396"/>
      <c r="G158" s="2397"/>
      <c r="H158" s="2396"/>
      <c r="I158" s="2397"/>
      <c r="J158" s="2396"/>
      <c r="K158" s="2396"/>
      <c r="L158" s="2397"/>
      <c r="M158" s="2396"/>
      <c r="N158" s="2396"/>
      <c r="O158" s="2397"/>
      <c r="P158" s="2396"/>
      <c r="Q158" s="2396"/>
      <c r="R158" s="2398"/>
    </row>
    <row r="159" spans="2:18" s="2368" customFormat="1">
      <c r="B159" s="2396"/>
      <c r="C159" s="2396"/>
      <c r="D159" s="2396"/>
      <c r="E159" s="2396"/>
      <c r="F159" s="2396"/>
      <c r="G159" s="2397"/>
      <c r="H159" s="2396"/>
      <c r="I159" s="2397"/>
      <c r="J159" s="2396"/>
      <c r="K159" s="2396"/>
      <c r="L159" s="2397"/>
      <c r="M159" s="2396"/>
      <c r="N159" s="2396"/>
      <c r="O159" s="2397"/>
      <c r="P159" s="2396"/>
      <c r="Q159" s="2396"/>
      <c r="R159" s="2398"/>
    </row>
    <row r="160" spans="2:18" s="2368" customFormat="1">
      <c r="B160" s="2396"/>
      <c r="C160" s="2396"/>
      <c r="D160" s="2396"/>
      <c r="E160" s="2396"/>
      <c r="F160" s="2396"/>
      <c r="G160" s="2397"/>
      <c r="H160" s="2396"/>
      <c r="I160" s="2397"/>
      <c r="J160" s="2396"/>
      <c r="K160" s="2396"/>
      <c r="L160" s="2397"/>
      <c r="M160" s="2396"/>
      <c r="N160" s="2396"/>
      <c r="O160" s="2397"/>
      <c r="P160" s="2396"/>
      <c r="Q160" s="2396"/>
      <c r="R160" s="2398"/>
    </row>
    <row r="161" spans="2:18" s="2368" customFormat="1">
      <c r="B161" s="2396"/>
      <c r="C161" s="2396"/>
      <c r="D161" s="2396"/>
      <c r="E161" s="2396"/>
      <c r="F161" s="2396"/>
      <c r="G161" s="2397"/>
      <c r="H161" s="2396"/>
      <c r="I161" s="2397"/>
      <c r="J161" s="2396"/>
      <c r="K161" s="2396"/>
      <c r="L161" s="2397"/>
      <c r="M161" s="2396"/>
      <c r="N161" s="2396"/>
      <c r="O161" s="2397"/>
      <c r="P161" s="2396"/>
      <c r="Q161" s="2396"/>
      <c r="R161" s="2398"/>
    </row>
    <row r="162" spans="2:18" s="2368" customFormat="1">
      <c r="B162" s="2396"/>
      <c r="C162" s="2396"/>
      <c r="D162" s="2396"/>
      <c r="E162" s="2396"/>
      <c r="F162" s="2396"/>
      <c r="G162" s="2397"/>
      <c r="H162" s="2396"/>
      <c r="I162" s="2397"/>
      <c r="J162" s="2396"/>
      <c r="K162" s="2396"/>
      <c r="L162" s="2397"/>
      <c r="M162" s="2396"/>
      <c r="N162" s="2396"/>
      <c r="O162" s="2397"/>
      <c r="P162" s="2396"/>
      <c r="Q162" s="2396"/>
      <c r="R162" s="2398"/>
    </row>
    <row r="163" spans="2:18" s="2368" customFormat="1">
      <c r="B163" s="2396"/>
      <c r="C163" s="2396"/>
      <c r="D163" s="2396"/>
      <c r="E163" s="2396"/>
      <c r="F163" s="2396"/>
      <c r="G163" s="2397"/>
      <c r="H163" s="2396"/>
      <c r="I163" s="2397"/>
      <c r="J163" s="2396"/>
      <c r="K163" s="2396"/>
      <c r="L163" s="2397"/>
      <c r="M163" s="2396"/>
      <c r="N163" s="2396"/>
      <c r="O163" s="2397"/>
      <c r="P163" s="2396"/>
      <c r="Q163" s="2396"/>
      <c r="R163" s="2398"/>
    </row>
    <row r="164" spans="2:18" s="2368" customFormat="1">
      <c r="B164" s="2396"/>
      <c r="C164" s="2396"/>
      <c r="D164" s="2396"/>
      <c r="E164" s="2396"/>
      <c r="F164" s="2396"/>
      <c r="G164" s="2397"/>
      <c r="H164" s="2396"/>
      <c r="I164" s="2397"/>
      <c r="J164" s="2396"/>
      <c r="K164" s="2396"/>
      <c r="L164" s="2397"/>
      <c r="M164" s="2396"/>
      <c r="N164" s="2396"/>
      <c r="O164" s="2397"/>
      <c r="P164" s="2396"/>
      <c r="Q164" s="2396"/>
      <c r="R164" s="2398"/>
    </row>
    <row r="165" spans="2:18" s="2368" customFormat="1">
      <c r="B165" s="2396"/>
      <c r="C165" s="2396"/>
      <c r="D165" s="2396"/>
      <c r="E165" s="2396"/>
      <c r="F165" s="2396"/>
      <c r="G165" s="2397"/>
      <c r="H165" s="2396"/>
      <c r="I165" s="2397"/>
      <c r="J165" s="2396"/>
      <c r="K165" s="2396"/>
      <c r="L165" s="2397"/>
      <c r="M165" s="2396"/>
      <c r="N165" s="2396"/>
      <c r="O165" s="2397"/>
      <c r="P165" s="2396"/>
      <c r="Q165" s="2396"/>
      <c r="R165" s="2398"/>
    </row>
    <row r="166" spans="2:18" s="2368" customFormat="1">
      <c r="B166" s="2396"/>
      <c r="C166" s="2396"/>
      <c r="D166" s="2396"/>
      <c r="E166" s="2396"/>
      <c r="F166" s="2396"/>
      <c r="G166" s="2397"/>
      <c r="H166" s="2396"/>
      <c r="I166" s="2397"/>
      <c r="J166" s="2396"/>
      <c r="K166" s="2396"/>
      <c r="L166" s="2397"/>
      <c r="M166" s="2396"/>
      <c r="N166" s="2396"/>
      <c r="O166" s="2397"/>
      <c r="P166" s="2396"/>
      <c r="Q166" s="2396"/>
      <c r="R166" s="2398"/>
    </row>
    <row r="167" spans="2:18" s="2368" customFormat="1">
      <c r="B167" s="2396"/>
      <c r="C167" s="2396"/>
      <c r="D167" s="2396"/>
      <c r="E167" s="2396"/>
      <c r="F167" s="2396"/>
      <c r="G167" s="2397"/>
      <c r="H167" s="2396"/>
      <c r="I167" s="2397"/>
      <c r="J167" s="2396"/>
      <c r="K167" s="2396"/>
      <c r="L167" s="2397"/>
      <c r="M167" s="2396"/>
      <c r="N167" s="2396"/>
      <c r="O167" s="2397"/>
      <c r="P167" s="2396"/>
      <c r="Q167" s="2396"/>
      <c r="R167" s="2398"/>
    </row>
    <row r="168" spans="2:18" s="2368" customFormat="1">
      <c r="B168" s="2396"/>
      <c r="C168" s="2396"/>
      <c r="D168" s="2396"/>
      <c r="E168" s="2396"/>
      <c r="F168" s="2396"/>
      <c r="G168" s="2397"/>
      <c r="H168" s="2396"/>
      <c r="I168" s="2397"/>
      <c r="J168" s="2396"/>
      <c r="K168" s="2396"/>
      <c r="L168" s="2397"/>
      <c r="M168" s="2396"/>
      <c r="N168" s="2396"/>
      <c r="O168" s="2397"/>
      <c r="P168" s="2396"/>
      <c r="Q168" s="2396"/>
      <c r="R168" s="2398"/>
    </row>
    <row r="169" spans="2:18" s="2368" customFormat="1">
      <c r="B169" s="2396"/>
      <c r="C169" s="2396"/>
      <c r="D169" s="2396"/>
      <c r="E169" s="2396"/>
      <c r="F169" s="2396"/>
      <c r="G169" s="2397"/>
      <c r="H169" s="2396"/>
      <c r="I169" s="2397"/>
      <c r="J169" s="2396"/>
      <c r="K169" s="2396"/>
      <c r="L169" s="2397"/>
      <c r="M169" s="2396"/>
      <c r="N169" s="2396"/>
      <c r="O169" s="2397"/>
      <c r="P169" s="2396"/>
      <c r="Q169" s="2396"/>
      <c r="R169" s="2398"/>
    </row>
    <row r="170" spans="2:18" s="2368" customFormat="1">
      <c r="B170" s="2396"/>
      <c r="C170" s="2396"/>
      <c r="D170" s="2396"/>
      <c r="E170" s="2396"/>
      <c r="F170" s="2396"/>
      <c r="G170" s="2397"/>
      <c r="H170" s="2396"/>
      <c r="I170" s="2397"/>
      <c r="J170" s="2396"/>
      <c r="K170" s="2396"/>
      <c r="L170" s="2397"/>
      <c r="M170" s="2396"/>
      <c r="N170" s="2396"/>
      <c r="O170" s="2397"/>
      <c r="P170" s="2396"/>
      <c r="Q170" s="2396"/>
      <c r="R170" s="2398"/>
    </row>
    <row r="171" spans="2:18" s="2368" customFormat="1">
      <c r="B171" s="2396"/>
      <c r="C171" s="2396"/>
      <c r="D171" s="2396"/>
      <c r="E171" s="2396"/>
      <c r="F171" s="2396"/>
      <c r="G171" s="2397"/>
      <c r="H171" s="2396"/>
      <c r="I171" s="2397"/>
      <c r="J171" s="2396"/>
      <c r="K171" s="2396"/>
      <c r="L171" s="2397"/>
      <c r="M171" s="2396"/>
      <c r="N171" s="2396"/>
      <c r="O171" s="2397"/>
      <c r="P171" s="2396"/>
      <c r="Q171" s="2396"/>
      <c r="R171" s="2398"/>
    </row>
    <row r="172" spans="2:18" s="2368" customFormat="1">
      <c r="B172" s="2396"/>
      <c r="C172" s="2396"/>
      <c r="D172" s="2396"/>
      <c r="E172" s="2396"/>
      <c r="F172" s="2396"/>
      <c r="G172" s="2397"/>
      <c r="H172" s="2396"/>
      <c r="I172" s="2397"/>
      <c r="J172" s="2396"/>
      <c r="K172" s="2396"/>
      <c r="L172" s="2397"/>
      <c r="M172" s="2396"/>
      <c r="N172" s="2396"/>
      <c r="O172" s="2397"/>
      <c r="P172" s="2396"/>
      <c r="Q172" s="2396"/>
      <c r="R172" s="2398"/>
    </row>
    <row r="173" spans="2:18" s="2368" customFormat="1">
      <c r="B173" s="2396"/>
      <c r="C173" s="2396"/>
      <c r="D173" s="2396"/>
      <c r="E173" s="2396"/>
      <c r="F173" s="2396"/>
      <c r="G173" s="2397"/>
      <c r="H173" s="2396"/>
      <c r="I173" s="2397"/>
      <c r="J173" s="2396"/>
      <c r="K173" s="2396"/>
      <c r="L173" s="2397"/>
      <c r="M173" s="2396"/>
      <c r="N173" s="2396"/>
      <c r="O173" s="2397"/>
      <c r="P173" s="2396"/>
      <c r="Q173" s="2396"/>
      <c r="R173" s="2398"/>
    </row>
    <row r="174" spans="2:18" s="2368" customFormat="1">
      <c r="B174" s="2396"/>
      <c r="C174" s="2396"/>
      <c r="D174" s="2396"/>
      <c r="E174" s="2396"/>
      <c r="F174" s="2396"/>
      <c r="G174" s="2397"/>
      <c r="H174" s="2396"/>
      <c r="I174" s="2397"/>
      <c r="J174" s="2396"/>
      <c r="K174" s="2396"/>
      <c r="L174" s="2397"/>
      <c r="M174" s="2396"/>
      <c r="N174" s="2396"/>
      <c r="O174" s="2397"/>
      <c r="P174" s="2396"/>
      <c r="Q174" s="2396"/>
      <c r="R174" s="2398"/>
    </row>
    <row r="175" spans="2:18" s="2368" customFormat="1">
      <c r="B175" s="2396"/>
      <c r="C175" s="2396"/>
      <c r="D175" s="2396"/>
      <c r="E175" s="2396"/>
      <c r="F175" s="2396"/>
      <c r="G175" s="2397"/>
      <c r="H175" s="2396"/>
      <c r="I175" s="2397"/>
      <c r="J175" s="2396"/>
      <c r="K175" s="2396"/>
      <c r="L175" s="2397"/>
      <c r="M175" s="2396"/>
      <c r="N175" s="2396"/>
      <c r="O175" s="2397"/>
      <c r="P175" s="2396"/>
      <c r="Q175" s="2396"/>
      <c r="R175" s="2398"/>
    </row>
    <row r="176" spans="2:18" s="2368" customFormat="1">
      <c r="B176" s="2396"/>
      <c r="C176" s="2396"/>
      <c r="D176" s="2396"/>
      <c r="E176" s="2396"/>
      <c r="F176" s="2396"/>
      <c r="G176" s="2397"/>
      <c r="H176" s="2396"/>
      <c r="I176" s="2397"/>
      <c r="J176" s="2396"/>
      <c r="K176" s="2396"/>
      <c r="L176" s="2397"/>
      <c r="M176" s="2396"/>
      <c r="N176" s="2396"/>
      <c r="O176" s="2397"/>
      <c r="P176" s="2396"/>
      <c r="Q176" s="2396"/>
      <c r="R176" s="2398"/>
    </row>
    <row r="177" spans="1:18" s="2368" customFormat="1">
      <c r="B177" s="2396"/>
      <c r="C177" s="2396"/>
      <c r="D177" s="2396"/>
      <c r="E177" s="2396"/>
      <c r="F177" s="2396"/>
      <c r="G177" s="2397"/>
      <c r="H177" s="2396"/>
      <c r="I177" s="2397"/>
      <c r="J177" s="2396"/>
      <c r="K177" s="2396"/>
      <c r="L177" s="2397"/>
      <c r="M177" s="2396"/>
      <c r="N177" s="2396"/>
      <c r="O177" s="2397"/>
      <c r="P177" s="2396"/>
      <c r="Q177" s="2396"/>
      <c r="R177" s="2398"/>
    </row>
    <row r="178" spans="1:18" s="2368" customFormat="1">
      <c r="B178" s="2396"/>
      <c r="C178" s="2396"/>
      <c r="D178" s="2396"/>
      <c r="E178" s="2396"/>
      <c r="F178" s="2396"/>
      <c r="G178" s="2397"/>
      <c r="H178" s="2396"/>
      <c r="I178" s="2397"/>
      <c r="J178" s="2396"/>
      <c r="K178" s="2396"/>
      <c r="L178" s="2397"/>
      <c r="M178" s="2396"/>
      <c r="N178" s="2396"/>
      <c r="O178" s="2397"/>
      <c r="P178" s="2396"/>
      <c r="Q178" s="2396"/>
      <c r="R178" s="2398"/>
    </row>
    <row r="179" spans="1:18" s="2368" customFormat="1">
      <c r="B179" s="2396"/>
      <c r="C179" s="2396"/>
      <c r="D179" s="2396"/>
      <c r="E179" s="2396"/>
      <c r="F179" s="2396"/>
      <c r="G179" s="2397"/>
      <c r="H179" s="2396"/>
      <c r="I179" s="2397"/>
      <c r="J179" s="2396"/>
      <c r="K179" s="2396"/>
      <c r="L179" s="2397"/>
      <c r="M179" s="2396"/>
      <c r="N179" s="2396"/>
      <c r="O179" s="2397"/>
      <c r="P179" s="2396"/>
      <c r="Q179" s="2396"/>
      <c r="R179" s="2398"/>
    </row>
    <row r="180" spans="1:18" s="2368" customFormat="1">
      <c r="B180" s="2396"/>
      <c r="C180" s="2396"/>
      <c r="D180" s="2396"/>
      <c r="E180" s="2396"/>
      <c r="F180" s="2396"/>
      <c r="G180" s="2397"/>
      <c r="H180" s="2396"/>
      <c r="I180" s="2397"/>
      <c r="J180" s="2396"/>
      <c r="K180" s="2396"/>
      <c r="L180" s="2397"/>
      <c r="M180" s="2396"/>
      <c r="N180" s="2396"/>
      <c r="O180" s="2397"/>
      <c r="P180" s="2396"/>
      <c r="Q180" s="2396"/>
      <c r="R180" s="2398"/>
    </row>
    <row r="181" spans="1:18" s="2368" customFormat="1">
      <c r="B181" s="2396"/>
      <c r="C181" s="2396"/>
      <c r="D181" s="2396"/>
      <c r="E181" s="2396"/>
      <c r="F181" s="2396"/>
      <c r="G181" s="2397"/>
      <c r="H181" s="2396"/>
      <c r="I181" s="2397"/>
      <c r="J181" s="2396"/>
      <c r="K181" s="2396"/>
      <c r="L181" s="2397"/>
      <c r="M181" s="2396"/>
      <c r="N181" s="2396"/>
      <c r="O181" s="2397"/>
      <c r="P181" s="2396"/>
      <c r="Q181" s="2396"/>
      <c r="R181" s="2398"/>
    </row>
    <row r="182" spans="1:18" s="2368" customFormat="1">
      <c r="B182" s="2396"/>
      <c r="C182" s="2396"/>
      <c r="D182" s="2396"/>
      <c r="E182" s="2396"/>
      <c r="F182" s="2396"/>
      <c r="G182" s="2397"/>
      <c r="H182" s="2396"/>
      <c r="I182" s="2397"/>
      <c r="J182" s="2396"/>
      <c r="K182" s="2396"/>
      <c r="L182" s="2397"/>
      <c r="M182" s="2396"/>
      <c r="N182" s="2396"/>
      <c r="O182" s="2397"/>
      <c r="P182" s="2396"/>
      <c r="Q182" s="2396"/>
      <c r="R182" s="2398"/>
    </row>
    <row r="183" spans="1:18" s="2368" customFormat="1">
      <c r="B183" s="2396"/>
      <c r="C183" s="2396"/>
      <c r="D183" s="2396"/>
      <c r="E183" s="2396"/>
      <c r="F183" s="2396"/>
      <c r="G183" s="2397"/>
      <c r="H183" s="2396"/>
      <c r="I183" s="2397"/>
      <c r="J183" s="2396"/>
      <c r="K183" s="2396"/>
      <c r="L183" s="2397"/>
      <c r="M183" s="2396"/>
      <c r="N183" s="2396"/>
      <c r="O183" s="2397"/>
      <c r="P183" s="2396"/>
      <c r="Q183" s="2396"/>
      <c r="R183" s="2398"/>
    </row>
    <row r="184" spans="1:18" s="2368" customFormat="1">
      <c r="B184" s="2396"/>
      <c r="C184" s="2396"/>
      <c r="D184" s="2396"/>
      <c r="E184" s="2396"/>
      <c r="F184" s="2396"/>
      <c r="G184" s="2397"/>
      <c r="H184" s="2396"/>
      <c r="I184" s="2397"/>
      <c r="J184" s="2396"/>
      <c r="K184" s="2396"/>
      <c r="L184" s="2397"/>
      <c r="M184" s="2396"/>
      <c r="N184" s="2396"/>
      <c r="O184" s="2397"/>
      <c r="P184" s="2396"/>
      <c r="Q184" s="2396"/>
      <c r="R184" s="2398"/>
    </row>
    <row r="185" spans="1:18" s="2368" customFormat="1">
      <c r="B185" s="2396"/>
      <c r="C185" s="2396"/>
      <c r="D185" s="2396"/>
      <c r="E185" s="2396"/>
      <c r="F185" s="2396"/>
      <c r="G185" s="2397"/>
      <c r="H185" s="2396"/>
      <c r="I185" s="2397"/>
      <c r="J185" s="2396"/>
      <c r="K185" s="2396"/>
      <c r="L185" s="2397"/>
      <c r="M185" s="2396"/>
      <c r="N185" s="2396"/>
      <c r="O185" s="2397"/>
      <c r="P185" s="2396"/>
      <c r="Q185" s="2396"/>
      <c r="R185" s="2398"/>
    </row>
    <row r="186" spans="1:18">
      <c r="A186" s="2368"/>
      <c r="B186" s="2396"/>
      <c r="C186" s="2396"/>
      <c r="E186" s="2396"/>
      <c r="F186" s="2396"/>
      <c r="G186" s="2397"/>
    </row>
    <row r="187" spans="1:18">
      <c r="A187" s="2368"/>
      <c r="B187" s="2396"/>
      <c r="C187" s="2396"/>
      <c r="E187" s="2396"/>
      <c r="F187" s="2396"/>
      <c r="G187" s="2397"/>
    </row>
  </sheetData>
  <sheetProtection password="C66D" sheet="1" objects="1" scenarios="1" formatCells="0" formatColumns="0" formatRows="0"/>
  <mergeCells count="1">
    <mergeCell ref="A1:G1"/>
  </mergeCells>
  <phoneticPr fontId="27"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L61"/>
  <sheetViews>
    <sheetView topLeftCell="A49" workbookViewId="0">
      <selection activeCell="F54" sqref="F54"/>
    </sheetView>
  </sheetViews>
  <sheetFormatPr defaultRowHeight="16.5"/>
  <cols>
    <col min="1" max="1" width="4" style="2994" customWidth="1"/>
    <col min="2" max="2" width="27.125" style="2994" customWidth="1"/>
    <col min="3" max="3" width="14.125" style="2994" customWidth="1"/>
    <col min="4" max="4" width="8.5" style="2994" customWidth="1"/>
    <col min="5" max="5" width="10.5" style="2994" customWidth="1"/>
    <col min="6" max="6" width="11.5" style="2994" customWidth="1"/>
    <col min="7" max="7" width="9.125" style="2996" customWidth="1"/>
    <col min="8" max="8" width="9" style="2997"/>
    <col min="9" max="9" width="32.5" style="2995" customWidth="1"/>
    <col min="10" max="10" width="9" style="2995"/>
    <col min="11" max="11" width="11" style="2995" bestFit="1" customWidth="1"/>
    <col min="12" max="12" width="11.625" style="2995" customWidth="1"/>
    <col min="13" max="182" width="9" style="2995"/>
    <col min="183" max="183" width="4" style="2995" customWidth="1"/>
    <col min="184" max="185" width="8" style="2995" customWidth="1"/>
    <col min="186" max="186" width="12.875" style="2995" customWidth="1"/>
    <col min="187" max="187" width="30.125" style="2995" customWidth="1"/>
    <col min="188" max="188" width="9.375" style="2995" customWidth="1"/>
    <col min="189" max="189" width="8.5" style="2995" customWidth="1"/>
    <col min="190" max="190" width="8" style="2995" customWidth="1"/>
    <col min="191" max="191" width="7.5" style="2995" customWidth="1"/>
    <col min="192" max="192" width="10.5" style="2995" customWidth="1"/>
    <col min="193" max="193" width="11.5" style="2995" customWidth="1"/>
    <col min="194" max="194" width="12.25" style="2995" customWidth="1"/>
    <col min="195" max="195" width="12.375" style="2995" customWidth="1"/>
    <col min="196" max="196" width="12.5" style="2995" customWidth="1"/>
    <col min="197" max="197" width="12.25" style="2995" customWidth="1"/>
    <col min="198" max="198" width="13.5" style="2995" customWidth="1"/>
    <col min="199" max="199" width="12.125" style="2995" customWidth="1"/>
    <col min="200" max="200" width="15.75" style="2995" customWidth="1"/>
    <col min="201" max="228" width="0" style="2995" hidden="1" customWidth="1"/>
    <col min="229" max="229" width="12.5" style="2995" customWidth="1"/>
    <col min="230" max="230" width="10" style="2995" customWidth="1"/>
    <col min="231" max="231" width="10.5" style="2995" customWidth="1"/>
    <col min="232" max="232" width="11.625" style="2995" customWidth="1"/>
    <col min="233" max="233" width="11.25" style="2995" customWidth="1"/>
    <col min="234" max="234" width="10" style="2995" customWidth="1"/>
    <col min="235" max="240" width="10.125" style="2995" customWidth="1"/>
    <col min="241" max="241" width="11.5" style="2995" customWidth="1"/>
    <col min="242" max="246" width="12" style="2995" customWidth="1"/>
    <col min="247" max="247" width="10.625" style="2995" customWidth="1"/>
    <col min="248" max="248" width="11" style="2995" bestFit="1" customWidth="1"/>
    <col min="249" max="249" width="9.875" style="2995" bestFit="1" customWidth="1"/>
    <col min="250" max="250" width="9" style="2995"/>
    <col min="251" max="251" width="10.125" style="2995" customWidth="1"/>
    <col min="252" max="252" width="9" style="2995"/>
    <col min="253" max="253" width="9.875" style="2995" bestFit="1" customWidth="1"/>
    <col min="254" max="255" width="9" style="2995"/>
    <col min="256" max="256" width="10.75" style="2995" customWidth="1"/>
    <col min="257" max="257" width="9.875" style="2995" bestFit="1" customWidth="1"/>
    <col min="258" max="259" width="9" style="2995"/>
    <col min="260" max="260" width="9.875" style="2995" customWidth="1"/>
    <col min="261" max="263" width="9" style="2995"/>
    <col min="264" max="264" width="10.25" style="2995" customWidth="1"/>
    <col min="265" max="265" width="11" style="2995" bestFit="1" customWidth="1"/>
    <col min="266" max="438" width="9" style="2995"/>
    <col min="439" max="439" width="4" style="2995" customWidth="1"/>
    <col min="440" max="441" width="8" style="2995" customWidth="1"/>
    <col min="442" max="442" width="12.875" style="2995" customWidth="1"/>
    <col min="443" max="443" width="30.125" style="2995" customWidth="1"/>
    <col min="444" max="444" width="9.375" style="2995" customWidth="1"/>
    <col min="445" max="445" width="8.5" style="2995" customWidth="1"/>
    <col min="446" max="446" width="8" style="2995" customWidth="1"/>
    <col min="447" max="447" width="7.5" style="2995" customWidth="1"/>
    <col min="448" max="448" width="10.5" style="2995" customWidth="1"/>
    <col min="449" max="449" width="11.5" style="2995" customWidth="1"/>
    <col min="450" max="450" width="12.25" style="2995" customWidth="1"/>
    <col min="451" max="451" width="12.375" style="2995" customWidth="1"/>
    <col min="452" max="452" width="12.5" style="2995" customWidth="1"/>
    <col min="453" max="453" width="12.25" style="2995" customWidth="1"/>
    <col min="454" max="454" width="13.5" style="2995" customWidth="1"/>
    <col min="455" max="455" width="12.125" style="2995" customWidth="1"/>
    <col min="456" max="456" width="15.75" style="2995" customWidth="1"/>
    <col min="457" max="484" width="0" style="2995" hidden="1" customWidth="1"/>
    <col min="485" max="485" width="12.5" style="2995" customWidth="1"/>
    <col min="486" max="486" width="10" style="2995" customWidth="1"/>
    <col min="487" max="487" width="10.5" style="2995" customWidth="1"/>
    <col min="488" max="488" width="11.625" style="2995" customWidth="1"/>
    <col min="489" max="489" width="11.25" style="2995" customWidth="1"/>
    <col min="490" max="490" width="10" style="2995" customWidth="1"/>
    <col min="491" max="496" width="10.125" style="2995" customWidth="1"/>
    <col min="497" max="497" width="11.5" style="2995" customWidth="1"/>
    <col min="498" max="502" width="12" style="2995" customWidth="1"/>
    <col min="503" max="503" width="10.625" style="2995" customWidth="1"/>
    <col min="504" max="504" width="11" style="2995" bestFit="1" customWidth="1"/>
    <col min="505" max="505" width="9.875" style="2995" bestFit="1" customWidth="1"/>
    <col min="506" max="506" width="9" style="2995"/>
    <col min="507" max="507" width="10.125" style="2995" customWidth="1"/>
    <col min="508" max="508" width="9" style="2995"/>
    <col min="509" max="509" width="9.875" style="2995" bestFit="1" customWidth="1"/>
    <col min="510" max="511" width="9" style="2995"/>
    <col min="512" max="512" width="10.75" style="2995" customWidth="1"/>
    <col min="513" max="513" width="9.875" style="2995" bestFit="1" customWidth="1"/>
    <col min="514" max="515" width="9" style="2995"/>
    <col min="516" max="516" width="9.875" style="2995" customWidth="1"/>
    <col min="517" max="519" width="9" style="2995"/>
    <col min="520" max="520" width="10.25" style="2995" customWidth="1"/>
    <col min="521" max="521" width="11" style="2995" bestFit="1" customWidth="1"/>
    <col min="522" max="694" width="9" style="2995"/>
    <col min="695" max="695" width="4" style="2995" customWidth="1"/>
    <col min="696" max="697" width="8" style="2995" customWidth="1"/>
    <col min="698" max="698" width="12.875" style="2995" customWidth="1"/>
    <col min="699" max="699" width="30.125" style="2995" customWidth="1"/>
    <col min="700" max="700" width="9.375" style="2995" customWidth="1"/>
    <col min="701" max="701" width="8.5" style="2995" customWidth="1"/>
    <col min="702" max="702" width="8" style="2995" customWidth="1"/>
    <col min="703" max="703" width="7.5" style="2995" customWidth="1"/>
    <col min="704" max="704" width="10.5" style="2995" customWidth="1"/>
    <col min="705" max="705" width="11.5" style="2995" customWidth="1"/>
    <col min="706" max="706" width="12.25" style="2995" customWidth="1"/>
    <col min="707" max="707" width="12.375" style="2995" customWidth="1"/>
    <col min="708" max="708" width="12.5" style="2995" customWidth="1"/>
    <col min="709" max="709" width="12.25" style="2995" customWidth="1"/>
    <col min="710" max="710" width="13.5" style="2995" customWidth="1"/>
    <col min="711" max="711" width="12.125" style="2995" customWidth="1"/>
    <col min="712" max="712" width="15.75" style="2995" customWidth="1"/>
    <col min="713" max="740" width="0" style="2995" hidden="1" customWidth="1"/>
    <col min="741" max="741" width="12.5" style="2995" customWidth="1"/>
    <col min="742" max="742" width="10" style="2995" customWidth="1"/>
    <col min="743" max="743" width="10.5" style="2995" customWidth="1"/>
    <col min="744" max="744" width="11.625" style="2995" customWidth="1"/>
    <col min="745" max="745" width="11.25" style="2995" customWidth="1"/>
    <col min="746" max="746" width="10" style="2995" customWidth="1"/>
    <col min="747" max="752" width="10.125" style="2995" customWidth="1"/>
    <col min="753" max="753" width="11.5" style="2995" customWidth="1"/>
    <col min="754" max="758" width="12" style="2995" customWidth="1"/>
    <col min="759" max="759" width="10.625" style="2995" customWidth="1"/>
    <col min="760" max="760" width="11" style="2995" bestFit="1" customWidth="1"/>
    <col min="761" max="761" width="9.875" style="2995" bestFit="1" customWidth="1"/>
    <col min="762" max="762" width="9" style="2995"/>
    <col min="763" max="763" width="10.125" style="2995" customWidth="1"/>
    <col min="764" max="764" width="9" style="2995"/>
    <col min="765" max="765" width="9.875" style="2995" bestFit="1" customWidth="1"/>
    <col min="766" max="767" width="9" style="2995"/>
    <col min="768" max="768" width="10.75" style="2995" customWidth="1"/>
    <col min="769" max="769" width="9.875" style="2995" bestFit="1" customWidth="1"/>
    <col min="770" max="771" width="9" style="2995"/>
    <col min="772" max="772" width="9.875" style="2995" customWidth="1"/>
    <col min="773" max="775" width="9" style="2995"/>
    <col min="776" max="776" width="10.25" style="2995" customWidth="1"/>
    <col min="777" max="777" width="11" style="2995" bestFit="1" customWidth="1"/>
    <col min="778" max="950" width="9" style="2995"/>
    <col min="951" max="951" width="4" style="2995" customWidth="1"/>
    <col min="952" max="953" width="8" style="2995" customWidth="1"/>
    <col min="954" max="954" width="12.875" style="2995" customWidth="1"/>
    <col min="955" max="955" width="30.125" style="2995" customWidth="1"/>
    <col min="956" max="956" width="9.375" style="2995" customWidth="1"/>
    <col min="957" max="957" width="8.5" style="2995" customWidth="1"/>
    <col min="958" max="958" width="8" style="2995" customWidth="1"/>
    <col min="959" max="959" width="7.5" style="2995" customWidth="1"/>
    <col min="960" max="960" width="10.5" style="2995" customWidth="1"/>
    <col min="961" max="961" width="11.5" style="2995" customWidth="1"/>
    <col min="962" max="962" width="12.25" style="2995" customWidth="1"/>
    <col min="963" max="963" width="12.375" style="2995" customWidth="1"/>
    <col min="964" max="964" width="12.5" style="2995" customWidth="1"/>
    <col min="965" max="965" width="12.25" style="2995" customWidth="1"/>
    <col min="966" max="966" width="13.5" style="2995" customWidth="1"/>
    <col min="967" max="967" width="12.125" style="2995" customWidth="1"/>
    <col min="968" max="968" width="15.75" style="2995" customWidth="1"/>
    <col min="969" max="996" width="0" style="2995" hidden="1" customWidth="1"/>
    <col min="997" max="997" width="12.5" style="2995" customWidth="1"/>
    <col min="998" max="998" width="10" style="2995" customWidth="1"/>
    <col min="999" max="999" width="10.5" style="2995" customWidth="1"/>
    <col min="1000" max="1000" width="11.625" style="2995" customWidth="1"/>
    <col min="1001" max="1001" width="11.25" style="2995" customWidth="1"/>
    <col min="1002" max="1002" width="10" style="2995" customWidth="1"/>
    <col min="1003" max="1008" width="10.125" style="2995" customWidth="1"/>
    <col min="1009" max="1009" width="11.5" style="2995" customWidth="1"/>
    <col min="1010" max="1014" width="12" style="2995" customWidth="1"/>
    <col min="1015" max="1015" width="10.625" style="2995" customWidth="1"/>
    <col min="1016" max="1016" width="11" style="2995" bestFit="1" customWidth="1"/>
    <col min="1017" max="1017" width="9.875" style="2995" bestFit="1" customWidth="1"/>
    <col min="1018" max="1018" width="9" style="2995"/>
    <col min="1019" max="1019" width="10.125" style="2995" customWidth="1"/>
    <col min="1020" max="1020" width="9" style="2995"/>
    <col min="1021" max="1021" width="9.875" style="2995" bestFit="1" customWidth="1"/>
    <col min="1022" max="1023" width="9" style="2995"/>
    <col min="1024" max="1024" width="10.75" style="2995" customWidth="1"/>
    <col min="1025" max="1025" width="9.875" style="2995" bestFit="1" customWidth="1"/>
    <col min="1026" max="1027" width="9" style="2995"/>
    <col min="1028" max="1028" width="9.875" style="2995" customWidth="1"/>
    <col min="1029" max="1031" width="9" style="2995"/>
    <col min="1032" max="1032" width="10.25" style="2995" customWidth="1"/>
    <col min="1033" max="1033" width="11" style="2995" bestFit="1" customWidth="1"/>
    <col min="1034" max="1206" width="9" style="2995"/>
    <col min="1207" max="1207" width="4" style="2995" customWidth="1"/>
    <col min="1208" max="1209" width="8" style="2995" customWidth="1"/>
    <col min="1210" max="1210" width="12.875" style="2995" customWidth="1"/>
    <col min="1211" max="1211" width="30.125" style="2995" customWidth="1"/>
    <col min="1212" max="1212" width="9.375" style="2995" customWidth="1"/>
    <col min="1213" max="1213" width="8.5" style="2995" customWidth="1"/>
    <col min="1214" max="1214" width="8" style="2995" customWidth="1"/>
    <col min="1215" max="1215" width="7.5" style="2995" customWidth="1"/>
    <col min="1216" max="1216" width="10.5" style="2995" customWidth="1"/>
    <col min="1217" max="1217" width="11.5" style="2995" customWidth="1"/>
    <col min="1218" max="1218" width="12.25" style="2995" customWidth="1"/>
    <col min="1219" max="1219" width="12.375" style="2995" customWidth="1"/>
    <col min="1220" max="1220" width="12.5" style="2995" customWidth="1"/>
    <col min="1221" max="1221" width="12.25" style="2995" customWidth="1"/>
    <col min="1222" max="1222" width="13.5" style="2995" customWidth="1"/>
    <col min="1223" max="1223" width="12.125" style="2995" customWidth="1"/>
    <col min="1224" max="1224" width="15.75" style="2995" customWidth="1"/>
    <col min="1225" max="1252" width="0" style="2995" hidden="1" customWidth="1"/>
    <col min="1253" max="1253" width="12.5" style="2995" customWidth="1"/>
    <col min="1254" max="1254" width="10" style="2995" customWidth="1"/>
    <col min="1255" max="1255" width="10.5" style="2995" customWidth="1"/>
    <col min="1256" max="1256" width="11.625" style="2995" customWidth="1"/>
    <col min="1257" max="1257" width="11.25" style="2995" customWidth="1"/>
    <col min="1258" max="1258" width="10" style="2995" customWidth="1"/>
    <col min="1259" max="1264" width="10.125" style="2995" customWidth="1"/>
    <col min="1265" max="1265" width="11.5" style="2995" customWidth="1"/>
    <col min="1266" max="1270" width="12" style="2995" customWidth="1"/>
    <col min="1271" max="1271" width="10.625" style="2995" customWidth="1"/>
    <col min="1272" max="1272" width="11" style="2995" bestFit="1" customWidth="1"/>
    <col min="1273" max="1273" width="9.875" style="2995" bestFit="1" customWidth="1"/>
    <col min="1274" max="1274" width="9" style="2995"/>
    <col min="1275" max="1275" width="10.125" style="2995" customWidth="1"/>
    <col min="1276" max="1276" width="9" style="2995"/>
    <col min="1277" max="1277" width="9.875" style="2995" bestFit="1" customWidth="1"/>
    <col min="1278" max="1279" width="9" style="2995"/>
    <col min="1280" max="1280" width="10.75" style="2995" customWidth="1"/>
    <col min="1281" max="1281" width="9.875" style="2995" bestFit="1" customWidth="1"/>
    <col min="1282" max="1283" width="9" style="2995"/>
    <col min="1284" max="1284" width="9.875" style="2995" customWidth="1"/>
    <col min="1285" max="1287" width="9" style="2995"/>
    <col min="1288" max="1288" width="10.25" style="2995" customWidth="1"/>
    <col min="1289" max="1289" width="11" style="2995" bestFit="1" customWidth="1"/>
    <col min="1290" max="1462" width="9" style="2995"/>
    <col min="1463" max="1463" width="4" style="2995" customWidth="1"/>
    <col min="1464" max="1465" width="8" style="2995" customWidth="1"/>
    <col min="1466" max="1466" width="12.875" style="2995" customWidth="1"/>
    <col min="1467" max="1467" width="30.125" style="2995" customWidth="1"/>
    <col min="1468" max="1468" width="9.375" style="2995" customWidth="1"/>
    <col min="1469" max="1469" width="8.5" style="2995" customWidth="1"/>
    <col min="1470" max="1470" width="8" style="2995" customWidth="1"/>
    <col min="1471" max="1471" width="7.5" style="2995" customWidth="1"/>
    <col min="1472" max="1472" width="10.5" style="2995" customWidth="1"/>
    <col min="1473" max="1473" width="11.5" style="2995" customWidth="1"/>
    <col min="1474" max="1474" width="12.25" style="2995" customWidth="1"/>
    <col min="1475" max="1475" width="12.375" style="2995" customWidth="1"/>
    <col min="1476" max="1476" width="12.5" style="2995" customWidth="1"/>
    <col min="1477" max="1477" width="12.25" style="2995" customWidth="1"/>
    <col min="1478" max="1478" width="13.5" style="2995" customWidth="1"/>
    <col min="1479" max="1479" width="12.125" style="2995" customWidth="1"/>
    <col min="1480" max="1480" width="15.75" style="2995" customWidth="1"/>
    <col min="1481" max="1508" width="0" style="2995" hidden="1" customWidth="1"/>
    <col min="1509" max="1509" width="12.5" style="2995" customWidth="1"/>
    <col min="1510" max="1510" width="10" style="2995" customWidth="1"/>
    <col min="1511" max="1511" width="10.5" style="2995" customWidth="1"/>
    <col min="1512" max="1512" width="11.625" style="2995" customWidth="1"/>
    <col min="1513" max="1513" width="11.25" style="2995" customWidth="1"/>
    <col min="1514" max="1514" width="10" style="2995" customWidth="1"/>
    <col min="1515" max="1520" width="10.125" style="2995" customWidth="1"/>
    <col min="1521" max="1521" width="11.5" style="2995" customWidth="1"/>
    <col min="1522" max="1526" width="12" style="2995" customWidth="1"/>
    <col min="1527" max="1527" width="10.625" style="2995" customWidth="1"/>
    <col min="1528" max="1528" width="11" style="2995" bestFit="1" customWidth="1"/>
    <col min="1529" max="1529" width="9.875" style="2995" bestFit="1" customWidth="1"/>
    <col min="1530" max="1530" width="9" style="2995"/>
    <col min="1531" max="1531" width="10.125" style="2995" customWidth="1"/>
    <col min="1532" max="1532" width="9" style="2995"/>
    <col min="1533" max="1533" width="9.875" style="2995" bestFit="1" customWidth="1"/>
    <col min="1534" max="1535" width="9" style="2995"/>
    <col min="1536" max="1536" width="10.75" style="2995" customWidth="1"/>
    <col min="1537" max="1537" width="9.875" style="2995" bestFit="1" customWidth="1"/>
    <col min="1538" max="1539" width="9" style="2995"/>
    <col min="1540" max="1540" width="9.875" style="2995" customWidth="1"/>
    <col min="1541" max="1543" width="9" style="2995"/>
    <col min="1544" max="1544" width="10.25" style="2995" customWidth="1"/>
    <col min="1545" max="1545" width="11" style="2995" bestFit="1" customWidth="1"/>
    <col min="1546" max="1718" width="9" style="2995"/>
    <col min="1719" max="1719" width="4" style="2995" customWidth="1"/>
    <col min="1720" max="1721" width="8" style="2995" customWidth="1"/>
    <col min="1722" max="1722" width="12.875" style="2995" customWidth="1"/>
    <col min="1723" max="1723" width="30.125" style="2995" customWidth="1"/>
    <col min="1724" max="1724" width="9.375" style="2995" customWidth="1"/>
    <col min="1725" max="1725" width="8.5" style="2995" customWidth="1"/>
    <col min="1726" max="1726" width="8" style="2995" customWidth="1"/>
    <col min="1727" max="1727" width="7.5" style="2995" customWidth="1"/>
    <col min="1728" max="1728" width="10.5" style="2995" customWidth="1"/>
    <col min="1729" max="1729" width="11.5" style="2995" customWidth="1"/>
    <col min="1730" max="1730" width="12.25" style="2995" customWidth="1"/>
    <col min="1731" max="1731" width="12.375" style="2995" customWidth="1"/>
    <col min="1732" max="1732" width="12.5" style="2995" customWidth="1"/>
    <col min="1733" max="1733" width="12.25" style="2995" customWidth="1"/>
    <col min="1734" max="1734" width="13.5" style="2995" customWidth="1"/>
    <col min="1735" max="1735" width="12.125" style="2995" customWidth="1"/>
    <col min="1736" max="1736" width="15.75" style="2995" customWidth="1"/>
    <col min="1737" max="1764" width="0" style="2995" hidden="1" customWidth="1"/>
    <col min="1765" max="1765" width="12.5" style="2995" customWidth="1"/>
    <col min="1766" max="1766" width="10" style="2995" customWidth="1"/>
    <col min="1767" max="1767" width="10.5" style="2995" customWidth="1"/>
    <col min="1768" max="1768" width="11.625" style="2995" customWidth="1"/>
    <col min="1769" max="1769" width="11.25" style="2995" customWidth="1"/>
    <col min="1770" max="1770" width="10" style="2995" customWidth="1"/>
    <col min="1771" max="1776" width="10.125" style="2995" customWidth="1"/>
    <col min="1777" max="1777" width="11.5" style="2995" customWidth="1"/>
    <col min="1778" max="1782" width="12" style="2995" customWidth="1"/>
    <col min="1783" max="1783" width="10.625" style="2995" customWidth="1"/>
    <col min="1784" max="1784" width="11" style="2995" bestFit="1" customWidth="1"/>
    <col min="1785" max="1785" width="9.875" style="2995" bestFit="1" customWidth="1"/>
    <col min="1786" max="1786" width="9" style="2995"/>
    <col min="1787" max="1787" width="10.125" style="2995" customWidth="1"/>
    <col min="1788" max="1788" width="9" style="2995"/>
    <col min="1789" max="1789" width="9.875" style="2995" bestFit="1" customWidth="1"/>
    <col min="1790" max="1791" width="9" style="2995"/>
    <col min="1792" max="1792" width="10.75" style="2995" customWidth="1"/>
    <col min="1793" max="1793" width="9.875" style="2995" bestFit="1" customWidth="1"/>
    <col min="1794" max="1795" width="9" style="2995"/>
    <col min="1796" max="1796" width="9.875" style="2995" customWidth="1"/>
    <col min="1797" max="1799" width="9" style="2995"/>
    <col min="1800" max="1800" width="10.25" style="2995" customWidth="1"/>
    <col min="1801" max="1801" width="11" style="2995" bestFit="1" customWidth="1"/>
    <col min="1802" max="1974" width="9" style="2995"/>
    <col min="1975" max="1975" width="4" style="2995" customWidth="1"/>
    <col min="1976" max="1977" width="8" style="2995" customWidth="1"/>
    <col min="1978" max="1978" width="12.875" style="2995" customWidth="1"/>
    <col min="1979" max="1979" width="30.125" style="2995" customWidth="1"/>
    <col min="1980" max="1980" width="9.375" style="2995" customWidth="1"/>
    <col min="1981" max="1981" width="8.5" style="2995" customWidth="1"/>
    <col min="1982" max="1982" width="8" style="2995" customWidth="1"/>
    <col min="1983" max="1983" width="7.5" style="2995" customWidth="1"/>
    <col min="1984" max="1984" width="10.5" style="2995" customWidth="1"/>
    <col min="1985" max="1985" width="11.5" style="2995" customWidth="1"/>
    <col min="1986" max="1986" width="12.25" style="2995" customWidth="1"/>
    <col min="1987" max="1987" width="12.375" style="2995" customWidth="1"/>
    <col min="1988" max="1988" width="12.5" style="2995" customWidth="1"/>
    <col min="1989" max="1989" width="12.25" style="2995" customWidth="1"/>
    <col min="1990" max="1990" width="13.5" style="2995" customWidth="1"/>
    <col min="1991" max="1991" width="12.125" style="2995" customWidth="1"/>
    <col min="1992" max="1992" width="15.75" style="2995" customWidth="1"/>
    <col min="1993" max="2020" width="0" style="2995" hidden="1" customWidth="1"/>
    <col min="2021" max="2021" width="12.5" style="2995" customWidth="1"/>
    <col min="2022" max="2022" width="10" style="2995" customWidth="1"/>
    <col min="2023" max="2023" width="10.5" style="2995" customWidth="1"/>
    <col min="2024" max="2024" width="11.625" style="2995" customWidth="1"/>
    <col min="2025" max="2025" width="11.25" style="2995" customWidth="1"/>
    <col min="2026" max="2026" width="10" style="2995" customWidth="1"/>
    <col min="2027" max="2032" width="10.125" style="2995" customWidth="1"/>
    <col min="2033" max="2033" width="11.5" style="2995" customWidth="1"/>
    <col min="2034" max="2038" width="12" style="2995" customWidth="1"/>
    <col min="2039" max="2039" width="10.625" style="2995" customWidth="1"/>
    <col min="2040" max="2040" width="11" style="2995" bestFit="1" customWidth="1"/>
    <col min="2041" max="2041" width="9.875" style="2995" bestFit="1" customWidth="1"/>
    <col min="2042" max="2042" width="9" style="2995"/>
    <col min="2043" max="2043" width="10.125" style="2995" customWidth="1"/>
    <col min="2044" max="2044" width="9" style="2995"/>
    <col min="2045" max="2045" width="9.875" style="2995" bestFit="1" customWidth="1"/>
    <col min="2046" max="2047" width="9" style="2995"/>
    <col min="2048" max="2048" width="10.75" style="2995" customWidth="1"/>
    <col min="2049" max="2049" width="9.875" style="2995" bestFit="1" customWidth="1"/>
    <col min="2050" max="2051" width="9" style="2995"/>
    <col min="2052" max="2052" width="9.875" style="2995" customWidth="1"/>
    <col min="2053" max="2055" width="9" style="2995"/>
    <col min="2056" max="2056" width="10.25" style="2995" customWidth="1"/>
    <col min="2057" max="2057" width="11" style="2995" bestFit="1" customWidth="1"/>
    <col min="2058" max="2230" width="9" style="2995"/>
    <col min="2231" max="2231" width="4" style="2995" customWidth="1"/>
    <col min="2232" max="2233" width="8" style="2995" customWidth="1"/>
    <col min="2234" max="2234" width="12.875" style="2995" customWidth="1"/>
    <col min="2235" max="2235" width="30.125" style="2995" customWidth="1"/>
    <col min="2236" max="2236" width="9.375" style="2995" customWidth="1"/>
    <col min="2237" max="2237" width="8.5" style="2995" customWidth="1"/>
    <col min="2238" max="2238" width="8" style="2995" customWidth="1"/>
    <col min="2239" max="2239" width="7.5" style="2995" customWidth="1"/>
    <col min="2240" max="2240" width="10.5" style="2995" customWidth="1"/>
    <col min="2241" max="2241" width="11.5" style="2995" customWidth="1"/>
    <col min="2242" max="2242" width="12.25" style="2995" customWidth="1"/>
    <col min="2243" max="2243" width="12.375" style="2995" customWidth="1"/>
    <col min="2244" max="2244" width="12.5" style="2995" customWidth="1"/>
    <col min="2245" max="2245" width="12.25" style="2995" customWidth="1"/>
    <col min="2246" max="2246" width="13.5" style="2995" customWidth="1"/>
    <col min="2247" max="2247" width="12.125" style="2995" customWidth="1"/>
    <col min="2248" max="2248" width="15.75" style="2995" customWidth="1"/>
    <col min="2249" max="2276" width="0" style="2995" hidden="1" customWidth="1"/>
    <col min="2277" max="2277" width="12.5" style="2995" customWidth="1"/>
    <col min="2278" max="2278" width="10" style="2995" customWidth="1"/>
    <col min="2279" max="2279" width="10.5" style="2995" customWidth="1"/>
    <col min="2280" max="2280" width="11.625" style="2995" customWidth="1"/>
    <col min="2281" max="2281" width="11.25" style="2995" customWidth="1"/>
    <col min="2282" max="2282" width="10" style="2995" customWidth="1"/>
    <col min="2283" max="2288" width="10.125" style="2995" customWidth="1"/>
    <col min="2289" max="2289" width="11.5" style="2995" customWidth="1"/>
    <col min="2290" max="2294" width="12" style="2995" customWidth="1"/>
    <col min="2295" max="2295" width="10.625" style="2995" customWidth="1"/>
    <col min="2296" max="2296" width="11" style="2995" bestFit="1" customWidth="1"/>
    <col min="2297" max="2297" width="9.875" style="2995" bestFit="1" customWidth="1"/>
    <col min="2298" max="2298" width="9" style="2995"/>
    <col min="2299" max="2299" width="10.125" style="2995" customWidth="1"/>
    <col min="2300" max="2300" width="9" style="2995"/>
    <col min="2301" max="2301" width="9.875" style="2995" bestFit="1" customWidth="1"/>
    <col min="2302" max="2303" width="9" style="2995"/>
    <col min="2304" max="2304" width="10.75" style="2995" customWidth="1"/>
    <col min="2305" max="2305" width="9.875" style="2995" bestFit="1" customWidth="1"/>
    <col min="2306" max="2307" width="9" style="2995"/>
    <col min="2308" max="2308" width="9.875" style="2995" customWidth="1"/>
    <col min="2309" max="2311" width="9" style="2995"/>
    <col min="2312" max="2312" width="10.25" style="2995" customWidth="1"/>
    <col min="2313" max="2313" width="11" style="2995" bestFit="1" customWidth="1"/>
    <col min="2314" max="2486" width="9" style="2995"/>
    <col min="2487" max="2487" width="4" style="2995" customWidth="1"/>
    <col min="2488" max="2489" width="8" style="2995" customWidth="1"/>
    <col min="2490" max="2490" width="12.875" style="2995" customWidth="1"/>
    <col min="2491" max="2491" width="30.125" style="2995" customWidth="1"/>
    <col min="2492" max="2492" width="9.375" style="2995" customWidth="1"/>
    <col min="2493" max="2493" width="8.5" style="2995" customWidth="1"/>
    <col min="2494" max="2494" width="8" style="2995" customWidth="1"/>
    <col min="2495" max="2495" width="7.5" style="2995" customWidth="1"/>
    <col min="2496" max="2496" width="10.5" style="2995" customWidth="1"/>
    <col min="2497" max="2497" width="11.5" style="2995" customWidth="1"/>
    <col min="2498" max="2498" width="12.25" style="2995" customWidth="1"/>
    <col min="2499" max="2499" width="12.375" style="2995" customWidth="1"/>
    <col min="2500" max="2500" width="12.5" style="2995" customWidth="1"/>
    <col min="2501" max="2501" width="12.25" style="2995" customWidth="1"/>
    <col min="2502" max="2502" width="13.5" style="2995" customWidth="1"/>
    <col min="2503" max="2503" width="12.125" style="2995" customWidth="1"/>
    <col min="2504" max="2504" width="15.75" style="2995" customWidth="1"/>
    <col min="2505" max="2532" width="0" style="2995" hidden="1" customWidth="1"/>
    <col min="2533" max="2533" width="12.5" style="2995" customWidth="1"/>
    <col min="2534" max="2534" width="10" style="2995" customWidth="1"/>
    <col min="2535" max="2535" width="10.5" style="2995" customWidth="1"/>
    <col min="2536" max="2536" width="11.625" style="2995" customWidth="1"/>
    <col min="2537" max="2537" width="11.25" style="2995" customWidth="1"/>
    <col min="2538" max="2538" width="10" style="2995" customWidth="1"/>
    <col min="2539" max="2544" width="10.125" style="2995" customWidth="1"/>
    <col min="2545" max="2545" width="11.5" style="2995" customWidth="1"/>
    <col min="2546" max="2550" width="12" style="2995" customWidth="1"/>
    <col min="2551" max="2551" width="10.625" style="2995" customWidth="1"/>
    <col min="2552" max="2552" width="11" style="2995" bestFit="1" customWidth="1"/>
    <col min="2553" max="2553" width="9.875" style="2995" bestFit="1" customWidth="1"/>
    <col min="2554" max="2554" width="9" style="2995"/>
    <col min="2555" max="2555" width="10.125" style="2995" customWidth="1"/>
    <col min="2556" max="2556" width="9" style="2995"/>
    <col min="2557" max="2557" width="9.875" style="2995" bestFit="1" customWidth="1"/>
    <col min="2558" max="2559" width="9" style="2995"/>
    <col min="2560" max="2560" width="10.75" style="2995" customWidth="1"/>
    <col min="2561" max="2561" width="9.875" style="2995" bestFit="1" customWidth="1"/>
    <col min="2562" max="2563" width="9" style="2995"/>
    <col min="2564" max="2564" width="9.875" style="2995" customWidth="1"/>
    <col min="2565" max="2567" width="9" style="2995"/>
    <col min="2568" max="2568" width="10.25" style="2995" customWidth="1"/>
    <col min="2569" max="2569" width="11" style="2995" bestFit="1" customWidth="1"/>
    <col min="2570" max="2742" width="9" style="2995"/>
    <col min="2743" max="2743" width="4" style="2995" customWidth="1"/>
    <col min="2744" max="2745" width="8" style="2995" customWidth="1"/>
    <col min="2746" max="2746" width="12.875" style="2995" customWidth="1"/>
    <col min="2747" max="2747" width="30.125" style="2995" customWidth="1"/>
    <col min="2748" max="2748" width="9.375" style="2995" customWidth="1"/>
    <col min="2749" max="2749" width="8.5" style="2995" customWidth="1"/>
    <col min="2750" max="2750" width="8" style="2995" customWidth="1"/>
    <col min="2751" max="2751" width="7.5" style="2995" customWidth="1"/>
    <col min="2752" max="2752" width="10.5" style="2995" customWidth="1"/>
    <col min="2753" max="2753" width="11.5" style="2995" customWidth="1"/>
    <col min="2754" max="2754" width="12.25" style="2995" customWidth="1"/>
    <col min="2755" max="2755" width="12.375" style="2995" customWidth="1"/>
    <col min="2756" max="2756" width="12.5" style="2995" customWidth="1"/>
    <col min="2757" max="2757" width="12.25" style="2995" customWidth="1"/>
    <col min="2758" max="2758" width="13.5" style="2995" customWidth="1"/>
    <col min="2759" max="2759" width="12.125" style="2995" customWidth="1"/>
    <col min="2760" max="2760" width="15.75" style="2995" customWidth="1"/>
    <col min="2761" max="2788" width="0" style="2995" hidden="1" customWidth="1"/>
    <col min="2789" max="2789" width="12.5" style="2995" customWidth="1"/>
    <col min="2790" max="2790" width="10" style="2995" customWidth="1"/>
    <col min="2791" max="2791" width="10.5" style="2995" customWidth="1"/>
    <col min="2792" max="2792" width="11.625" style="2995" customWidth="1"/>
    <col min="2793" max="2793" width="11.25" style="2995" customWidth="1"/>
    <col min="2794" max="2794" width="10" style="2995" customWidth="1"/>
    <col min="2795" max="2800" width="10.125" style="2995" customWidth="1"/>
    <col min="2801" max="2801" width="11.5" style="2995" customWidth="1"/>
    <col min="2802" max="2806" width="12" style="2995" customWidth="1"/>
    <col min="2807" max="2807" width="10.625" style="2995" customWidth="1"/>
    <col min="2808" max="2808" width="11" style="2995" bestFit="1" customWidth="1"/>
    <col min="2809" max="2809" width="9.875" style="2995" bestFit="1" customWidth="1"/>
    <col min="2810" max="2810" width="9" style="2995"/>
    <col min="2811" max="2811" width="10.125" style="2995" customWidth="1"/>
    <col min="2812" max="2812" width="9" style="2995"/>
    <col min="2813" max="2813" width="9.875" style="2995" bestFit="1" customWidth="1"/>
    <col min="2814" max="2815" width="9" style="2995"/>
    <col min="2816" max="2816" width="10.75" style="2995" customWidth="1"/>
    <col min="2817" max="2817" width="9.875" style="2995" bestFit="1" customWidth="1"/>
    <col min="2818" max="2819" width="9" style="2995"/>
    <col min="2820" max="2820" width="9.875" style="2995" customWidth="1"/>
    <col min="2821" max="2823" width="9" style="2995"/>
    <col min="2824" max="2824" width="10.25" style="2995" customWidth="1"/>
    <col min="2825" max="2825" width="11" style="2995" bestFit="1" customWidth="1"/>
    <col min="2826" max="2998" width="9" style="2995"/>
    <col min="2999" max="2999" width="4" style="2995" customWidth="1"/>
    <col min="3000" max="3001" width="8" style="2995" customWidth="1"/>
    <col min="3002" max="3002" width="12.875" style="2995" customWidth="1"/>
    <col min="3003" max="3003" width="30.125" style="2995" customWidth="1"/>
    <col min="3004" max="3004" width="9.375" style="2995" customWidth="1"/>
    <col min="3005" max="3005" width="8.5" style="2995" customWidth="1"/>
    <col min="3006" max="3006" width="8" style="2995" customWidth="1"/>
    <col min="3007" max="3007" width="7.5" style="2995" customWidth="1"/>
    <col min="3008" max="3008" width="10.5" style="2995" customWidth="1"/>
    <col min="3009" max="3009" width="11.5" style="2995" customWidth="1"/>
    <col min="3010" max="3010" width="12.25" style="2995" customWidth="1"/>
    <col min="3011" max="3011" width="12.375" style="2995" customWidth="1"/>
    <col min="3012" max="3012" width="12.5" style="2995" customWidth="1"/>
    <col min="3013" max="3013" width="12.25" style="2995" customWidth="1"/>
    <col min="3014" max="3014" width="13.5" style="2995" customWidth="1"/>
    <col min="3015" max="3015" width="12.125" style="2995" customWidth="1"/>
    <col min="3016" max="3016" width="15.75" style="2995" customWidth="1"/>
    <col min="3017" max="3044" width="0" style="2995" hidden="1" customWidth="1"/>
    <col min="3045" max="3045" width="12.5" style="2995" customWidth="1"/>
    <col min="3046" max="3046" width="10" style="2995" customWidth="1"/>
    <col min="3047" max="3047" width="10.5" style="2995" customWidth="1"/>
    <col min="3048" max="3048" width="11.625" style="2995" customWidth="1"/>
    <col min="3049" max="3049" width="11.25" style="2995" customWidth="1"/>
    <col min="3050" max="3050" width="10" style="2995" customWidth="1"/>
    <col min="3051" max="3056" width="10.125" style="2995" customWidth="1"/>
    <col min="3057" max="3057" width="11.5" style="2995" customWidth="1"/>
    <col min="3058" max="3062" width="12" style="2995" customWidth="1"/>
    <col min="3063" max="3063" width="10.625" style="2995" customWidth="1"/>
    <col min="3064" max="3064" width="11" style="2995" bestFit="1" customWidth="1"/>
    <col min="3065" max="3065" width="9.875" style="2995" bestFit="1" customWidth="1"/>
    <col min="3066" max="3066" width="9" style="2995"/>
    <col min="3067" max="3067" width="10.125" style="2995" customWidth="1"/>
    <col min="3068" max="3068" width="9" style="2995"/>
    <col min="3069" max="3069" width="9.875" style="2995" bestFit="1" customWidth="1"/>
    <col min="3070" max="3071" width="9" style="2995"/>
    <col min="3072" max="3072" width="10.75" style="2995" customWidth="1"/>
    <col min="3073" max="3073" width="9.875" style="2995" bestFit="1" customWidth="1"/>
    <col min="3074" max="3075" width="9" style="2995"/>
    <col min="3076" max="3076" width="9.875" style="2995" customWidth="1"/>
    <col min="3077" max="3079" width="9" style="2995"/>
    <col min="3080" max="3080" width="10.25" style="2995" customWidth="1"/>
    <col min="3081" max="3081" width="11" style="2995" bestFit="1" customWidth="1"/>
    <col min="3082" max="3254" width="9" style="2995"/>
    <col min="3255" max="3255" width="4" style="2995" customWidth="1"/>
    <col min="3256" max="3257" width="8" style="2995" customWidth="1"/>
    <col min="3258" max="3258" width="12.875" style="2995" customWidth="1"/>
    <col min="3259" max="3259" width="30.125" style="2995" customWidth="1"/>
    <col min="3260" max="3260" width="9.375" style="2995" customWidth="1"/>
    <col min="3261" max="3261" width="8.5" style="2995" customWidth="1"/>
    <col min="3262" max="3262" width="8" style="2995" customWidth="1"/>
    <col min="3263" max="3263" width="7.5" style="2995" customWidth="1"/>
    <col min="3264" max="3264" width="10.5" style="2995" customWidth="1"/>
    <col min="3265" max="3265" width="11.5" style="2995" customWidth="1"/>
    <col min="3266" max="3266" width="12.25" style="2995" customWidth="1"/>
    <col min="3267" max="3267" width="12.375" style="2995" customWidth="1"/>
    <col min="3268" max="3268" width="12.5" style="2995" customWidth="1"/>
    <col min="3269" max="3269" width="12.25" style="2995" customWidth="1"/>
    <col min="3270" max="3270" width="13.5" style="2995" customWidth="1"/>
    <col min="3271" max="3271" width="12.125" style="2995" customWidth="1"/>
    <col min="3272" max="3272" width="15.75" style="2995" customWidth="1"/>
    <col min="3273" max="3300" width="0" style="2995" hidden="1" customWidth="1"/>
    <col min="3301" max="3301" width="12.5" style="2995" customWidth="1"/>
    <col min="3302" max="3302" width="10" style="2995" customWidth="1"/>
    <col min="3303" max="3303" width="10.5" style="2995" customWidth="1"/>
    <col min="3304" max="3304" width="11.625" style="2995" customWidth="1"/>
    <col min="3305" max="3305" width="11.25" style="2995" customWidth="1"/>
    <col min="3306" max="3306" width="10" style="2995" customWidth="1"/>
    <col min="3307" max="3312" width="10.125" style="2995" customWidth="1"/>
    <col min="3313" max="3313" width="11.5" style="2995" customWidth="1"/>
    <col min="3314" max="3318" width="12" style="2995" customWidth="1"/>
    <col min="3319" max="3319" width="10.625" style="2995" customWidth="1"/>
    <col min="3320" max="3320" width="11" style="2995" bestFit="1" customWidth="1"/>
    <col min="3321" max="3321" width="9.875" style="2995" bestFit="1" customWidth="1"/>
    <col min="3322" max="3322" width="9" style="2995"/>
    <col min="3323" max="3323" width="10.125" style="2995" customWidth="1"/>
    <col min="3324" max="3324" width="9" style="2995"/>
    <col min="3325" max="3325" width="9.875" style="2995" bestFit="1" customWidth="1"/>
    <col min="3326" max="3327" width="9" style="2995"/>
    <col min="3328" max="3328" width="10.75" style="2995" customWidth="1"/>
    <col min="3329" max="3329" width="9.875" style="2995" bestFit="1" customWidth="1"/>
    <col min="3330" max="3331" width="9" style="2995"/>
    <col min="3332" max="3332" width="9.875" style="2995" customWidth="1"/>
    <col min="3333" max="3335" width="9" style="2995"/>
    <col min="3336" max="3336" width="10.25" style="2995" customWidth="1"/>
    <col min="3337" max="3337" width="11" style="2995" bestFit="1" customWidth="1"/>
    <col min="3338" max="3510" width="9" style="2995"/>
    <col min="3511" max="3511" width="4" style="2995" customWidth="1"/>
    <col min="3512" max="3513" width="8" style="2995" customWidth="1"/>
    <col min="3514" max="3514" width="12.875" style="2995" customWidth="1"/>
    <col min="3515" max="3515" width="30.125" style="2995" customWidth="1"/>
    <col min="3516" max="3516" width="9.375" style="2995" customWidth="1"/>
    <col min="3517" max="3517" width="8.5" style="2995" customWidth="1"/>
    <col min="3518" max="3518" width="8" style="2995" customWidth="1"/>
    <col min="3519" max="3519" width="7.5" style="2995" customWidth="1"/>
    <col min="3520" max="3520" width="10.5" style="2995" customWidth="1"/>
    <col min="3521" max="3521" width="11.5" style="2995" customWidth="1"/>
    <col min="3522" max="3522" width="12.25" style="2995" customWidth="1"/>
    <col min="3523" max="3523" width="12.375" style="2995" customWidth="1"/>
    <col min="3524" max="3524" width="12.5" style="2995" customWidth="1"/>
    <col min="3525" max="3525" width="12.25" style="2995" customWidth="1"/>
    <col min="3526" max="3526" width="13.5" style="2995" customWidth="1"/>
    <col min="3527" max="3527" width="12.125" style="2995" customWidth="1"/>
    <col min="3528" max="3528" width="15.75" style="2995" customWidth="1"/>
    <col min="3529" max="3556" width="0" style="2995" hidden="1" customWidth="1"/>
    <col min="3557" max="3557" width="12.5" style="2995" customWidth="1"/>
    <col min="3558" max="3558" width="10" style="2995" customWidth="1"/>
    <col min="3559" max="3559" width="10.5" style="2995" customWidth="1"/>
    <col min="3560" max="3560" width="11.625" style="2995" customWidth="1"/>
    <col min="3561" max="3561" width="11.25" style="2995" customWidth="1"/>
    <col min="3562" max="3562" width="10" style="2995" customWidth="1"/>
    <col min="3563" max="3568" width="10.125" style="2995" customWidth="1"/>
    <col min="3569" max="3569" width="11.5" style="2995" customWidth="1"/>
    <col min="3570" max="3574" width="12" style="2995" customWidth="1"/>
    <col min="3575" max="3575" width="10.625" style="2995" customWidth="1"/>
    <col min="3576" max="3576" width="11" style="2995" bestFit="1" customWidth="1"/>
    <col min="3577" max="3577" width="9.875" style="2995" bestFit="1" customWidth="1"/>
    <col min="3578" max="3578" width="9" style="2995"/>
    <col min="3579" max="3579" width="10.125" style="2995" customWidth="1"/>
    <col min="3580" max="3580" width="9" style="2995"/>
    <col min="3581" max="3581" width="9.875" style="2995" bestFit="1" customWidth="1"/>
    <col min="3582" max="3583" width="9" style="2995"/>
    <col min="3584" max="3584" width="10.75" style="2995" customWidth="1"/>
    <col min="3585" max="3585" width="9.875" style="2995" bestFit="1" customWidth="1"/>
    <col min="3586" max="3587" width="9" style="2995"/>
    <col min="3588" max="3588" width="9.875" style="2995" customWidth="1"/>
    <col min="3589" max="3591" width="9" style="2995"/>
    <col min="3592" max="3592" width="10.25" style="2995" customWidth="1"/>
    <col min="3593" max="3593" width="11" style="2995" bestFit="1" customWidth="1"/>
    <col min="3594" max="3766" width="9" style="2995"/>
    <col min="3767" max="3767" width="4" style="2995" customWidth="1"/>
    <col min="3768" max="3769" width="8" style="2995" customWidth="1"/>
    <col min="3770" max="3770" width="12.875" style="2995" customWidth="1"/>
    <col min="3771" max="3771" width="30.125" style="2995" customWidth="1"/>
    <col min="3772" max="3772" width="9.375" style="2995" customWidth="1"/>
    <col min="3773" max="3773" width="8.5" style="2995" customWidth="1"/>
    <col min="3774" max="3774" width="8" style="2995" customWidth="1"/>
    <col min="3775" max="3775" width="7.5" style="2995" customWidth="1"/>
    <col min="3776" max="3776" width="10.5" style="2995" customWidth="1"/>
    <col min="3777" max="3777" width="11.5" style="2995" customWidth="1"/>
    <col min="3778" max="3778" width="12.25" style="2995" customWidth="1"/>
    <col min="3779" max="3779" width="12.375" style="2995" customWidth="1"/>
    <col min="3780" max="3780" width="12.5" style="2995" customWidth="1"/>
    <col min="3781" max="3781" width="12.25" style="2995" customWidth="1"/>
    <col min="3782" max="3782" width="13.5" style="2995" customWidth="1"/>
    <col min="3783" max="3783" width="12.125" style="2995" customWidth="1"/>
    <col min="3784" max="3784" width="15.75" style="2995" customWidth="1"/>
    <col min="3785" max="3812" width="0" style="2995" hidden="1" customWidth="1"/>
    <col min="3813" max="3813" width="12.5" style="2995" customWidth="1"/>
    <col min="3814" max="3814" width="10" style="2995" customWidth="1"/>
    <col min="3815" max="3815" width="10.5" style="2995" customWidth="1"/>
    <col min="3816" max="3816" width="11.625" style="2995" customWidth="1"/>
    <col min="3817" max="3817" width="11.25" style="2995" customWidth="1"/>
    <col min="3818" max="3818" width="10" style="2995" customWidth="1"/>
    <col min="3819" max="3824" width="10.125" style="2995" customWidth="1"/>
    <col min="3825" max="3825" width="11.5" style="2995" customWidth="1"/>
    <col min="3826" max="3830" width="12" style="2995" customWidth="1"/>
    <col min="3831" max="3831" width="10.625" style="2995" customWidth="1"/>
    <col min="3832" max="3832" width="11" style="2995" bestFit="1" customWidth="1"/>
    <col min="3833" max="3833" width="9.875" style="2995" bestFit="1" customWidth="1"/>
    <col min="3834" max="3834" width="9" style="2995"/>
    <col min="3835" max="3835" width="10.125" style="2995" customWidth="1"/>
    <col min="3836" max="3836" width="9" style="2995"/>
    <col min="3837" max="3837" width="9.875" style="2995" bestFit="1" customWidth="1"/>
    <col min="3838" max="3839" width="9" style="2995"/>
    <col min="3840" max="3840" width="10.75" style="2995" customWidth="1"/>
    <col min="3841" max="3841" width="9.875" style="2995" bestFit="1" customWidth="1"/>
    <col min="3842" max="3843" width="9" style="2995"/>
    <col min="3844" max="3844" width="9.875" style="2995" customWidth="1"/>
    <col min="3845" max="3847" width="9" style="2995"/>
    <col min="3848" max="3848" width="10.25" style="2995" customWidth="1"/>
    <col min="3849" max="3849" width="11" style="2995" bestFit="1" customWidth="1"/>
    <col min="3850" max="4022" width="9" style="2995"/>
    <col min="4023" max="4023" width="4" style="2995" customWidth="1"/>
    <col min="4024" max="4025" width="8" style="2995" customWidth="1"/>
    <col min="4026" max="4026" width="12.875" style="2995" customWidth="1"/>
    <col min="4027" max="4027" width="30.125" style="2995" customWidth="1"/>
    <col min="4028" max="4028" width="9.375" style="2995" customWidth="1"/>
    <col min="4029" max="4029" width="8.5" style="2995" customWidth="1"/>
    <col min="4030" max="4030" width="8" style="2995" customWidth="1"/>
    <col min="4031" max="4031" width="7.5" style="2995" customWidth="1"/>
    <col min="4032" max="4032" width="10.5" style="2995" customWidth="1"/>
    <col min="4033" max="4033" width="11.5" style="2995" customWidth="1"/>
    <col min="4034" max="4034" width="12.25" style="2995" customWidth="1"/>
    <col min="4035" max="4035" width="12.375" style="2995" customWidth="1"/>
    <col min="4036" max="4036" width="12.5" style="2995" customWidth="1"/>
    <col min="4037" max="4037" width="12.25" style="2995" customWidth="1"/>
    <col min="4038" max="4038" width="13.5" style="2995" customWidth="1"/>
    <col min="4039" max="4039" width="12.125" style="2995" customWidth="1"/>
    <col min="4040" max="4040" width="15.75" style="2995" customWidth="1"/>
    <col min="4041" max="4068" width="0" style="2995" hidden="1" customWidth="1"/>
    <col min="4069" max="4069" width="12.5" style="2995" customWidth="1"/>
    <col min="4070" max="4070" width="10" style="2995" customWidth="1"/>
    <col min="4071" max="4071" width="10.5" style="2995" customWidth="1"/>
    <col min="4072" max="4072" width="11.625" style="2995" customWidth="1"/>
    <col min="4073" max="4073" width="11.25" style="2995" customWidth="1"/>
    <col min="4074" max="4074" width="10" style="2995" customWidth="1"/>
    <col min="4075" max="4080" width="10.125" style="2995" customWidth="1"/>
    <col min="4081" max="4081" width="11.5" style="2995" customWidth="1"/>
    <col min="4082" max="4086" width="12" style="2995" customWidth="1"/>
    <col min="4087" max="4087" width="10.625" style="2995" customWidth="1"/>
    <col min="4088" max="4088" width="11" style="2995" bestFit="1" customWidth="1"/>
    <col min="4089" max="4089" width="9.875" style="2995" bestFit="1" customWidth="1"/>
    <col min="4090" max="4090" width="9" style="2995"/>
    <col min="4091" max="4091" width="10.125" style="2995" customWidth="1"/>
    <col min="4092" max="4092" width="9" style="2995"/>
    <col min="4093" max="4093" width="9.875" style="2995" bestFit="1" customWidth="1"/>
    <col min="4094" max="4095" width="9" style="2995"/>
    <col min="4096" max="4096" width="10.75" style="2995" customWidth="1"/>
    <col min="4097" max="4097" width="9.875" style="2995" bestFit="1" customWidth="1"/>
    <col min="4098" max="4099" width="9" style="2995"/>
    <col min="4100" max="4100" width="9.875" style="2995" customWidth="1"/>
    <col min="4101" max="4103" width="9" style="2995"/>
    <col min="4104" max="4104" width="10.25" style="2995" customWidth="1"/>
    <col min="4105" max="4105" width="11" style="2995" bestFit="1" customWidth="1"/>
    <col min="4106" max="4278" width="9" style="2995"/>
    <col min="4279" max="4279" width="4" style="2995" customWidth="1"/>
    <col min="4280" max="4281" width="8" style="2995" customWidth="1"/>
    <col min="4282" max="4282" width="12.875" style="2995" customWidth="1"/>
    <col min="4283" max="4283" width="30.125" style="2995" customWidth="1"/>
    <col min="4284" max="4284" width="9.375" style="2995" customWidth="1"/>
    <col min="4285" max="4285" width="8.5" style="2995" customWidth="1"/>
    <col min="4286" max="4286" width="8" style="2995" customWidth="1"/>
    <col min="4287" max="4287" width="7.5" style="2995" customWidth="1"/>
    <col min="4288" max="4288" width="10.5" style="2995" customWidth="1"/>
    <col min="4289" max="4289" width="11.5" style="2995" customWidth="1"/>
    <col min="4290" max="4290" width="12.25" style="2995" customWidth="1"/>
    <col min="4291" max="4291" width="12.375" style="2995" customWidth="1"/>
    <col min="4292" max="4292" width="12.5" style="2995" customWidth="1"/>
    <col min="4293" max="4293" width="12.25" style="2995" customWidth="1"/>
    <col min="4294" max="4294" width="13.5" style="2995" customWidth="1"/>
    <col min="4295" max="4295" width="12.125" style="2995" customWidth="1"/>
    <col min="4296" max="4296" width="15.75" style="2995" customWidth="1"/>
    <col min="4297" max="4324" width="0" style="2995" hidden="1" customWidth="1"/>
    <col min="4325" max="4325" width="12.5" style="2995" customWidth="1"/>
    <col min="4326" max="4326" width="10" style="2995" customWidth="1"/>
    <col min="4327" max="4327" width="10.5" style="2995" customWidth="1"/>
    <col min="4328" max="4328" width="11.625" style="2995" customWidth="1"/>
    <col min="4329" max="4329" width="11.25" style="2995" customWidth="1"/>
    <col min="4330" max="4330" width="10" style="2995" customWidth="1"/>
    <col min="4331" max="4336" width="10.125" style="2995" customWidth="1"/>
    <col min="4337" max="4337" width="11.5" style="2995" customWidth="1"/>
    <col min="4338" max="4342" width="12" style="2995" customWidth="1"/>
    <col min="4343" max="4343" width="10.625" style="2995" customWidth="1"/>
    <col min="4344" max="4344" width="11" style="2995" bestFit="1" customWidth="1"/>
    <col min="4345" max="4345" width="9.875" style="2995" bestFit="1" customWidth="1"/>
    <col min="4346" max="4346" width="9" style="2995"/>
    <col min="4347" max="4347" width="10.125" style="2995" customWidth="1"/>
    <col min="4348" max="4348" width="9" style="2995"/>
    <col min="4349" max="4349" width="9.875" style="2995" bestFit="1" customWidth="1"/>
    <col min="4350" max="4351" width="9" style="2995"/>
    <col min="4352" max="4352" width="10.75" style="2995" customWidth="1"/>
    <col min="4353" max="4353" width="9.875" style="2995" bestFit="1" customWidth="1"/>
    <col min="4354" max="4355" width="9" style="2995"/>
    <col min="4356" max="4356" width="9.875" style="2995" customWidth="1"/>
    <col min="4357" max="4359" width="9" style="2995"/>
    <col min="4360" max="4360" width="10.25" style="2995" customWidth="1"/>
    <col min="4361" max="4361" width="11" style="2995" bestFit="1" customWidth="1"/>
    <col min="4362" max="4534" width="9" style="2995"/>
    <col min="4535" max="4535" width="4" style="2995" customWidth="1"/>
    <col min="4536" max="4537" width="8" style="2995" customWidth="1"/>
    <col min="4538" max="4538" width="12.875" style="2995" customWidth="1"/>
    <col min="4539" max="4539" width="30.125" style="2995" customWidth="1"/>
    <col min="4540" max="4540" width="9.375" style="2995" customWidth="1"/>
    <col min="4541" max="4541" width="8.5" style="2995" customWidth="1"/>
    <col min="4542" max="4542" width="8" style="2995" customWidth="1"/>
    <col min="4543" max="4543" width="7.5" style="2995" customWidth="1"/>
    <col min="4544" max="4544" width="10.5" style="2995" customWidth="1"/>
    <col min="4545" max="4545" width="11.5" style="2995" customWidth="1"/>
    <col min="4546" max="4546" width="12.25" style="2995" customWidth="1"/>
    <col min="4547" max="4547" width="12.375" style="2995" customWidth="1"/>
    <col min="4548" max="4548" width="12.5" style="2995" customWidth="1"/>
    <col min="4549" max="4549" width="12.25" style="2995" customWidth="1"/>
    <col min="4550" max="4550" width="13.5" style="2995" customWidth="1"/>
    <col min="4551" max="4551" width="12.125" style="2995" customWidth="1"/>
    <col min="4552" max="4552" width="15.75" style="2995" customWidth="1"/>
    <col min="4553" max="4580" width="0" style="2995" hidden="1" customWidth="1"/>
    <col min="4581" max="4581" width="12.5" style="2995" customWidth="1"/>
    <col min="4582" max="4582" width="10" style="2995" customWidth="1"/>
    <col min="4583" max="4583" width="10.5" style="2995" customWidth="1"/>
    <col min="4584" max="4584" width="11.625" style="2995" customWidth="1"/>
    <col min="4585" max="4585" width="11.25" style="2995" customWidth="1"/>
    <col min="4586" max="4586" width="10" style="2995" customWidth="1"/>
    <col min="4587" max="4592" width="10.125" style="2995" customWidth="1"/>
    <col min="4593" max="4593" width="11.5" style="2995" customWidth="1"/>
    <col min="4594" max="4598" width="12" style="2995" customWidth="1"/>
    <col min="4599" max="4599" width="10.625" style="2995" customWidth="1"/>
    <col min="4600" max="4600" width="11" style="2995" bestFit="1" customWidth="1"/>
    <col min="4601" max="4601" width="9.875" style="2995" bestFit="1" customWidth="1"/>
    <col min="4602" max="4602" width="9" style="2995"/>
    <col min="4603" max="4603" width="10.125" style="2995" customWidth="1"/>
    <col min="4604" max="4604" width="9" style="2995"/>
    <col min="4605" max="4605" width="9.875" style="2995" bestFit="1" customWidth="1"/>
    <col min="4606" max="4607" width="9" style="2995"/>
    <col min="4608" max="4608" width="10.75" style="2995" customWidth="1"/>
    <col min="4609" max="4609" width="9.875" style="2995" bestFit="1" customWidth="1"/>
    <col min="4610" max="4611" width="9" style="2995"/>
    <col min="4612" max="4612" width="9.875" style="2995" customWidth="1"/>
    <col min="4613" max="4615" width="9" style="2995"/>
    <col min="4616" max="4616" width="10.25" style="2995" customWidth="1"/>
    <col min="4617" max="4617" width="11" style="2995" bestFit="1" customWidth="1"/>
    <col min="4618" max="4790" width="9" style="2995"/>
    <col min="4791" max="4791" width="4" style="2995" customWidth="1"/>
    <col min="4792" max="4793" width="8" style="2995" customWidth="1"/>
    <col min="4794" max="4794" width="12.875" style="2995" customWidth="1"/>
    <col min="4795" max="4795" width="30.125" style="2995" customWidth="1"/>
    <col min="4796" max="4796" width="9.375" style="2995" customWidth="1"/>
    <col min="4797" max="4797" width="8.5" style="2995" customWidth="1"/>
    <col min="4798" max="4798" width="8" style="2995" customWidth="1"/>
    <col min="4799" max="4799" width="7.5" style="2995" customWidth="1"/>
    <col min="4800" max="4800" width="10.5" style="2995" customWidth="1"/>
    <col min="4801" max="4801" width="11.5" style="2995" customWidth="1"/>
    <col min="4802" max="4802" width="12.25" style="2995" customWidth="1"/>
    <col min="4803" max="4803" width="12.375" style="2995" customWidth="1"/>
    <col min="4804" max="4804" width="12.5" style="2995" customWidth="1"/>
    <col min="4805" max="4805" width="12.25" style="2995" customWidth="1"/>
    <col min="4806" max="4806" width="13.5" style="2995" customWidth="1"/>
    <col min="4807" max="4807" width="12.125" style="2995" customWidth="1"/>
    <col min="4808" max="4808" width="15.75" style="2995" customWidth="1"/>
    <col min="4809" max="4836" width="0" style="2995" hidden="1" customWidth="1"/>
    <col min="4837" max="4837" width="12.5" style="2995" customWidth="1"/>
    <col min="4838" max="4838" width="10" style="2995" customWidth="1"/>
    <col min="4839" max="4839" width="10.5" style="2995" customWidth="1"/>
    <col min="4840" max="4840" width="11.625" style="2995" customWidth="1"/>
    <col min="4841" max="4841" width="11.25" style="2995" customWidth="1"/>
    <col min="4842" max="4842" width="10" style="2995" customWidth="1"/>
    <col min="4843" max="4848" width="10.125" style="2995" customWidth="1"/>
    <col min="4849" max="4849" width="11.5" style="2995" customWidth="1"/>
    <col min="4850" max="4854" width="12" style="2995" customWidth="1"/>
    <col min="4855" max="4855" width="10.625" style="2995" customWidth="1"/>
    <col min="4856" max="4856" width="11" style="2995" bestFit="1" customWidth="1"/>
    <col min="4857" max="4857" width="9.875" style="2995" bestFit="1" customWidth="1"/>
    <col min="4858" max="4858" width="9" style="2995"/>
    <col min="4859" max="4859" width="10.125" style="2995" customWidth="1"/>
    <col min="4860" max="4860" width="9" style="2995"/>
    <col min="4861" max="4861" width="9.875" style="2995" bestFit="1" customWidth="1"/>
    <col min="4862" max="4863" width="9" style="2995"/>
    <col min="4864" max="4864" width="10.75" style="2995" customWidth="1"/>
    <col min="4865" max="4865" width="9.875" style="2995" bestFit="1" customWidth="1"/>
    <col min="4866" max="4867" width="9" style="2995"/>
    <col min="4868" max="4868" width="9.875" style="2995" customWidth="1"/>
    <col min="4869" max="4871" width="9" style="2995"/>
    <col min="4872" max="4872" width="10.25" style="2995" customWidth="1"/>
    <col min="4873" max="4873" width="11" style="2995" bestFit="1" customWidth="1"/>
    <col min="4874" max="5046" width="9" style="2995"/>
    <col min="5047" max="5047" width="4" style="2995" customWidth="1"/>
    <col min="5048" max="5049" width="8" style="2995" customWidth="1"/>
    <col min="5050" max="5050" width="12.875" style="2995" customWidth="1"/>
    <col min="5051" max="5051" width="30.125" style="2995" customWidth="1"/>
    <col min="5052" max="5052" width="9.375" style="2995" customWidth="1"/>
    <col min="5053" max="5053" width="8.5" style="2995" customWidth="1"/>
    <col min="5054" max="5054" width="8" style="2995" customWidth="1"/>
    <col min="5055" max="5055" width="7.5" style="2995" customWidth="1"/>
    <col min="5056" max="5056" width="10.5" style="2995" customWidth="1"/>
    <col min="5057" max="5057" width="11.5" style="2995" customWidth="1"/>
    <col min="5058" max="5058" width="12.25" style="2995" customWidth="1"/>
    <col min="5059" max="5059" width="12.375" style="2995" customWidth="1"/>
    <col min="5060" max="5060" width="12.5" style="2995" customWidth="1"/>
    <col min="5061" max="5061" width="12.25" style="2995" customWidth="1"/>
    <col min="5062" max="5062" width="13.5" style="2995" customWidth="1"/>
    <col min="5063" max="5063" width="12.125" style="2995" customWidth="1"/>
    <col min="5064" max="5064" width="15.75" style="2995" customWidth="1"/>
    <col min="5065" max="5092" width="0" style="2995" hidden="1" customWidth="1"/>
    <col min="5093" max="5093" width="12.5" style="2995" customWidth="1"/>
    <col min="5094" max="5094" width="10" style="2995" customWidth="1"/>
    <col min="5095" max="5095" width="10.5" style="2995" customWidth="1"/>
    <col min="5096" max="5096" width="11.625" style="2995" customWidth="1"/>
    <col min="5097" max="5097" width="11.25" style="2995" customWidth="1"/>
    <col min="5098" max="5098" width="10" style="2995" customWidth="1"/>
    <col min="5099" max="5104" width="10.125" style="2995" customWidth="1"/>
    <col min="5105" max="5105" width="11.5" style="2995" customWidth="1"/>
    <col min="5106" max="5110" width="12" style="2995" customWidth="1"/>
    <col min="5111" max="5111" width="10.625" style="2995" customWidth="1"/>
    <col min="5112" max="5112" width="11" style="2995" bestFit="1" customWidth="1"/>
    <col min="5113" max="5113" width="9.875" style="2995" bestFit="1" customWidth="1"/>
    <col min="5114" max="5114" width="9" style="2995"/>
    <col min="5115" max="5115" width="10.125" style="2995" customWidth="1"/>
    <col min="5116" max="5116" width="9" style="2995"/>
    <col min="5117" max="5117" width="9.875" style="2995" bestFit="1" customWidth="1"/>
    <col min="5118" max="5119" width="9" style="2995"/>
    <col min="5120" max="5120" width="10.75" style="2995" customWidth="1"/>
    <col min="5121" max="5121" width="9.875" style="2995" bestFit="1" customWidth="1"/>
    <col min="5122" max="5123" width="9" style="2995"/>
    <col min="5124" max="5124" width="9.875" style="2995" customWidth="1"/>
    <col min="5125" max="5127" width="9" style="2995"/>
    <col min="5128" max="5128" width="10.25" style="2995" customWidth="1"/>
    <col min="5129" max="5129" width="11" style="2995" bestFit="1" customWidth="1"/>
    <col min="5130" max="5302" width="9" style="2995"/>
    <col min="5303" max="5303" width="4" style="2995" customWidth="1"/>
    <col min="5304" max="5305" width="8" style="2995" customWidth="1"/>
    <col min="5306" max="5306" width="12.875" style="2995" customWidth="1"/>
    <col min="5307" max="5307" width="30.125" style="2995" customWidth="1"/>
    <col min="5308" max="5308" width="9.375" style="2995" customWidth="1"/>
    <col min="5309" max="5309" width="8.5" style="2995" customWidth="1"/>
    <col min="5310" max="5310" width="8" style="2995" customWidth="1"/>
    <col min="5311" max="5311" width="7.5" style="2995" customWidth="1"/>
    <col min="5312" max="5312" width="10.5" style="2995" customWidth="1"/>
    <col min="5313" max="5313" width="11.5" style="2995" customWidth="1"/>
    <col min="5314" max="5314" width="12.25" style="2995" customWidth="1"/>
    <col min="5315" max="5315" width="12.375" style="2995" customWidth="1"/>
    <col min="5316" max="5316" width="12.5" style="2995" customWidth="1"/>
    <col min="5317" max="5317" width="12.25" style="2995" customWidth="1"/>
    <col min="5318" max="5318" width="13.5" style="2995" customWidth="1"/>
    <col min="5319" max="5319" width="12.125" style="2995" customWidth="1"/>
    <col min="5320" max="5320" width="15.75" style="2995" customWidth="1"/>
    <col min="5321" max="5348" width="0" style="2995" hidden="1" customWidth="1"/>
    <col min="5349" max="5349" width="12.5" style="2995" customWidth="1"/>
    <col min="5350" max="5350" width="10" style="2995" customWidth="1"/>
    <col min="5351" max="5351" width="10.5" style="2995" customWidth="1"/>
    <col min="5352" max="5352" width="11.625" style="2995" customWidth="1"/>
    <col min="5353" max="5353" width="11.25" style="2995" customWidth="1"/>
    <col min="5354" max="5354" width="10" style="2995" customWidth="1"/>
    <col min="5355" max="5360" width="10.125" style="2995" customWidth="1"/>
    <col min="5361" max="5361" width="11.5" style="2995" customWidth="1"/>
    <col min="5362" max="5366" width="12" style="2995" customWidth="1"/>
    <col min="5367" max="5367" width="10.625" style="2995" customWidth="1"/>
    <col min="5368" max="5368" width="11" style="2995" bestFit="1" customWidth="1"/>
    <col min="5369" max="5369" width="9.875" style="2995" bestFit="1" customWidth="1"/>
    <col min="5370" max="5370" width="9" style="2995"/>
    <col min="5371" max="5371" width="10.125" style="2995" customWidth="1"/>
    <col min="5372" max="5372" width="9" style="2995"/>
    <col min="5373" max="5373" width="9.875" style="2995" bestFit="1" customWidth="1"/>
    <col min="5374" max="5375" width="9" style="2995"/>
    <col min="5376" max="5376" width="10.75" style="2995" customWidth="1"/>
    <col min="5377" max="5377" width="9.875" style="2995" bestFit="1" customWidth="1"/>
    <col min="5378" max="5379" width="9" style="2995"/>
    <col min="5380" max="5380" width="9.875" style="2995" customWidth="1"/>
    <col min="5381" max="5383" width="9" style="2995"/>
    <col min="5384" max="5384" width="10.25" style="2995" customWidth="1"/>
    <col min="5385" max="5385" width="11" style="2995" bestFit="1" customWidth="1"/>
    <col min="5386" max="5558" width="9" style="2995"/>
    <col min="5559" max="5559" width="4" style="2995" customWidth="1"/>
    <col min="5560" max="5561" width="8" style="2995" customWidth="1"/>
    <col min="5562" max="5562" width="12.875" style="2995" customWidth="1"/>
    <col min="5563" max="5563" width="30.125" style="2995" customWidth="1"/>
    <col min="5564" max="5564" width="9.375" style="2995" customWidth="1"/>
    <col min="5565" max="5565" width="8.5" style="2995" customWidth="1"/>
    <col min="5566" max="5566" width="8" style="2995" customWidth="1"/>
    <col min="5567" max="5567" width="7.5" style="2995" customWidth="1"/>
    <col min="5568" max="5568" width="10.5" style="2995" customWidth="1"/>
    <col min="5569" max="5569" width="11.5" style="2995" customWidth="1"/>
    <col min="5570" max="5570" width="12.25" style="2995" customWidth="1"/>
    <col min="5571" max="5571" width="12.375" style="2995" customWidth="1"/>
    <col min="5572" max="5572" width="12.5" style="2995" customWidth="1"/>
    <col min="5573" max="5573" width="12.25" style="2995" customWidth="1"/>
    <col min="5574" max="5574" width="13.5" style="2995" customWidth="1"/>
    <col min="5575" max="5575" width="12.125" style="2995" customWidth="1"/>
    <col min="5576" max="5576" width="15.75" style="2995" customWidth="1"/>
    <col min="5577" max="5604" width="0" style="2995" hidden="1" customWidth="1"/>
    <col min="5605" max="5605" width="12.5" style="2995" customWidth="1"/>
    <col min="5606" max="5606" width="10" style="2995" customWidth="1"/>
    <col min="5607" max="5607" width="10.5" style="2995" customWidth="1"/>
    <col min="5608" max="5608" width="11.625" style="2995" customWidth="1"/>
    <col min="5609" max="5609" width="11.25" style="2995" customWidth="1"/>
    <col min="5610" max="5610" width="10" style="2995" customWidth="1"/>
    <col min="5611" max="5616" width="10.125" style="2995" customWidth="1"/>
    <col min="5617" max="5617" width="11.5" style="2995" customWidth="1"/>
    <col min="5618" max="5622" width="12" style="2995" customWidth="1"/>
    <col min="5623" max="5623" width="10.625" style="2995" customWidth="1"/>
    <col min="5624" max="5624" width="11" style="2995" bestFit="1" customWidth="1"/>
    <col min="5625" max="5625" width="9.875" style="2995" bestFit="1" customWidth="1"/>
    <col min="5626" max="5626" width="9" style="2995"/>
    <col min="5627" max="5627" width="10.125" style="2995" customWidth="1"/>
    <col min="5628" max="5628" width="9" style="2995"/>
    <col min="5629" max="5629" width="9.875" style="2995" bestFit="1" customWidth="1"/>
    <col min="5630" max="5631" width="9" style="2995"/>
    <col min="5632" max="5632" width="10.75" style="2995" customWidth="1"/>
    <col min="5633" max="5633" width="9.875" style="2995" bestFit="1" customWidth="1"/>
    <col min="5634" max="5635" width="9" style="2995"/>
    <col min="5636" max="5636" width="9.875" style="2995" customWidth="1"/>
    <col min="5637" max="5639" width="9" style="2995"/>
    <col min="5640" max="5640" width="10.25" style="2995" customWidth="1"/>
    <col min="5641" max="5641" width="11" style="2995" bestFit="1" customWidth="1"/>
    <col min="5642" max="5814" width="9" style="2995"/>
    <col min="5815" max="5815" width="4" style="2995" customWidth="1"/>
    <col min="5816" max="5817" width="8" style="2995" customWidth="1"/>
    <col min="5818" max="5818" width="12.875" style="2995" customWidth="1"/>
    <col min="5819" max="5819" width="30.125" style="2995" customWidth="1"/>
    <col min="5820" max="5820" width="9.375" style="2995" customWidth="1"/>
    <col min="5821" max="5821" width="8.5" style="2995" customWidth="1"/>
    <col min="5822" max="5822" width="8" style="2995" customWidth="1"/>
    <col min="5823" max="5823" width="7.5" style="2995" customWidth="1"/>
    <col min="5824" max="5824" width="10.5" style="2995" customWidth="1"/>
    <col min="5825" max="5825" width="11.5" style="2995" customWidth="1"/>
    <col min="5826" max="5826" width="12.25" style="2995" customWidth="1"/>
    <col min="5827" max="5827" width="12.375" style="2995" customWidth="1"/>
    <col min="5828" max="5828" width="12.5" style="2995" customWidth="1"/>
    <col min="5829" max="5829" width="12.25" style="2995" customWidth="1"/>
    <col min="5830" max="5830" width="13.5" style="2995" customWidth="1"/>
    <col min="5831" max="5831" width="12.125" style="2995" customWidth="1"/>
    <col min="5832" max="5832" width="15.75" style="2995" customWidth="1"/>
    <col min="5833" max="5860" width="0" style="2995" hidden="1" customWidth="1"/>
    <col min="5861" max="5861" width="12.5" style="2995" customWidth="1"/>
    <col min="5862" max="5862" width="10" style="2995" customWidth="1"/>
    <col min="5863" max="5863" width="10.5" style="2995" customWidth="1"/>
    <col min="5864" max="5864" width="11.625" style="2995" customWidth="1"/>
    <col min="5865" max="5865" width="11.25" style="2995" customWidth="1"/>
    <col min="5866" max="5866" width="10" style="2995" customWidth="1"/>
    <col min="5867" max="5872" width="10.125" style="2995" customWidth="1"/>
    <col min="5873" max="5873" width="11.5" style="2995" customWidth="1"/>
    <col min="5874" max="5878" width="12" style="2995" customWidth="1"/>
    <col min="5879" max="5879" width="10.625" style="2995" customWidth="1"/>
    <col min="5880" max="5880" width="11" style="2995" bestFit="1" customWidth="1"/>
    <col min="5881" max="5881" width="9.875" style="2995" bestFit="1" customWidth="1"/>
    <col min="5882" max="5882" width="9" style="2995"/>
    <col min="5883" max="5883" width="10.125" style="2995" customWidth="1"/>
    <col min="5884" max="5884" width="9" style="2995"/>
    <col min="5885" max="5885" width="9.875" style="2995" bestFit="1" customWidth="1"/>
    <col min="5886" max="5887" width="9" style="2995"/>
    <col min="5888" max="5888" width="10.75" style="2995" customWidth="1"/>
    <col min="5889" max="5889" width="9.875" style="2995" bestFit="1" customWidth="1"/>
    <col min="5890" max="5891" width="9" style="2995"/>
    <col min="5892" max="5892" width="9.875" style="2995" customWidth="1"/>
    <col min="5893" max="5895" width="9" style="2995"/>
    <col min="5896" max="5896" width="10.25" style="2995" customWidth="1"/>
    <col min="5897" max="5897" width="11" style="2995" bestFit="1" customWidth="1"/>
    <col min="5898" max="6070" width="9" style="2995"/>
    <col min="6071" max="6071" width="4" style="2995" customWidth="1"/>
    <col min="6072" max="6073" width="8" style="2995" customWidth="1"/>
    <col min="6074" max="6074" width="12.875" style="2995" customWidth="1"/>
    <col min="6075" max="6075" width="30.125" style="2995" customWidth="1"/>
    <col min="6076" max="6076" width="9.375" style="2995" customWidth="1"/>
    <col min="6077" max="6077" width="8.5" style="2995" customWidth="1"/>
    <col min="6078" max="6078" width="8" style="2995" customWidth="1"/>
    <col min="6079" max="6079" width="7.5" style="2995" customWidth="1"/>
    <col min="6080" max="6080" width="10.5" style="2995" customWidth="1"/>
    <col min="6081" max="6081" width="11.5" style="2995" customWidth="1"/>
    <col min="6082" max="6082" width="12.25" style="2995" customWidth="1"/>
    <col min="6083" max="6083" width="12.375" style="2995" customWidth="1"/>
    <col min="6084" max="6084" width="12.5" style="2995" customWidth="1"/>
    <col min="6085" max="6085" width="12.25" style="2995" customWidth="1"/>
    <col min="6086" max="6086" width="13.5" style="2995" customWidth="1"/>
    <col min="6087" max="6087" width="12.125" style="2995" customWidth="1"/>
    <col min="6088" max="6088" width="15.75" style="2995" customWidth="1"/>
    <col min="6089" max="6116" width="0" style="2995" hidden="1" customWidth="1"/>
    <col min="6117" max="6117" width="12.5" style="2995" customWidth="1"/>
    <col min="6118" max="6118" width="10" style="2995" customWidth="1"/>
    <col min="6119" max="6119" width="10.5" style="2995" customWidth="1"/>
    <col min="6120" max="6120" width="11.625" style="2995" customWidth="1"/>
    <col min="6121" max="6121" width="11.25" style="2995" customWidth="1"/>
    <col min="6122" max="6122" width="10" style="2995" customWidth="1"/>
    <col min="6123" max="6128" width="10.125" style="2995" customWidth="1"/>
    <col min="6129" max="6129" width="11.5" style="2995" customWidth="1"/>
    <col min="6130" max="6134" width="12" style="2995" customWidth="1"/>
    <col min="6135" max="6135" width="10.625" style="2995" customWidth="1"/>
    <col min="6136" max="6136" width="11" style="2995" bestFit="1" customWidth="1"/>
    <col min="6137" max="6137" width="9.875" style="2995" bestFit="1" customWidth="1"/>
    <col min="6138" max="6138" width="9" style="2995"/>
    <col min="6139" max="6139" width="10.125" style="2995" customWidth="1"/>
    <col min="6140" max="6140" width="9" style="2995"/>
    <col min="6141" max="6141" width="9.875" style="2995" bestFit="1" customWidth="1"/>
    <col min="6142" max="6143" width="9" style="2995"/>
    <col min="6144" max="6144" width="10.75" style="2995" customWidth="1"/>
    <col min="6145" max="6145" width="9.875" style="2995" bestFit="1" customWidth="1"/>
    <col min="6146" max="6147" width="9" style="2995"/>
    <col min="6148" max="6148" width="9.875" style="2995" customWidth="1"/>
    <col min="6149" max="6151" width="9" style="2995"/>
    <col min="6152" max="6152" width="10.25" style="2995" customWidth="1"/>
    <col min="6153" max="6153" width="11" style="2995" bestFit="1" customWidth="1"/>
    <col min="6154" max="6326" width="9" style="2995"/>
    <col min="6327" max="6327" width="4" style="2995" customWidth="1"/>
    <col min="6328" max="6329" width="8" style="2995" customWidth="1"/>
    <col min="6330" max="6330" width="12.875" style="2995" customWidth="1"/>
    <col min="6331" max="6331" width="30.125" style="2995" customWidth="1"/>
    <col min="6332" max="6332" width="9.375" style="2995" customWidth="1"/>
    <col min="6333" max="6333" width="8.5" style="2995" customWidth="1"/>
    <col min="6334" max="6334" width="8" style="2995" customWidth="1"/>
    <col min="6335" max="6335" width="7.5" style="2995" customWidth="1"/>
    <col min="6336" max="6336" width="10.5" style="2995" customWidth="1"/>
    <col min="6337" max="6337" width="11.5" style="2995" customWidth="1"/>
    <col min="6338" max="6338" width="12.25" style="2995" customWidth="1"/>
    <col min="6339" max="6339" width="12.375" style="2995" customWidth="1"/>
    <col min="6340" max="6340" width="12.5" style="2995" customWidth="1"/>
    <col min="6341" max="6341" width="12.25" style="2995" customWidth="1"/>
    <col min="6342" max="6342" width="13.5" style="2995" customWidth="1"/>
    <col min="6343" max="6343" width="12.125" style="2995" customWidth="1"/>
    <col min="6344" max="6344" width="15.75" style="2995" customWidth="1"/>
    <col min="6345" max="6372" width="0" style="2995" hidden="1" customWidth="1"/>
    <col min="6373" max="6373" width="12.5" style="2995" customWidth="1"/>
    <col min="6374" max="6374" width="10" style="2995" customWidth="1"/>
    <col min="6375" max="6375" width="10.5" style="2995" customWidth="1"/>
    <col min="6376" max="6376" width="11.625" style="2995" customWidth="1"/>
    <col min="6377" max="6377" width="11.25" style="2995" customWidth="1"/>
    <col min="6378" max="6378" width="10" style="2995" customWidth="1"/>
    <col min="6379" max="6384" width="10.125" style="2995" customWidth="1"/>
    <col min="6385" max="6385" width="11.5" style="2995" customWidth="1"/>
    <col min="6386" max="6390" width="12" style="2995" customWidth="1"/>
    <col min="6391" max="6391" width="10.625" style="2995" customWidth="1"/>
    <col min="6392" max="6392" width="11" style="2995" bestFit="1" customWidth="1"/>
    <col min="6393" max="6393" width="9.875" style="2995" bestFit="1" customWidth="1"/>
    <col min="6394" max="6394" width="9" style="2995"/>
    <col min="6395" max="6395" width="10.125" style="2995" customWidth="1"/>
    <col min="6396" max="6396" width="9" style="2995"/>
    <col min="6397" max="6397" width="9.875" style="2995" bestFit="1" customWidth="1"/>
    <col min="6398" max="6399" width="9" style="2995"/>
    <col min="6400" max="6400" width="10.75" style="2995" customWidth="1"/>
    <col min="6401" max="6401" width="9.875" style="2995" bestFit="1" customWidth="1"/>
    <col min="6402" max="6403" width="9" style="2995"/>
    <col min="6404" max="6404" width="9.875" style="2995" customWidth="1"/>
    <col min="6405" max="6407" width="9" style="2995"/>
    <col min="6408" max="6408" width="10.25" style="2995" customWidth="1"/>
    <col min="6409" max="6409" width="11" style="2995" bestFit="1" customWidth="1"/>
    <col min="6410" max="6582" width="9" style="2995"/>
    <col min="6583" max="6583" width="4" style="2995" customWidth="1"/>
    <col min="6584" max="6585" width="8" style="2995" customWidth="1"/>
    <col min="6586" max="6586" width="12.875" style="2995" customWidth="1"/>
    <col min="6587" max="6587" width="30.125" style="2995" customWidth="1"/>
    <col min="6588" max="6588" width="9.375" style="2995" customWidth="1"/>
    <col min="6589" max="6589" width="8.5" style="2995" customWidth="1"/>
    <col min="6590" max="6590" width="8" style="2995" customWidth="1"/>
    <col min="6591" max="6591" width="7.5" style="2995" customWidth="1"/>
    <col min="6592" max="6592" width="10.5" style="2995" customWidth="1"/>
    <col min="6593" max="6593" width="11.5" style="2995" customWidth="1"/>
    <col min="6594" max="6594" width="12.25" style="2995" customWidth="1"/>
    <col min="6595" max="6595" width="12.375" style="2995" customWidth="1"/>
    <col min="6596" max="6596" width="12.5" style="2995" customWidth="1"/>
    <col min="6597" max="6597" width="12.25" style="2995" customWidth="1"/>
    <col min="6598" max="6598" width="13.5" style="2995" customWidth="1"/>
    <col min="6599" max="6599" width="12.125" style="2995" customWidth="1"/>
    <col min="6600" max="6600" width="15.75" style="2995" customWidth="1"/>
    <col min="6601" max="6628" width="0" style="2995" hidden="1" customWidth="1"/>
    <col min="6629" max="6629" width="12.5" style="2995" customWidth="1"/>
    <col min="6630" max="6630" width="10" style="2995" customWidth="1"/>
    <col min="6631" max="6631" width="10.5" style="2995" customWidth="1"/>
    <col min="6632" max="6632" width="11.625" style="2995" customWidth="1"/>
    <col min="6633" max="6633" width="11.25" style="2995" customWidth="1"/>
    <col min="6634" max="6634" width="10" style="2995" customWidth="1"/>
    <col min="6635" max="6640" width="10.125" style="2995" customWidth="1"/>
    <col min="6641" max="6641" width="11.5" style="2995" customWidth="1"/>
    <col min="6642" max="6646" width="12" style="2995" customWidth="1"/>
    <col min="6647" max="6647" width="10.625" style="2995" customWidth="1"/>
    <col min="6648" max="6648" width="11" style="2995" bestFit="1" customWidth="1"/>
    <col min="6649" max="6649" width="9.875" style="2995" bestFit="1" customWidth="1"/>
    <col min="6650" max="6650" width="9" style="2995"/>
    <col min="6651" max="6651" width="10.125" style="2995" customWidth="1"/>
    <col min="6652" max="6652" width="9" style="2995"/>
    <col min="6653" max="6653" width="9.875" style="2995" bestFit="1" customWidth="1"/>
    <col min="6654" max="6655" width="9" style="2995"/>
    <col min="6656" max="6656" width="10.75" style="2995" customWidth="1"/>
    <col min="6657" max="6657" width="9.875" style="2995" bestFit="1" customWidth="1"/>
    <col min="6658" max="6659" width="9" style="2995"/>
    <col min="6660" max="6660" width="9.875" style="2995" customWidth="1"/>
    <col min="6661" max="6663" width="9" style="2995"/>
    <col min="6664" max="6664" width="10.25" style="2995" customWidth="1"/>
    <col min="6665" max="6665" width="11" style="2995" bestFit="1" customWidth="1"/>
    <col min="6666" max="6838" width="9" style="2995"/>
    <col min="6839" max="6839" width="4" style="2995" customWidth="1"/>
    <col min="6840" max="6841" width="8" style="2995" customWidth="1"/>
    <col min="6842" max="6842" width="12.875" style="2995" customWidth="1"/>
    <col min="6843" max="6843" width="30.125" style="2995" customWidth="1"/>
    <col min="6844" max="6844" width="9.375" style="2995" customWidth="1"/>
    <col min="6845" max="6845" width="8.5" style="2995" customWidth="1"/>
    <col min="6846" max="6846" width="8" style="2995" customWidth="1"/>
    <col min="6847" max="6847" width="7.5" style="2995" customWidth="1"/>
    <col min="6848" max="6848" width="10.5" style="2995" customWidth="1"/>
    <col min="6849" max="6849" width="11.5" style="2995" customWidth="1"/>
    <col min="6850" max="6850" width="12.25" style="2995" customWidth="1"/>
    <col min="6851" max="6851" width="12.375" style="2995" customWidth="1"/>
    <col min="6852" max="6852" width="12.5" style="2995" customWidth="1"/>
    <col min="6853" max="6853" width="12.25" style="2995" customWidth="1"/>
    <col min="6854" max="6854" width="13.5" style="2995" customWidth="1"/>
    <col min="6855" max="6855" width="12.125" style="2995" customWidth="1"/>
    <col min="6856" max="6856" width="15.75" style="2995" customWidth="1"/>
    <col min="6857" max="6884" width="0" style="2995" hidden="1" customWidth="1"/>
    <col min="6885" max="6885" width="12.5" style="2995" customWidth="1"/>
    <col min="6886" max="6886" width="10" style="2995" customWidth="1"/>
    <col min="6887" max="6887" width="10.5" style="2995" customWidth="1"/>
    <col min="6888" max="6888" width="11.625" style="2995" customWidth="1"/>
    <col min="6889" max="6889" width="11.25" style="2995" customWidth="1"/>
    <col min="6890" max="6890" width="10" style="2995" customWidth="1"/>
    <col min="6891" max="6896" width="10.125" style="2995" customWidth="1"/>
    <col min="6897" max="6897" width="11.5" style="2995" customWidth="1"/>
    <col min="6898" max="6902" width="12" style="2995" customWidth="1"/>
    <col min="6903" max="6903" width="10.625" style="2995" customWidth="1"/>
    <col min="6904" max="6904" width="11" style="2995" bestFit="1" customWidth="1"/>
    <col min="6905" max="6905" width="9.875" style="2995" bestFit="1" customWidth="1"/>
    <col min="6906" max="6906" width="9" style="2995"/>
    <col min="6907" max="6907" width="10.125" style="2995" customWidth="1"/>
    <col min="6908" max="6908" width="9" style="2995"/>
    <col min="6909" max="6909" width="9.875" style="2995" bestFit="1" customWidth="1"/>
    <col min="6910" max="6911" width="9" style="2995"/>
    <col min="6912" max="6912" width="10.75" style="2995" customWidth="1"/>
    <col min="6913" max="6913" width="9.875" style="2995" bestFit="1" customWidth="1"/>
    <col min="6914" max="6915" width="9" style="2995"/>
    <col min="6916" max="6916" width="9.875" style="2995" customWidth="1"/>
    <col min="6917" max="6919" width="9" style="2995"/>
    <col min="6920" max="6920" width="10.25" style="2995" customWidth="1"/>
    <col min="6921" max="6921" width="11" style="2995" bestFit="1" customWidth="1"/>
    <col min="6922" max="7094" width="9" style="2995"/>
    <col min="7095" max="7095" width="4" style="2995" customWidth="1"/>
    <col min="7096" max="7097" width="8" style="2995" customWidth="1"/>
    <col min="7098" max="7098" width="12.875" style="2995" customWidth="1"/>
    <col min="7099" max="7099" width="30.125" style="2995" customWidth="1"/>
    <col min="7100" max="7100" width="9.375" style="2995" customWidth="1"/>
    <col min="7101" max="7101" width="8.5" style="2995" customWidth="1"/>
    <col min="7102" max="7102" width="8" style="2995" customWidth="1"/>
    <col min="7103" max="7103" width="7.5" style="2995" customWidth="1"/>
    <col min="7104" max="7104" width="10.5" style="2995" customWidth="1"/>
    <col min="7105" max="7105" width="11.5" style="2995" customWidth="1"/>
    <col min="7106" max="7106" width="12.25" style="2995" customWidth="1"/>
    <col min="7107" max="7107" width="12.375" style="2995" customWidth="1"/>
    <col min="7108" max="7108" width="12.5" style="2995" customWidth="1"/>
    <col min="7109" max="7109" width="12.25" style="2995" customWidth="1"/>
    <col min="7110" max="7110" width="13.5" style="2995" customWidth="1"/>
    <col min="7111" max="7111" width="12.125" style="2995" customWidth="1"/>
    <col min="7112" max="7112" width="15.75" style="2995" customWidth="1"/>
    <col min="7113" max="7140" width="0" style="2995" hidden="1" customWidth="1"/>
    <col min="7141" max="7141" width="12.5" style="2995" customWidth="1"/>
    <col min="7142" max="7142" width="10" style="2995" customWidth="1"/>
    <col min="7143" max="7143" width="10.5" style="2995" customWidth="1"/>
    <col min="7144" max="7144" width="11.625" style="2995" customWidth="1"/>
    <col min="7145" max="7145" width="11.25" style="2995" customWidth="1"/>
    <col min="7146" max="7146" width="10" style="2995" customWidth="1"/>
    <col min="7147" max="7152" width="10.125" style="2995" customWidth="1"/>
    <col min="7153" max="7153" width="11.5" style="2995" customWidth="1"/>
    <col min="7154" max="7158" width="12" style="2995" customWidth="1"/>
    <col min="7159" max="7159" width="10.625" style="2995" customWidth="1"/>
    <col min="7160" max="7160" width="11" style="2995" bestFit="1" customWidth="1"/>
    <col min="7161" max="7161" width="9.875" style="2995" bestFit="1" customWidth="1"/>
    <col min="7162" max="7162" width="9" style="2995"/>
    <col min="7163" max="7163" width="10.125" style="2995" customWidth="1"/>
    <col min="7164" max="7164" width="9" style="2995"/>
    <col min="7165" max="7165" width="9.875" style="2995" bestFit="1" customWidth="1"/>
    <col min="7166" max="7167" width="9" style="2995"/>
    <col min="7168" max="7168" width="10.75" style="2995" customWidth="1"/>
    <col min="7169" max="7169" width="9.875" style="2995" bestFit="1" customWidth="1"/>
    <col min="7170" max="7171" width="9" style="2995"/>
    <col min="7172" max="7172" width="9.875" style="2995" customWidth="1"/>
    <col min="7173" max="7175" width="9" style="2995"/>
    <col min="7176" max="7176" width="10.25" style="2995" customWidth="1"/>
    <col min="7177" max="7177" width="11" style="2995" bestFit="1" customWidth="1"/>
    <col min="7178" max="7350" width="9" style="2995"/>
    <col min="7351" max="7351" width="4" style="2995" customWidth="1"/>
    <col min="7352" max="7353" width="8" style="2995" customWidth="1"/>
    <col min="7354" max="7354" width="12.875" style="2995" customWidth="1"/>
    <col min="7355" max="7355" width="30.125" style="2995" customWidth="1"/>
    <col min="7356" max="7356" width="9.375" style="2995" customWidth="1"/>
    <col min="7357" max="7357" width="8.5" style="2995" customWidth="1"/>
    <col min="7358" max="7358" width="8" style="2995" customWidth="1"/>
    <col min="7359" max="7359" width="7.5" style="2995" customWidth="1"/>
    <col min="7360" max="7360" width="10.5" style="2995" customWidth="1"/>
    <col min="7361" max="7361" width="11.5" style="2995" customWidth="1"/>
    <col min="7362" max="7362" width="12.25" style="2995" customWidth="1"/>
    <col min="7363" max="7363" width="12.375" style="2995" customWidth="1"/>
    <col min="7364" max="7364" width="12.5" style="2995" customWidth="1"/>
    <col min="7365" max="7365" width="12.25" style="2995" customWidth="1"/>
    <col min="7366" max="7366" width="13.5" style="2995" customWidth="1"/>
    <col min="7367" max="7367" width="12.125" style="2995" customWidth="1"/>
    <col min="7368" max="7368" width="15.75" style="2995" customWidth="1"/>
    <col min="7369" max="7396" width="0" style="2995" hidden="1" customWidth="1"/>
    <col min="7397" max="7397" width="12.5" style="2995" customWidth="1"/>
    <col min="7398" max="7398" width="10" style="2995" customWidth="1"/>
    <col min="7399" max="7399" width="10.5" style="2995" customWidth="1"/>
    <col min="7400" max="7400" width="11.625" style="2995" customWidth="1"/>
    <col min="7401" max="7401" width="11.25" style="2995" customWidth="1"/>
    <col min="7402" max="7402" width="10" style="2995" customWidth="1"/>
    <col min="7403" max="7408" width="10.125" style="2995" customWidth="1"/>
    <col min="7409" max="7409" width="11.5" style="2995" customWidth="1"/>
    <col min="7410" max="7414" width="12" style="2995" customWidth="1"/>
    <col min="7415" max="7415" width="10.625" style="2995" customWidth="1"/>
    <col min="7416" max="7416" width="11" style="2995" bestFit="1" customWidth="1"/>
    <col min="7417" max="7417" width="9.875" style="2995" bestFit="1" customWidth="1"/>
    <col min="7418" max="7418" width="9" style="2995"/>
    <col min="7419" max="7419" width="10.125" style="2995" customWidth="1"/>
    <col min="7420" max="7420" width="9" style="2995"/>
    <col min="7421" max="7421" width="9.875" style="2995" bestFit="1" customWidth="1"/>
    <col min="7422" max="7423" width="9" style="2995"/>
    <col min="7424" max="7424" width="10.75" style="2995" customWidth="1"/>
    <col min="7425" max="7425" width="9.875" style="2995" bestFit="1" customWidth="1"/>
    <col min="7426" max="7427" width="9" style="2995"/>
    <col min="7428" max="7428" width="9.875" style="2995" customWidth="1"/>
    <col min="7429" max="7431" width="9" style="2995"/>
    <col min="7432" max="7432" width="10.25" style="2995" customWidth="1"/>
    <col min="7433" max="7433" width="11" style="2995" bestFit="1" customWidth="1"/>
    <col min="7434" max="7606" width="9" style="2995"/>
    <col min="7607" max="7607" width="4" style="2995" customWidth="1"/>
    <col min="7608" max="7609" width="8" style="2995" customWidth="1"/>
    <col min="7610" max="7610" width="12.875" style="2995" customWidth="1"/>
    <col min="7611" max="7611" width="30.125" style="2995" customWidth="1"/>
    <col min="7612" max="7612" width="9.375" style="2995" customWidth="1"/>
    <col min="7613" max="7613" width="8.5" style="2995" customWidth="1"/>
    <col min="7614" max="7614" width="8" style="2995" customWidth="1"/>
    <col min="7615" max="7615" width="7.5" style="2995" customWidth="1"/>
    <col min="7616" max="7616" width="10.5" style="2995" customWidth="1"/>
    <col min="7617" max="7617" width="11.5" style="2995" customWidth="1"/>
    <col min="7618" max="7618" width="12.25" style="2995" customWidth="1"/>
    <col min="7619" max="7619" width="12.375" style="2995" customWidth="1"/>
    <col min="7620" max="7620" width="12.5" style="2995" customWidth="1"/>
    <col min="7621" max="7621" width="12.25" style="2995" customWidth="1"/>
    <col min="7622" max="7622" width="13.5" style="2995" customWidth="1"/>
    <col min="7623" max="7623" width="12.125" style="2995" customWidth="1"/>
    <col min="7624" max="7624" width="15.75" style="2995" customWidth="1"/>
    <col min="7625" max="7652" width="0" style="2995" hidden="1" customWidth="1"/>
    <col min="7653" max="7653" width="12.5" style="2995" customWidth="1"/>
    <col min="7654" max="7654" width="10" style="2995" customWidth="1"/>
    <col min="7655" max="7655" width="10.5" style="2995" customWidth="1"/>
    <col min="7656" max="7656" width="11.625" style="2995" customWidth="1"/>
    <col min="7657" max="7657" width="11.25" style="2995" customWidth="1"/>
    <col min="7658" max="7658" width="10" style="2995" customWidth="1"/>
    <col min="7659" max="7664" width="10.125" style="2995" customWidth="1"/>
    <col min="7665" max="7665" width="11.5" style="2995" customWidth="1"/>
    <col min="7666" max="7670" width="12" style="2995" customWidth="1"/>
    <col min="7671" max="7671" width="10.625" style="2995" customWidth="1"/>
    <col min="7672" max="7672" width="11" style="2995" bestFit="1" customWidth="1"/>
    <col min="7673" max="7673" width="9.875" style="2995" bestFit="1" customWidth="1"/>
    <col min="7674" max="7674" width="9" style="2995"/>
    <col min="7675" max="7675" width="10.125" style="2995" customWidth="1"/>
    <col min="7676" max="7676" width="9" style="2995"/>
    <col min="7677" max="7677" width="9.875" style="2995" bestFit="1" customWidth="1"/>
    <col min="7678" max="7679" width="9" style="2995"/>
    <col min="7680" max="7680" width="10.75" style="2995" customWidth="1"/>
    <col min="7681" max="7681" width="9.875" style="2995" bestFit="1" customWidth="1"/>
    <col min="7682" max="7683" width="9" style="2995"/>
    <col min="7684" max="7684" width="9.875" style="2995" customWidth="1"/>
    <col min="7685" max="7687" width="9" style="2995"/>
    <col min="7688" max="7688" width="10.25" style="2995" customWidth="1"/>
    <col min="7689" max="7689" width="11" style="2995" bestFit="1" customWidth="1"/>
    <col min="7690" max="7862" width="9" style="2995"/>
    <col min="7863" max="7863" width="4" style="2995" customWidth="1"/>
    <col min="7864" max="7865" width="8" style="2995" customWidth="1"/>
    <col min="7866" max="7866" width="12.875" style="2995" customWidth="1"/>
    <col min="7867" max="7867" width="30.125" style="2995" customWidth="1"/>
    <col min="7868" max="7868" width="9.375" style="2995" customWidth="1"/>
    <col min="7869" max="7869" width="8.5" style="2995" customWidth="1"/>
    <col min="7870" max="7870" width="8" style="2995" customWidth="1"/>
    <col min="7871" max="7871" width="7.5" style="2995" customWidth="1"/>
    <col min="7872" max="7872" width="10.5" style="2995" customWidth="1"/>
    <col min="7873" max="7873" width="11.5" style="2995" customWidth="1"/>
    <col min="7874" max="7874" width="12.25" style="2995" customWidth="1"/>
    <col min="7875" max="7875" width="12.375" style="2995" customWidth="1"/>
    <col min="7876" max="7876" width="12.5" style="2995" customWidth="1"/>
    <col min="7877" max="7877" width="12.25" style="2995" customWidth="1"/>
    <col min="7878" max="7878" width="13.5" style="2995" customWidth="1"/>
    <col min="7879" max="7879" width="12.125" style="2995" customWidth="1"/>
    <col min="7880" max="7880" width="15.75" style="2995" customWidth="1"/>
    <col min="7881" max="7908" width="0" style="2995" hidden="1" customWidth="1"/>
    <col min="7909" max="7909" width="12.5" style="2995" customWidth="1"/>
    <col min="7910" max="7910" width="10" style="2995" customWidth="1"/>
    <col min="7911" max="7911" width="10.5" style="2995" customWidth="1"/>
    <col min="7912" max="7912" width="11.625" style="2995" customWidth="1"/>
    <col min="7913" max="7913" width="11.25" style="2995" customWidth="1"/>
    <col min="7914" max="7914" width="10" style="2995" customWidth="1"/>
    <col min="7915" max="7920" width="10.125" style="2995" customWidth="1"/>
    <col min="7921" max="7921" width="11.5" style="2995" customWidth="1"/>
    <col min="7922" max="7926" width="12" style="2995" customWidth="1"/>
    <col min="7927" max="7927" width="10.625" style="2995" customWidth="1"/>
    <col min="7928" max="7928" width="11" style="2995" bestFit="1" customWidth="1"/>
    <col min="7929" max="7929" width="9.875" style="2995" bestFit="1" customWidth="1"/>
    <col min="7930" max="7930" width="9" style="2995"/>
    <col min="7931" max="7931" width="10.125" style="2995" customWidth="1"/>
    <col min="7932" max="7932" width="9" style="2995"/>
    <col min="7933" max="7933" width="9.875" style="2995" bestFit="1" customWidth="1"/>
    <col min="7934" max="7935" width="9" style="2995"/>
    <col min="7936" max="7936" width="10.75" style="2995" customWidth="1"/>
    <col min="7937" max="7937" width="9.875" style="2995" bestFit="1" customWidth="1"/>
    <col min="7938" max="7939" width="9" style="2995"/>
    <col min="7940" max="7940" width="9.875" style="2995" customWidth="1"/>
    <col min="7941" max="7943" width="9" style="2995"/>
    <col min="7944" max="7944" width="10.25" style="2995" customWidth="1"/>
    <col min="7945" max="7945" width="11" style="2995" bestFit="1" customWidth="1"/>
    <col min="7946" max="8118" width="9" style="2995"/>
    <col min="8119" max="8119" width="4" style="2995" customWidth="1"/>
    <col min="8120" max="8121" width="8" style="2995" customWidth="1"/>
    <col min="8122" max="8122" width="12.875" style="2995" customWidth="1"/>
    <col min="8123" max="8123" width="30.125" style="2995" customWidth="1"/>
    <col min="8124" max="8124" width="9.375" style="2995" customWidth="1"/>
    <col min="8125" max="8125" width="8.5" style="2995" customWidth="1"/>
    <col min="8126" max="8126" width="8" style="2995" customWidth="1"/>
    <col min="8127" max="8127" width="7.5" style="2995" customWidth="1"/>
    <col min="8128" max="8128" width="10.5" style="2995" customWidth="1"/>
    <col min="8129" max="8129" width="11.5" style="2995" customWidth="1"/>
    <col min="8130" max="8130" width="12.25" style="2995" customWidth="1"/>
    <col min="8131" max="8131" width="12.375" style="2995" customWidth="1"/>
    <col min="8132" max="8132" width="12.5" style="2995" customWidth="1"/>
    <col min="8133" max="8133" width="12.25" style="2995" customWidth="1"/>
    <col min="8134" max="8134" width="13.5" style="2995" customWidth="1"/>
    <col min="8135" max="8135" width="12.125" style="2995" customWidth="1"/>
    <col min="8136" max="8136" width="15.75" style="2995" customWidth="1"/>
    <col min="8137" max="8164" width="0" style="2995" hidden="1" customWidth="1"/>
    <col min="8165" max="8165" width="12.5" style="2995" customWidth="1"/>
    <col min="8166" max="8166" width="10" style="2995" customWidth="1"/>
    <col min="8167" max="8167" width="10.5" style="2995" customWidth="1"/>
    <col min="8168" max="8168" width="11.625" style="2995" customWidth="1"/>
    <col min="8169" max="8169" width="11.25" style="2995" customWidth="1"/>
    <col min="8170" max="8170" width="10" style="2995" customWidth="1"/>
    <col min="8171" max="8176" width="10.125" style="2995" customWidth="1"/>
    <col min="8177" max="8177" width="11.5" style="2995" customWidth="1"/>
    <col min="8178" max="8182" width="12" style="2995" customWidth="1"/>
    <col min="8183" max="8183" width="10.625" style="2995" customWidth="1"/>
    <col min="8184" max="8184" width="11" style="2995" bestFit="1" customWidth="1"/>
    <col min="8185" max="8185" width="9.875" style="2995" bestFit="1" customWidth="1"/>
    <col min="8186" max="8186" width="9" style="2995"/>
    <col min="8187" max="8187" width="10.125" style="2995" customWidth="1"/>
    <col min="8188" max="8188" width="9" style="2995"/>
    <col min="8189" max="8189" width="9.875" style="2995" bestFit="1" customWidth="1"/>
    <col min="8190" max="8191" width="9" style="2995"/>
    <col min="8192" max="8192" width="10.75" style="2995" customWidth="1"/>
    <col min="8193" max="8193" width="9.875" style="2995" bestFit="1" customWidth="1"/>
    <col min="8194" max="8195" width="9" style="2995"/>
    <col min="8196" max="8196" width="9.875" style="2995" customWidth="1"/>
    <col min="8197" max="8199" width="9" style="2995"/>
    <col min="8200" max="8200" width="10.25" style="2995" customWidth="1"/>
    <col min="8201" max="8201" width="11" style="2995" bestFit="1" customWidth="1"/>
    <col min="8202" max="8374" width="9" style="2995"/>
    <col min="8375" max="8375" width="4" style="2995" customWidth="1"/>
    <col min="8376" max="8377" width="8" style="2995" customWidth="1"/>
    <col min="8378" max="8378" width="12.875" style="2995" customWidth="1"/>
    <col min="8379" max="8379" width="30.125" style="2995" customWidth="1"/>
    <col min="8380" max="8380" width="9.375" style="2995" customWidth="1"/>
    <col min="8381" max="8381" width="8.5" style="2995" customWidth="1"/>
    <col min="8382" max="8382" width="8" style="2995" customWidth="1"/>
    <col min="8383" max="8383" width="7.5" style="2995" customWidth="1"/>
    <col min="8384" max="8384" width="10.5" style="2995" customWidth="1"/>
    <col min="8385" max="8385" width="11.5" style="2995" customWidth="1"/>
    <col min="8386" max="8386" width="12.25" style="2995" customWidth="1"/>
    <col min="8387" max="8387" width="12.375" style="2995" customWidth="1"/>
    <col min="8388" max="8388" width="12.5" style="2995" customWidth="1"/>
    <col min="8389" max="8389" width="12.25" style="2995" customWidth="1"/>
    <col min="8390" max="8390" width="13.5" style="2995" customWidth="1"/>
    <col min="8391" max="8391" width="12.125" style="2995" customWidth="1"/>
    <col min="8392" max="8392" width="15.75" style="2995" customWidth="1"/>
    <col min="8393" max="8420" width="0" style="2995" hidden="1" customWidth="1"/>
    <col min="8421" max="8421" width="12.5" style="2995" customWidth="1"/>
    <col min="8422" max="8422" width="10" style="2995" customWidth="1"/>
    <col min="8423" max="8423" width="10.5" style="2995" customWidth="1"/>
    <col min="8424" max="8424" width="11.625" style="2995" customWidth="1"/>
    <col min="8425" max="8425" width="11.25" style="2995" customWidth="1"/>
    <col min="8426" max="8426" width="10" style="2995" customWidth="1"/>
    <col min="8427" max="8432" width="10.125" style="2995" customWidth="1"/>
    <col min="8433" max="8433" width="11.5" style="2995" customWidth="1"/>
    <col min="8434" max="8438" width="12" style="2995" customWidth="1"/>
    <col min="8439" max="8439" width="10.625" style="2995" customWidth="1"/>
    <col min="8440" max="8440" width="11" style="2995" bestFit="1" customWidth="1"/>
    <col min="8441" max="8441" width="9.875" style="2995" bestFit="1" customWidth="1"/>
    <col min="8442" max="8442" width="9" style="2995"/>
    <col min="8443" max="8443" width="10.125" style="2995" customWidth="1"/>
    <col min="8444" max="8444" width="9" style="2995"/>
    <col min="8445" max="8445" width="9.875" style="2995" bestFit="1" customWidth="1"/>
    <col min="8446" max="8447" width="9" style="2995"/>
    <col min="8448" max="8448" width="10.75" style="2995" customWidth="1"/>
    <col min="8449" max="8449" width="9.875" style="2995" bestFit="1" customWidth="1"/>
    <col min="8450" max="8451" width="9" style="2995"/>
    <col min="8452" max="8452" width="9.875" style="2995" customWidth="1"/>
    <col min="8453" max="8455" width="9" style="2995"/>
    <col min="8456" max="8456" width="10.25" style="2995" customWidth="1"/>
    <col min="8457" max="8457" width="11" style="2995" bestFit="1" customWidth="1"/>
    <col min="8458" max="8630" width="9" style="2995"/>
    <col min="8631" max="8631" width="4" style="2995" customWidth="1"/>
    <col min="8632" max="8633" width="8" style="2995" customWidth="1"/>
    <col min="8634" max="8634" width="12.875" style="2995" customWidth="1"/>
    <col min="8635" max="8635" width="30.125" style="2995" customWidth="1"/>
    <col min="8636" max="8636" width="9.375" style="2995" customWidth="1"/>
    <col min="8637" max="8637" width="8.5" style="2995" customWidth="1"/>
    <col min="8638" max="8638" width="8" style="2995" customWidth="1"/>
    <col min="8639" max="8639" width="7.5" style="2995" customWidth="1"/>
    <col min="8640" max="8640" width="10.5" style="2995" customWidth="1"/>
    <col min="8641" max="8641" width="11.5" style="2995" customWidth="1"/>
    <col min="8642" max="8642" width="12.25" style="2995" customWidth="1"/>
    <col min="8643" max="8643" width="12.375" style="2995" customWidth="1"/>
    <col min="8644" max="8644" width="12.5" style="2995" customWidth="1"/>
    <col min="8645" max="8645" width="12.25" style="2995" customWidth="1"/>
    <col min="8646" max="8646" width="13.5" style="2995" customWidth="1"/>
    <col min="8647" max="8647" width="12.125" style="2995" customWidth="1"/>
    <col min="8648" max="8648" width="15.75" style="2995" customWidth="1"/>
    <col min="8649" max="8676" width="0" style="2995" hidden="1" customWidth="1"/>
    <col min="8677" max="8677" width="12.5" style="2995" customWidth="1"/>
    <col min="8678" max="8678" width="10" style="2995" customWidth="1"/>
    <col min="8679" max="8679" width="10.5" style="2995" customWidth="1"/>
    <col min="8680" max="8680" width="11.625" style="2995" customWidth="1"/>
    <col min="8681" max="8681" width="11.25" style="2995" customWidth="1"/>
    <col min="8682" max="8682" width="10" style="2995" customWidth="1"/>
    <col min="8683" max="8688" width="10.125" style="2995" customWidth="1"/>
    <col min="8689" max="8689" width="11.5" style="2995" customWidth="1"/>
    <col min="8690" max="8694" width="12" style="2995" customWidth="1"/>
    <col min="8695" max="8695" width="10.625" style="2995" customWidth="1"/>
    <col min="8696" max="8696" width="11" style="2995" bestFit="1" customWidth="1"/>
    <col min="8697" max="8697" width="9.875" style="2995" bestFit="1" customWidth="1"/>
    <col min="8698" max="8698" width="9" style="2995"/>
    <col min="8699" max="8699" width="10.125" style="2995" customWidth="1"/>
    <col min="8700" max="8700" width="9" style="2995"/>
    <col min="8701" max="8701" width="9.875" style="2995" bestFit="1" customWidth="1"/>
    <col min="8702" max="8703" width="9" style="2995"/>
    <col min="8704" max="8704" width="10.75" style="2995" customWidth="1"/>
    <col min="8705" max="8705" width="9.875" style="2995" bestFit="1" customWidth="1"/>
    <col min="8706" max="8707" width="9" style="2995"/>
    <col min="8708" max="8708" width="9.875" style="2995" customWidth="1"/>
    <col min="8709" max="8711" width="9" style="2995"/>
    <col min="8712" max="8712" width="10.25" style="2995" customWidth="1"/>
    <col min="8713" max="8713" width="11" style="2995" bestFit="1" customWidth="1"/>
    <col min="8714" max="8886" width="9" style="2995"/>
    <col min="8887" max="8887" width="4" style="2995" customWidth="1"/>
    <col min="8888" max="8889" width="8" style="2995" customWidth="1"/>
    <col min="8890" max="8890" width="12.875" style="2995" customWidth="1"/>
    <col min="8891" max="8891" width="30.125" style="2995" customWidth="1"/>
    <col min="8892" max="8892" width="9.375" style="2995" customWidth="1"/>
    <col min="8893" max="8893" width="8.5" style="2995" customWidth="1"/>
    <col min="8894" max="8894" width="8" style="2995" customWidth="1"/>
    <col min="8895" max="8895" width="7.5" style="2995" customWidth="1"/>
    <col min="8896" max="8896" width="10.5" style="2995" customWidth="1"/>
    <col min="8897" max="8897" width="11.5" style="2995" customWidth="1"/>
    <col min="8898" max="8898" width="12.25" style="2995" customWidth="1"/>
    <col min="8899" max="8899" width="12.375" style="2995" customWidth="1"/>
    <col min="8900" max="8900" width="12.5" style="2995" customWidth="1"/>
    <col min="8901" max="8901" width="12.25" style="2995" customWidth="1"/>
    <col min="8902" max="8902" width="13.5" style="2995" customWidth="1"/>
    <col min="8903" max="8903" width="12.125" style="2995" customWidth="1"/>
    <col min="8904" max="8904" width="15.75" style="2995" customWidth="1"/>
    <col min="8905" max="8932" width="0" style="2995" hidden="1" customWidth="1"/>
    <col min="8933" max="8933" width="12.5" style="2995" customWidth="1"/>
    <col min="8934" max="8934" width="10" style="2995" customWidth="1"/>
    <col min="8935" max="8935" width="10.5" style="2995" customWidth="1"/>
    <col min="8936" max="8936" width="11.625" style="2995" customWidth="1"/>
    <col min="8937" max="8937" width="11.25" style="2995" customWidth="1"/>
    <col min="8938" max="8938" width="10" style="2995" customWidth="1"/>
    <col min="8939" max="8944" width="10.125" style="2995" customWidth="1"/>
    <col min="8945" max="8945" width="11.5" style="2995" customWidth="1"/>
    <col min="8946" max="8950" width="12" style="2995" customWidth="1"/>
    <col min="8951" max="8951" width="10.625" style="2995" customWidth="1"/>
    <col min="8952" max="8952" width="11" style="2995" bestFit="1" customWidth="1"/>
    <col min="8953" max="8953" width="9.875" style="2995" bestFit="1" customWidth="1"/>
    <col min="8954" max="8954" width="9" style="2995"/>
    <col min="8955" max="8955" width="10.125" style="2995" customWidth="1"/>
    <col min="8956" max="8956" width="9" style="2995"/>
    <col min="8957" max="8957" width="9.875" style="2995" bestFit="1" customWidth="1"/>
    <col min="8958" max="8959" width="9" style="2995"/>
    <col min="8960" max="8960" width="10.75" style="2995" customWidth="1"/>
    <col min="8961" max="8961" width="9.875" style="2995" bestFit="1" customWidth="1"/>
    <col min="8962" max="8963" width="9" style="2995"/>
    <col min="8964" max="8964" width="9.875" style="2995" customWidth="1"/>
    <col min="8965" max="8967" width="9" style="2995"/>
    <col min="8968" max="8968" width="10.25" style="2995" customWidth="1"/>
    <col min="8969" max="8969" width="11" style="2995" bestFit="1" customWidth="1"/>
    <col min="8970" max="9142" width="9" style="2995"/>
    <col min="9143" max="9143" width="4" style="2995" customWidth="1"/>
    <col min="9144" max="9145" width="8" style="2995" customWidth="1"/>
    <col min="9146" max="9146" width="12.875" style="2995" customWidth="1"/>
    <col min="9147" max="9147" width="30.125" style="2995" customWidth="1"/>
    <col min="9148" max="9148" width="9.375" style="2995" customWidth="1"/>
    <col min="9149" max="9149" width="8.5" style="2995" customWidth="1"/>
    <col min="9150" max="9150" width="8" style="2995" customWidth="1"/>
    <col min="9151" max="9151" width="7.5" style="2995" customWidth="1"/>
    <col min="9152" max="9152" width="10.5" style="2995" customWidth="1"/>
    <col min="9153" max="9153" width="11.5" style="2995" customWidth="1"/>
    <col min="9154" max="9154" width="12.25" style="2995" customWidth="1"/>
    <col min="9155" max="9155" width="12.375" style="2995" customWidth="1"/>
    <col min="9156" max="9156" width="12.5" style="2995" customWidth="1"/>
    <col min="9157" max="9157" width="12.25" style="2995" customWidth="1"/>
    <col min="9158" max="9158" width="13.5" style="2995" customWidth="1"/>
    <col min="9159" max="9159" width="12.125" style="2995" customWidth="1"/>
    <col min="9160" max="9160" width="15.75" style="2995" customWidth="1"/>
    <col min="9161" max="9188" width="0" style="2995" hidden="1" customWidth="1"/>
    <col min="9189" max="9189" width="12.5" style="2995" customWidth="1"/>
    <col min="9190" max="9190" width="10" style="2995" customWidth="1"/>
    <col min="9191" max="9191" width="10.5" style="2995" customWidth="1"/>
    <col min="9192" max="9192" width="11.625" style="2995" customWidth="1"/>
    <col min="9193" max="9193" width="11.25" style="2995" customWidth="1"/>
    <col min="9194" max="9194" width="10" style="2995" customWidth="1"/>
    <col min="9195" max="9200" width="10.125" style="2995" customWidth="1"/>
    <col min="9201" max="9201" width="11.5" style="2995" customWidth="1"/>
    <col min="9202" max="9206" width="12" style="2995" customWidth="1"/>
    <col min="9207" max="9207" width="10.625" style="2995" customWidth="1"/>
    <col min="9208" max="9208" width="11" style="2995" bestFit="1" customWidth="1"/>
    <col min="9209" max="9209" width="9.875" style="2995" bestFit="1" customWidth="1"/>
    <col min="9210" max="9210" width="9" style="2995"/>
    <col min="9211" max="9211" width="10.125" style="2995" customWidth="1"/>
    <col min="9212" max="9212" width="9" style="2995"/>
    <col min="9213" max="9213" width="9.875" style="2995" bestFit="1" customWidth="1"/>
    <col min="9214" max="9215" width="9" style="2995"/>
    <col min="9216" max="9216" width="10.75" style="2995" customWidth="1"/>
    <col min="9217" max="9217" width="9.875" style="2995" bestFit="1" customWidth="1"/>
    <col min="9218" max="9219" width="9" style="2995"/>
    <col min="9220" max="9220" width="9.875" style="2995" customWidth="1"/>
    <col min="9221" max="9223" width="9" style="2995"/>
    <col min="9224" max="9224" width="10.25" style="2995" customWidth="1"/>
    <col min="9225" max="9225" width="11" style="2995" bestFit="1" customWidth="1"/>
    <col min="9226" max="9398" width="9" style="2995"/>
    <col min="9399" max="9399" width="4" style="2995" customWidth="1"/>
    <col min="9400" max="9401" width="8" style="2995" customWidth="1"/>
    <col min="9402" max="9402" width="12.875" style="2995" customWidth="1"/>
    <col min="9403" max="9403" width="30.125" style="2995" customWidth="1"/>
    <col min="9404" max="9404" width="9.375" style="2995" customWidth="1"/>
    <col min="9405" max="9405" width="8.5" style="2995" customWidth="1"/>
    <col min="9406" max="9406" width="8" style="2995" customWidth="1"/>
    <col min="9407" max="9407" width="7.5" style="2995" customWidth="1"/>
    <col min="9408" max="9408" width="10.5" style="2995" customWidth="1"/>
    <col min="9409" max="9409" width="11.5" style="2995" customWidth="1"/>
    <col min="9410" max="9410" width="12.25" style="2995" customWidth="1"/>
    <col min="9411" max="9411" width="12.375" style="2995" customWidth="1"/>
    <col min="9412" max="9412" width="12.5" style="2995" customWidth="1"/>
    <col min="9413" max="9413" width="12.25" style="2995" customWidth="1"/>
    <col min="9414" max="9414" width="13.5" style="2995" customWidth="1"/>
    <col min="9415" max="9415" width="12.125" style="2995" customWidth="1"/>
    <col min="9416" max="9416" width="15.75" style="2995" customWidth="1"/>
    <col min="9417" max="9444" width="0" style="2995" hidden="1" customWidth="1"/>
    <col min="9445" max="9445" width="12.5" style="2995" customWidth="1"/>
    <col min="9446" max="9446" width="10" style="2995" customWidth="1"/>
    <col min="9447" max="9447" width="10.5" style="2995" customWidth="1"/>
    <col min="9448" max="9448" width="11.625" style="2995" customWidth="1"/>
    <col min="9449" max="9449" width="11.25" style="2995" customWidth="1"/>
    <col min="9450" max="9450" width="10" style="2995" customWidth="1"/>
    <col min="9451" max="9456" width="10.125" style="2995" customWidth="1"/>
    <col min="9457" max="9457" width="11.5" style="2995" customWidth="1"/>
    <col min="9458" max="9462" width="12" style="2995" customWidth="1"/>
    <col min="9463" max="9463" width="10.625" style="2995" customWidth="1"/>
    <col min="9464" max="9464" width="11" style="2995" bestFit="1" customWidth="1"/>
    <col min="9465" max="9465" width="9.875" style="2995" bestFit="1" customWidth="1"/>
    <col min="9466" max="9466" width="9" style="2995"/>
    <col min="9467" max="9467" width="10.125" style="2995" customWidth="1"/>
    <col min="9468" max="9468" width="9" style="2995"/>
    <col min="9469" max="9469" width="9.875" style="2995" bestFit="1" customWidth="1"/>
    <col min="9470" max="9471" width="9" style="2995"/>
    <col min="9472" max="9472" width="10.75" style="2995" customWidth="1"/>
    <col min="9473" max="9473" width="9.875" style="2995" bestFit="1" customWidth="1"/>
    <col min="9474" max="9475" width="9" style="2995"/>
    <col min="9476" max="9476" width="9.875" style="2995" customWidth="1"/>
    <col min="9477" max="9479" width="9" style="2995"/>
    <col min="9480" max="9480" width="10.25" style="2995" customWidth="1"/>
    <col min="9481" max="9481" width="11" style="2995" bestFit="1" customWidth="1"/>
    <col min="9482" max="9654" width="9" style="2995"/>
    <col min="9655" max="9655" width="4" style="2995" customWidth="1"/>
    <col min="9656" max="9657" width="8" style="2995" customWidth="1"/>
    <col min="9658" max="9658" width="12.875" style="2995" customWidth="1"/>
    <col min="9659" max="9659" width="30.125" style="2995" customWidth="1"/>
    <col min="9660" max="9660" width="9.375" style="2995" customWidth="1"/>
    <col min="9661" max="9661" width="8.5" style="2995" customWidth="1"/>
    <col min="9662" max="9662" width="8" style="2995" customWidth="1"/>
    <col min="9663" max="9663" width="7.5" style="2995" customWidth="1"/>
    <col min="9664" max="9664" width="10.5" style="2995" customWidth="1"/>
    <col min="9665" max="9665" width="11.5" style="2995" customWidth="1"/>
    <col min="9666" max="9666" width="12.25" style="2995" customWidth="1"/>
    <col min="9667" max="9667" width="12.375" style="2995" customWidth="1"/>
    <col min="9668" max="9668" width="12.5" style="2995" customWidth="1"/>
    <col min="9669" max="9669" width="12.25" style="2995" customWidth="1"/>
    <col min="9670" max="9670" width="13.5" style="2995" customWidth="1"/>
    <col min="9671" max="9671" width="12.125" style="2995" customWidth="1"/>
    <col min="9672" max="9672" width="15.75" style="2995" customWidth="1"/>
    <col min="9673" max="9700" width="0" style="2995" hidden="1" customWidth="1"/>
    <col min="9701" max="9701" width="12.5" style="2995" customWidth="1"/>
    <col min="9702" max="9702" width="10" style="2995" customWidth="1"/>
    <col min="9703" max="9703" width="10.5" style="2995" customWidth="1"/>
    <col min="9704" max="9704" width="11.625" style="2995" customWidth="1"/>
    <col min="9705" max="9705" width="11.25" style="2995" customWidth="1"/>
    <col min="9706" max="9706" width="10" style="2995" customWidth="1"/>
    <col min="9707" max="9712" width="10.125" style="2995" customWidth="1"/>
    <col min="9713" max="9713" width="11.5" style="2995" customWidth="1"/>
    <col min="9714" max="9718" width="12" style="2995" customWidth="1"/>
    <col min="9719" max="9719" width="10.625" style="2995" customWidth="1"/>
    <col min="9720" max="9720" width="11" style="2995" bestFit="1" customWidth="1"/>
    <col min="9721" max="9721" width="9.875" style="2995" bestFit="1" customWidth="1"/>
    <col min="9722" max="9722" width="9" style="2995"/>
    <col min="9723" max="9723" width="10.125" style="2995" customWidth="1"/>
    <col min="9724" max="9724" width="9" style="2995"/>
    <col min="9725" max="9725" width="9.875" style="2995" bestFit="1" customWidth="1"/>
    <col min="9726" max="9727" width="9" style="2995"/>
    <col min="9728" max="9728" width="10.75" style="2995" customWidth="1"/>
    <col min="9729" max="9729" width="9.875" style="2995" bestFit="1" customWidth="1"/>
    <col min="9730" max="9731" width="9" style="2995"/>
    <col min="9732" max="9732" width="9.875" style="2995" customWidth="1"/>
    <col min="9733" max="9735" width="9" style="2995"/>
    <col min="9736" max="9736" width="10.25" style="2995" customWidth="1"/>
    <col min="9737" max="9737" width="11" style="2995" bestFit="1" customWidth="1"/>
    <col min="9738" max="9910" width="9" style="2995"/>
    <col min="9911" max="9911" width="4" style="2995" customWidth="1"/>
    <col min="9912" max="9913" width="8" style="2995" customWidth="1"/>
    <col min="9914" max="9914" width="12.875" style="2995" customWidth="1"/>
    <col min="9915" max="9915" width="30.125" style="2995" customWidth="1"/>
    <col min="9916" max="9916" width="9.375" style="2995" customWidth="1"/>
    <col min="9917" max="9917" width="8.5" style="2995" customWidth="1"/>
    <col min="9918" max="9918" width="8" style="2995" customWidth="1"/>
    <col min="9919" max="9919" width="7.5" style="2995" customWidth="1"/>
    <col min="9920" max="9920" width="10.5" style="2995" customWidth="1"/>
    <col min="9921" max="9921" width="11.5" style="2995" customWidth="1"/>
    <col min="9922" max="9922" width="12.25" style="2995" customWidth="1"/>
    <col min="9923" max="9923" width="12.375" style="2995" customWidth="1"/>
    <col min="9924" max="9924" width="12.5" style="2995" customWidth="1"/>
    <col min="9925" max="9925" width="12.25" style="2995" customWidth="1"/>
    <col min="9926" max="9926" width="13.5" style="2995" customWidth="1"/>
    <col min="9927" max="9927" width="12.125" style="2995" customWidth="1"/>
    <col min="9928" max="9928" width="15.75" style="2995" customWidth="1"/>
    <col min="9929" max="9956" width="0" style="2995" hidden="1" customWidth="1"/>
    <col min="9957" max="9957" width="12.5" style="2995" customWidth="1"/>
    <col min="9958" max="9958" width="10" style="2995" customWidth="1"/>
    <col min="9959" max="9959" width="10.5" style="2995" customWidth="1"/>
    <col min="9960" max="9960" width="11.625" style="2995" customWidth="1"/>
    <col min="9961" max="9961" width="11.25" style="2995" customWidth="1"/>
    <col min="9962" max="9962" width="10" style="2995" customWidth="1"/>
    <col min="9963" max="9968" width="10.125" style="2995" customWidth="1"/>
    <col min="9969" max="9969" width="11.5" style="2995" customWidth="1"/>
    <col min="9970" max="9974" width="12" style="2995" customWidth="1"/>
    <col min="9975" max="9975" width="10.625" style="2995" customWidth="1"/>
    <col min="9976" max="9976" width="11" style="2995" bestFit="1" customWidth="1"/>
    <col min="9977" max="9977" width="9.875" style="2995" bestFit="1" customWidth="1"/>
    <col min="9978" max="9978" width="9" style="2995"/>
    <col min="9979" max="9979" width="10.125" style="2995" customWidth="1"/>
    <col min="9980" max="9980" width="9" style="2995"/>
    <col min="9981" max="9981" width="9.875" style="2995" bestFit="1" customWidth="1"/>
    <col min="9982" max="9983" width="9" style="2995"/>
    <col min="9984" max="9984" width="10.75" style="2995" customWidth="1"/>
    <col min="9985" max="9985" width="9.875" style="2995" bestFit="1" customWidth="1"/>
    <col min="9986" max="9987" width="9" style="2995"/>
    <col min="9988" max="9988" width="9.875" style="2995" customWidth="1"/>
    <col min="9989" max="9991" width="9" style="2995"/>
    <col min="9992" max="9992" width="10.25" style="2995" customWidth="1"/>
    <col min="9993" max="9993" width="11" style="2995" bestFit="1" customWidth="1"/>
    <col min="9994" max="10166" width="9" style="2995"/>
    <col min="10167" max="10167" width="4" style="2995" customWidth="1"/>
    <col min="10168" max="10169" width="8" style="2995" customWidth="1"/>
    <col min="10170" max="10170" width="12.875" style="2995" customWidth="1"/>
    <col min="10171" max="10171" width="30.125" style="2995" customWidth="1"/>
    <col min="10172" max="10172" width="9.375" style="2995" customWidth="1"/>
    <col min="10173" max="10173" width="8.5" style="2995" customWidth="1"/>
    <col min="10174" max="10174" width="8" style="2995" customWidth="1"/>
    <col min="10175" max="10175" width="7.5" style="2995" customWidth="1"/>
    <col min="10176" max="10176" width="10.5" style="2995" customWidth="1"/>
    <col min="10177" max="10177" width="11.5" style="2995" customWidth="1"/>
    <col min="10178" max="10178" width="12.25" style="2995" customWidth="1"/>
    <col min="10179" max="10179" width="12.375" style="2995" customWidth="1"/>
    <col min="10180" max="10180" width="12.5" style="2995" customWidth="1"/>
    <col min="10181" max="10181" width="12.25" style="2995" customWidth="1"/>
    <col min="10182" max="10182" width="13.5" style="2995" customWidth="1"/>
    <col min="10183" max="10183" width="12.125" style="2995" customWidth="1"/>
    <col min="10184" max="10184" width="15.75" style="2995" customWidth="1"/>
    <col min="10185" max="10212" width="0" style="2995" hidden="1" customWidth="1"/>
    <col min="10213" max="10213" width="12.5" style="2995" customWidth="1"/>
    <col min="10214" max="10214" width="10" style="2995" customWidth="1"/>
    <col min="10215" max="10215" width="10.5" style="2995" customWidth="1"/>
    <col min="10216" max="10216" width="11.625" style="2995" customWidth="1"/>
    <col min="10217" max="10217" width="11.25" style="2995" customWidth="1"/>
    <col min="10218" max="10218" width="10" style="2995" customWidth="1"/>
    <col min="10219" max="10224" width="10.125" style="2995" customWidth="1"/>
    <col min="10225" max="10225" width="11.5" style="2995" customWidth="1"/>
    <col min="10226" max="10230" width="12" style="2995" customWidth="1"/>
    <col min="10231" max="10231" width="10.625" style="2995" customWidth="1"/>
    <col min="10232" max="10232" width="11" style="2995" bestFit="1" customWidth="1"/>
    <col min="10233" max="10233" width="9.875" style="2995" bestFit="1" customWidth="1"/>
    <col min="10234" max="10234" width="9" style="2995"/>
    <col min="10235" max="10235" width="10.125" style="2995" customWidth="1"/>
    <col min="10236" max="10236" width="9" style="2995"/>
    <col min="10237" max="10237" width="9.875" style="2995" bestFit="1" customWidth="1"/>
    <col min="10238" max="10239" width="9" style="2995"/>
    <col min="10240" max="10240" width="10.75" style="2995" customWidth="1"/>
    <col min="10241" max="10241" width="9.875" style="2995" bestFit="1" customWidth="1"/>
    <col min="10242" max="10243" width="9" style="2995"/>
    <col min="10244" max="10244" width="9.875" style="2995" customWidth="1"/>
    <col min="10245" max="10247" width="9" style="2995"/>
    <col min="10248" max="10248" width="10.25" style="2995" customWidth="1"/>
    <col min="10249" max="10249" width="11" style="2995" bestFit="1" customWidth="1"/>
    <col min="10250" max="10422" width="9" style="2995"/>
    <col min="10423" max="10423" width="4" style="2995" customWidth="1"/>
    <col min="10424" max="10425" width="8" style="2995" customWidth="1"/>
    <col min="10426" max="10426" width="12.875" style="2995" customWidth="1"/>
    <col min="10427" max="10427" width="30.125" style="2995" customWidth="1"/>
    <col min="10428" max="10428" width="9.375" style="2995" customWidth="1"/>
    <col min="10429" max="10429" width="8.5" style="2995" customWidth="1"/>
    <col min="10430" max="10430" width="8" style="2995" customWidth="1"/>
    <col min="10431" max="10431" width="7.5" style="2995" customWidth="1"/>
    <col min="10432" max="10432" width="10.5" style="2995" customWidth="1"/>
    <col min="10433" max="10433" width="11.5" style="2995" customWidth="1"/>
    <col min="10434" max="10434" width="12.25" style="2995" customWidth="1"/>
    <col min="10435" max="10435" width="12.375" style="2995" customWidth="1"/>
    <col min="10436" max="10436" width="12.5" style="2995" customWidth="1"/>
    <col min="10437" max="10437" width="12.25" style="2995" customWidth="1"/>
    <col min="10438" max="10438" width="13.5" style="2995" customWidth="1"/>
    <col min="10439" max="10439" width="12.125" style="2995" customWidth="1"/>
    <col min="10440" max="10440" width="15.75" style="2995" customWidth="1"/>
    <col min="10441" max="10468" width="0" style="2995" hidden="1" customWidth="1"/>
    <col min="10469" max="10469" width="12.5" style="2995" customWidth="1"/>
    <col min="10470" max="10470" width="10" style="2995" customWidth="1"/>
    <col min="10471" max="10471" width="10.5" style="2995" customWidth="1"/>
    <col min="10472" max="10472" width="11.625" style="2995" customWidth="1"/>
    <col min="10473" max="10473" width="11.25" style="2995" customWidth="1"/>
    <col min="10474" max="10474" width="10" style="2995" customWidth="1"/>
    <col min="10475" max="10480" width="10.125" style="2995" customWidth="1"/>
    <col min="10481" max="10481" width="11.5" style="2995" customWidth="1"/>
    <col min="10482" max="10486" width="12" style="2995" customWidth="1"/>
    <col min="10487" max="10487" width="10.625" style="2995" customWidth="1"/>
    <col min="10488" max="10488" width="11" style="2995" bestFit="1" customWidth="1"/>
    <col min="10489" max="10489" width="9.875" style="2995" bestFit="1" customWidth="1"/>
    <col min="10490" max="10490" width="9" style="2995"/>
    <col min="10491" max="10491" width="10.125" style="2995" customWidth="1"/>
    <col min="10492" max="10492" width="9" style="2995"/>
    <col min="10493" max="10493" width="9.875" style="2995" bestFit="1" customWidth="1"/>
    <col min="10494" max="10495" width="9" style="2995"/>
    <col min="10496" max="10496" width="10.75" style="2995" customWidth="1"/>
    <col min="10497" max="10497" width="9.875" style="2995" bestFit="1" customWidth="1"/>
    <col min="10498" max="10499" width="9" style="2995"/>
    <col min="10500" max="10500" width="9.875" style="2995" customWidth="1"/>
    <col min="10501" max="10503" width="9" style="2995"/>
    <col min="10504" max="10504" width="10.25" style="2995" customWidth="1"/>
    <col min="10505" max="10505" width="11" style="2995" bestFit="1" customWidth="1"/>
    <col min="10506" max="10678" width="9" style="2995"/>
    <col min="10679" max="10679" width="4" style="2995" customWidth="1"/>
    <col min="10680" max="10681" width="8" style="2995" customWidth="1"/>
    <col min="10682" max="10682" width="12.875" style="2995" customWidth="1"/>
    <col min="10683" max="10683" width="30.125" style="2995" customWidth="1"/>
    <col min="10684" max="10684" width="9.375" style="2995" customWidth="1"/>
    <col min="10685" max="10685" width="8.5" style="2995" customWidth="1"/>
    <col min="10686" max="10686" width="8" style="2995" customWidth="1"/>
    <col min="10687" max="10687" width="7.5" style="2995" customWidth="1"/>
    <col min="10688" max="10688" width="10.5" style="2995" customWidth="1"/>
    <col min="10689" max="10689" width="11.5" style="2995" customWidth="1"/>
    <col min="10690" max="10690" width="12.25" style="2995" customWidth="1"/>
    <col min="10691" max="10691" width="12.375" style="2995" customWidth="1"/>
    <col min="10692" max="10692" width="12.5" style="2995" customWidth="1"/>
    <col min="10693" max="10693" width="12.25" style="2995" customWidth="1"/>
    <col min="10694" max="10694" width="13.5" style="2995" customWidth="1"/>
    <col min="10695" max="10695" width="12.125" style="2995" customWidth="1"/>
    <col min="10696" max="10696" width="15.75" style="2995" customWidth="1"/>
    <col min="10697" max="10724" width="0" style="2995" hidden="1" customWidth="1"/>
    <col min="10725" max="10725" width="12.5" style="2995" customWidth="1"/>
    <col min="10726" max="10726" width="10" style="2995" customWidth="1"/>
    <col min="10727" max="10727" width="10.5" style="2995" customWidth="1"/>
    <col min="10728" max="10728" width="11.625" style="2995" customWidth="1"/>
    <col min="10729" max="10729" width="11.25" style="2995" customWidth="1"/>
    <col min="10730" max="10730" width="10" style="2995" customWidth="1"/>
    <col min="10731" max="10736" width="10.125" style="2995" customWidth="1"/>
    <col min="10737" max="10737" width="11.5" style="2995" customWidth="1"/>
    <col min="10738" max="10742" width="12" style="2995" customWidth="1"/>
    <col min="10743" max="10743" width="10.625" style="2995" customWidth="1"/>
    <col min="10744" max="10744" width="11" style="2995" bestFit="1" customWidth="1"/>
    <col min="10745" max="10745" width="9.875" style="2995" bestFit="1" customWidth="1"/>
    <col min="10746" max="10746" width="9" style="2995"/>
    <col min="10747" max="10747" width="10.125" style="2995" customWidth="1"/>
    <col min="10748" max="10748" width="9" style="2995"/>
    <col min="10749" max="10749" width="9.875" style="2995" bestFit="1" customWidth="1"/>
    <col min="10750" max="10751" width="9" style="2995"/>
    <col min="10752" max="10752" width="10.75" style="2995" customWidth="1"/>
    <col min="10753" max="10753" width="9.875" style="2995" bestFit="1" customWidth="1"/>
    <col min="10754" max="10755" width="9" style="2995"/>
    <col min="10756" max="10756" width="9.875" style="2995" customWidth="1"/>
    <col min="10757" max="10759" width="9" style="2995"/>
    <col min="10760" max="10760" width="10.25" style="2995" customWidth="1"/>
    <col min="10761" max="10761" width="11" style="2995" bestFit="1" customWidth="1"/>
    <col min="10762" max="10934" width="9" style="2995"/>
    <col min="10935" max="10935" width="4" style="2995" customWidth="1"/>
    <col min="10936" max="10937" width="8" style="2995" customWidth="1"/>
    <col min="10938" max="10938" width="12.875" style="2995" customWidth="1"/>
    <col min="10939" max="10939" width="30.125" style="2995" customWidth="1"/>
    <col min="10940" max="10940" width="9.375" style="2995" customWidth="1"/>
    <col min="10941" max="10941" width="8.5" style="2995" customWidth="1"/>
    <col min="10942" max="10942" width="8" style="2995" customWidth="1"/>
    <col min="10943" max="10943" width="7.5" style="2995" customWidth="1"/>
    <col min="10944" max="10944" width="10.5" style="2995" customWidth="1"/>
    <col min="10945" max="10945" width="11.5" style="2995" customWidth="1"/>
    <col min="10946" max="10946" width="12.25" style="2995" customWidth="1"/>
    <col min="10947" max="10947" width="12.375" style="2995" customWidth="1"/>
    <col min="10948" max="10948" width="12.5" style="2995" customWidth="1"/>
    <col min="10949" max="10949" width="12.25" style="2995" customWidth="1"/>
    <col min="10950" max="10950" width="13.5" style="2995" customWidth="1"/>
    <col min="10951" max="10951" width="12.125" style="2995" customWidth="1"/>
    <col min="10952" max="10952" width="15.75" style="2995" customWidth="1"/>
    <col min="10953" max="10980" width="0" style="2995" hidden="1" customWidth="1"/>
    <col min="10981" max="10981" width="12.5" style="2995" customWidth="1"/>
    <col min="10982" max="10982" width="10" style="2995" customWidth="1"/>
    <col min="10983" max="10983" width="10.5" style="2995" customWidth="1"/>
    <col min="10984" max="10984" width="11.625" style="2995" customWidth="1"/>
    <col min="10985" max="10985" width="11.25" style="2995" customWidth="1"/>
    <col min="10986" max="10986" width="10" style="2995" customWidth="1"/>
    <col min="10987" max="10992" width="10.125" style="2995" customWidth="1"/>
    <col min="10993" max="10993" width="11.5" style="2995" customWidth="1"/>
    <col min="10994" max="10998" width="12" style="2995" customWidth="1"/>
    <col min="10999" max="10999" width="10.625" style="2995" customWidth="1"/>
    <col min="11000" max="11000" width="11" style="2995" bestFit="1" customWidth="1"/>
    <col min="11001" max="11001" width="9.875" style="2995" bestFit="1" customWidth="1"/>
    <col min="11002" max="11002" width="9" style="2995"/>
    <col min="11003" max="11003" width="10.125" style="2995" customWidth="1"/>
    <col min="11004" max="11004" width="9" style="2995"/>
    <col min="11005" max="11005" width="9.875" style="2995" bestFit="1" customWidth="1"/>
    <col min="11006" max="11007" width="9" style="2995"/>
    <col min="11008" max="11008" width="10.75" style="2995" customWidth="1"/>
    <col min="11009" max="11009" width="9.875" style="2995" bestFit="1" customWidth="1"/>
    <col min="11010" max="11011" width="9" style="2995"/>
    <col min="11012" max="11012" width="9.875" style="2995" customWidth="1"/>
    <col min="11013" max="11015" width="9" style="2995"/>
    <col min="11016" max="11016" width="10.25" style="2995" customWidth="1"/>
    <col min="11017" max="11017" width="11" style="2995" bestFit="1" customWidth="1"/>
    <col min="11018" max="11190" width="9" style="2995"/>
    <col min="11191" max="11191" width="4" style="2995" customWidth="1"/>
    <col min="11192" max="11193" width="8" style="2995" customWidth="1"/>
    <col min="11194" max="11194" width="12.875" style="2995" customWidth="1"/>
    <col min="11195" max="11195" width="30.125" style="2995" customWidth="1"/>
    <col min="11196" max="11196" width="9.375" style="2995" customWidth="1"/>
    <col min="11197" max="11197" width="8.5" style="2995" customWidth="1"/>
    <col min="11198" max="11198" width="8" style="2995" customWidth="1"/>
    <col min="11199" max="11199" width="7.5" style="2995" customWidth="1"/>
    <col min="11200" max="11200" width="10.5" style="2995" customWidth="1"/>
    <col min="11201" max="11201" width="11.5" style="2995" customWidth="1"/>
    <col min="11202" max="11202" width="12.25" style="2995" customWidth="1"/>
    <col min="11203" max="11203" width="12.375" style="2995" customWidth="1"/>
    <col min="11204" max="11204" width="12.5" style="2995" customWidth="1"/>
    <col min="11205" max="11205" width="12.25" style="2995" customWidth="1"/>
    <col min="11206" max="11206" width="13.5" style="2995" customWidth="1"/>
    <col min="11207" max="11207" width="12.125" style="2995" customWidth="1"/>
    <col min="11208" max="11208" width="15.75" style="2995" customWidth="1"/>
    <col min="11209" max="11236" width="0" style="2995" hidden="1" customWidth="1"/>
    <col min="11237" max="11237" width="12.5" style="2995" customWidth="1"/>
    <col min="11238" max="11238" width="10" style="2995" customWidth="1"/>
    <col min="11239" max="11239" width="10.5" style="2995" customWidth="1"/>
    <col min="11240" max="11240" width="11.625" style="2995" customWidth="1"/>
    <col min="11241" max="11241" width="11.25" style="2995" customWidth="1"/>
    <col min="11242" max="11242" width="10" style="2995" customWidth="1"/>
    <col min="11243" max="11248" width="10.125" style="2995" customWidth="1"/>
    <col min="11249" max="11249" width="11.5" style="2995" customWidth="1"/>
    <col min="11250" max="11254" width="12" style="2995" customWidth="1"/>
    <col min="11255" max="11255" width="10.625" style="2995" customWidth="1"/>
    <col min="11256" max="11256" width="11" style="2995" bestFit="1" customWidth="1"/>
    <col min="11257" max="11257" width="9.875" style="2995" bestFit="1" customWidth="1"/>
    <col min="11258" max="11258" width="9" style="2995"/>
    <col min="11259" max="11259" width="10.125" style="2995" customWidth="1"/>
    <col min="11260" max="11260" width="9" style="2995"/>
    <col min="11261" max="11261" width="9.875" style="2995" bestFit="1" customWidth="1"/>
    <col min="11262" max="11263" width="9" style="2995"/>
    <col min="11264" max="11264" width="10.75" style="2995" customWidth="1"/>
    <col min="11265" max="11265" width="9.875" style="2995" bestFit="1" customWidth="1"/>
    <col min="11266" max="11267" width="9" style="2995"/>
    <col min="11268" max="11268" width="9.875" style="2995" customWidth="1"/>
    <col min="11269" max="11271" width="9" style="2995"/>
    <col min="11272" max="11272" width="10.25" style="2995" customWidth="1"/>
    <col min="11273" max="11273" width="11" style="2995" bestFit="1" customWidth="1"/>
    <col min="11274" max="11446" width="9" style="2995"/>
    <col min="11447" max="11447" width="4" style="2995" customWidth="1"/>
    <col min="11448" max="11449" width="8" style="2995" customWidth="1"/>
    <col min="11450" max="11450" width="12.875" style="2995" customWidth="1"/>
    <col min="11451" max="11451" width="30.125" style="2995" customWidth="1"/>
    <col min="11452" max="11452" width="9.375" style="2995" customWidth="1"/>
    <col min="11453" max="11453" width="8.5" style="2995" customWidth="1"/>
    <col min="11454" max="11454" width="8" style="2995" customWidth="1"/>
    <col min="11455" max="11455" width="7.5" style="2995" customWidth="1"/>
    <col min="11456" max="11456" width="10.5" style="2995" customWidth="1"/>
    <col min="11457" max="11457" width="11.5" style="2995" customWidth="1"/>
    <col min="11458" max="11458" width="12.25" style="2995" customWidth="1"/>
    <col min="11459" max="11459" width="12.375" style="2995" customWidth="1"/>
    <col min="11460" max="11460" width="12.5" style="2995" customWidth="1"/>
    <col min="11461" max="11461" width="12.25" style="2995" customWidth="1"/>
    <col min="11462" max="11462" width="13.5" style="2995" customWidth="1"/>
    <col min="11463" max="11463" width="12.125" style="2995" customWidth="1"/>
    <col min="11464" max="11464" width="15.75" style="2995" customWidth="1"/>
    <col min="11465" max="11492" width="0" style="2995" hidden="1" customWidth="1"/>
    <col min="11493" max="11493" width="12.5" style="2995" customWidth="1"/>
    <col min="11494" max="11494" width="10" style="2995" customWidth="1"/>
    <col min="11495" max="11495" width="10.5" style="2995" customWidth="1"/>
    <col min="11496" max="11496" width="11.625" style="2995" customWidth="1"/>
    <col min="11497" max="11497" width="11.25" style="2995" customWidth="1"/>
    <col min="11498" max="11498" width="10" style="2995" customWidth="1"/>
    <col min="11499" max="11504" width="10.125" style="2995" customWidth="1"/>
    <col min="11505" max="11505" width="11.5" style="2995" customWidth="1"/>
    <col min="11506" max="11510" width="12" style="2995" customWidth="1"/>
    <col min="11511" max="11511" width="10.625" style="2995" customWidth="1"/>
    <col min="11512" max="11512" width="11" style="2995" bestFit="1" customWidth="1"/>
    <col min="11513" max="11513" width="9.875" style="2995" bestFit="1" customWidth="1"/>
    <col min="11514" max="11514" width="9" style="2995"/>
    <col min="11515" max="11515" width="10.125" style="2995" customWidth="1"/>
    <col min="11516" max="11516" width="9" style="2995"/>
    <col min="11517" max="11517" width="9.875" style="2995" bestFit="1" customWidth="1"/>
    <col min="11518" max="11519" width="9" style="2995"/>
    <col min="11520" max="11520" width="10.75" style="2995" customWidth="1"/>
    <col min="11521" max="11521" width="9.875" style="2995" bestFit="1" customWidth="1"/>
    <col min="11522" max="11523" width="9" style="2995"/>
    <col min="11524" max="11524" width="9.875" style="2995" customWidth="1"/>
    <col min="11525" max="11527" width="9" style="2995"/>
    <col min="11528" max="11528" width="10.25" style="2995" customWidth="1"/>
    <col min="11529" max="11529" width="11" style="2995" bestFit="1" customWidth="1"/>
    <col min="11530" max="11702" width="9" style="2995"/>
    <col min="11703" max="11703" width="4" style="2995" customWidth="1"/>
    <col min="11704" max="11705" width="8" style="2995" customWidth="1"/>
    <col min="11706" max="11706" width="12.875" style="2995" customWidth="1"/>
    <col min="11707" max="11707" width="30.125" style="2995" customWidth="1"/>
    <col min="11708" max="11708" width="9.375" style="2995" customWidth="1"/>
    <col min="11709" max="11709" width="8.5" style="2995" customWidth="1"/>
    <col min="11710" max="11710" width="8" style="2995" customWidth="1"/>
    <col min="11711" max="11711" width="7.5" style="2995" customWidth="1"/>
    <col min="11712" max="11712" width="10.5" style="2995" customWidth="1"/>
    <col min="11713" max="11713" width="11.5" style="2995" customWidth="1"/>
    <col min="11714" max="11714" width="12.25" style="2995" customWidth="1"/>
    <col min="11715" max="11715" width="12.375" style="2995" customWidth="1"/>
    <col min="11716" max="11716" width="12.5" style="2995" customWidth="1"/>
    <col min="11717" max="11717" width="12.25" style="2995" customWidth="1"/>
    <col min="11718" max="11718" width="13.5" style="2995" customWidth="1"/>
    <col min="11719" max="11719" width="12.125" style="2995" customWidth="1"/>
    <col min="11720" max="11720" width="15.75" style="2995" customWidth="1"/>
    <col min="11721" max="11748" width="0" style="2995" hidden="1" customWidth="1"/>
    <col min="11749" max="11749" width="12.5" style="2995" customWidth="1"/>
    <col min="11750" max="11750" width="10" style="2995" customWidth="1"/>
    <col min="11751" max="11751" width="10.5" style="2995" customWidth="1"/>
    <col min="11752" max="11752" width="11.625" style="2995" customWidth="1"/>
    <col min="11753" max="11753" width="11.25" style="2995" customWidth="1"/>
    <col min="11754" max="11754" width="10" style="2995" customWidth="1"/>
    <col min="11755" max="11760" width="10.125" style="2995" customWidth="1"/>
    <col min="11761" max="11761" width="11.5" style="2995" customWidth="1"/>
    <col min="11762" max="11766" width="12" style="2995" customWidth="1"/>
    <col min="11767" max="11767" width="10.625" style="2995" customWidth="1"/>
    <col min="11768" max="11768" width="11" style="2995" bestFit="1" customWidth="1"/>
    <col min="11769" max="11769" width="9.875" style="2995" bestFit="1" customWidth="1"/>
    <col min="11770" max="11770" width="9" style="2995"/>
    <col min="11771" max="11771" width="10.125" style="2995" customWidth="1"/>
    <col min="11772" max="11772" width="9" style="2995"/>
    <col min="11773" max="11773" width="9.875" style="2995" bestFit="1" customWidth="1"/>
    <col min="11774" max="11775" width="9" style="2995"/>
    <col min="11776" max="11776" width="10.75" style="2995" customWidth="1"/>
    <col min="11777" max="11777" width="9.875" style="2995" bestFit="1" customWidth="1"/>
    <col min="11778" max="11779" width="9" style="2995"/>
    <col min="11780" max="11780" width="9.875" style="2995" customWidth="1"/>
    <col min="11781" max="11783" width="9" style="2995"/>
    <col min="11784" max="11784" width="10.25" style="2995" customWidth="1"/>
    <col min="11785" max="11785" width="11" style="2995" bestFit="1" customWidth="1"/>
    <col min="11786" max="11958" width="9" style="2995"/>
    <col min="11959" max="11959" width="4" style="2995" customWidth="1"/>
    <col min="11960" max="11961" width="8" style="2995" customWidth="1"/>
    <col min="11962" max="11962" width="12.875" style="2995" customWidth="1"/>
    <col min="11963" max="11963" width="30.125" style="2995" customWidth="1"/>
    <col min="11964" max="11964" width="9.375" style="2995" customWidth="1"/>
    <col min="11965" max="11965" width="8.5" style="2995" customWidth="1"/>
    <col min="11966" max="11966" width="8" style="2995" customWidth="1"/>
    <col min="11967" max="11967" width="7.5" style="2995" customWidth="1"/>
    <col min="11968" max="11968" width="10.5" style="2995" customWidth="1"/>
    <col min="11969" max="11969" width="11.5" style="2995" customWidth="1"/>
    <col min="11970" max="11970" width="12.25" style="2995" customWidth="1"/>
    <col min="11971" max="11971" width="12.375" style="2995" customWidth="1"/>
    <col min="11972" max="11972" width="12.5" style="2995" customWidth="1"/>
    <col min="11973" max="11973" width="12.25" style="2995" customWidth="1"/>
    <col min="11974" max="11974" width="13.5" style="2995" customWidth="1"/>
    <col min="11975" max="11975" width="12.125" style="2995" customWidth="1"/>
    <col min="11976" max="11976" width="15.75" style="2995" customWidth="1"/>
    <col min="11977" max="12004" width="0" style="2995" hidden="1" customWidth="1"/>
    <col min="12005" max="12005" width="12.5" style="2995" customWidth="1"/>
    <col min="12006" max="12006" width="10" style="2995" customWidth="1"/>
    <col min="12007" max="12007" width="10.5" style="2995" customWidth="1"/>
    <col min="12008" max="12008" width="11.625" style="2995" customWidth="1"/>
    <col min="12009" max="12009" width="11.25" style="2995" customWidth="1"/>
    <col min="12010" max="12010" width="10" style="2995" customWidth="1"/>
    <col min="12011" max="12016" width="10.125" style="2995" customWidth="1"/>
    <col min="12017" max="12017" width="11.5" style="2995" customWidth="1"/>
    <col min="12018" max="12022" width="12" style="2995" customWidth="1"/>
    <col min="12023" max="12023" width="10.625" style="2995" customWidth="1"/>
    <col min="12024" max="12024" width="11" style="2995" bestFit="1" customWidth="1"/>
    <col min="12025" max="12025" width="9.875" style="2995" bestFit="1" customWidth="1"/>
    <col min="12026" max="12026" width="9" style="2995"/>
    <col min="12027" max="12027" width="10.125" style="2995" customWidth="1"/>
    <col min="12028" max="12028" width="9" style="2995"/>
    <col min="12029" max="12029" width="9.875" style="2995" bestFit="1" customWidth="1"/>
    <col min="12030" max="12031" width="9" style="2995"/>
    <col min="12032" max="12032" width="10.75" style="2995" customWidth="1"/>
    <col min="12033" max="12033" width="9.875" style="2995" bestFit="1" customWidth="1"/>
    <col min="12034" max="12035" width="9" style="2995"/>
    <col min="12036" max="12036" width="9.875" style="2995" customWidth="1"/>
    <col min="12037" max="12039" width="9" style="2995"/>
    <col min="12040" max="12040" width="10.25" style="2995" customWidth="1"/>
    <col min="12041" max="12041" width="11" style="2995" bestFit="1" customWidth="1"/>
    <col min="12042" max="12214" width="9" style="2995"/>
    <col min="12215" max="12215" width="4" style="2995" customWidth="1"/>
    <col min="12216" max="12217" width="8" style="2995" customWidth="1"/>
    <col min="12218" max="12218" width="12.875" style="2995" customWidth="1"/>
    <col min="12219" max="12219" width="30.125" style="2995" customWidth="1"/>
    <col min="12220" max="12220" width="9.375" style="2995" customWidth="1"/>
    <col min="12221" max="12221" width="8.5" style="2995" customWidth="1"/>
    <col min="12222" max="12222" width="8" style="2995" customWidth="1"/>
    <col min="12223" max="12223" width="7.5" style="2995" customWidth="1"/>
    <col min="12224" max="12224" width="10.5" style="2995" customWidth="1"/>
    <col min="12225" max="12225" width="11.5" style="2995" customWidth="1"/>
    <col min="12226" max="12226" width="12.25" style="2995" customWidth="1"/>
    <col min="12227" max="12227" width="12.375" style="2995" customWidth="1"/>
    <col min="12228" max="12228" width="12.5" style="2995" customWidth="1"/>
    <col min="12229" max="12229" width="12.25" style="2995" customWidth="1"/>
    <col min="12230" max="12230" width="13.5" style="2995" customWidth="1"/>
    <col min="12231" max="12231" width="12.125" style="2995" customWidth="1"/>
    <col min="12232" max="12232" width="15.75" style="2995" customWidth="1"/>
    <col min="12233" max="12260" width="0" style="2995" hidden="1" customWidth="1"/>
    <col min="12261" max="12261" width="12.5" style="2995" customWidth="1"/>
    <col min="12262" max="12262" width="10" style="2995" customWidth="1"/>
    <col min="12263" max="12263" width="10.5" style="2995" customWidth="1"/>
    <col min="12264" max="12264" width="11.625" style="2995" customWidth="1"/>
    <col min="12265" max="12265" width="11.25" style="2995" customWidth="1"/>
    <col min="12266" max="12266" width="10" style="2995" customWidth="1"/>
    <col min="12267" max="12272" width="10.125" style="2995" customWidth="1"/>
    <col min="12273" max="12273" width="11.5" style="2995" customWidth="1"/>
    <col min="12274" max="12278" width="12" style="2995" customWidth="1"/>
    <col min="12279" max="12279" width="10.625" style="2995" customWidth="1"/>
    <col min="12280" max="12280" width="11" style="2995" bestFit="1" customWidth="1"/>
    <col min="12281" max="12281" width="9.875" style="2995" bestFit="1" customWidth="1"/>
    <col min="12282" max="12282" width="9" style="2995"/>
    <col min="12283" max="12283" width="10.125" style="2995" customWidth="1"/>
    <col min="12284" max="12284" width="9" style="2995"/>
    <col min="12285" max="12285" width="9.875" style="2995" bestFit="1" customWidth="1"/>
    <col min="12286" max="12287" width="9" style="2995"/>
    <col min="12288" max="12288" width="10.75" style="2995" customWidth="1"/>
    <col min="12289" max="12289" width="9.875" style="2995" bestFit="1" customWidth="1"/>
    <col min="12290" max="12291" width="9" style="2995"/>
    <col min="12292" max="12292" width="9.875" style="2995" customWidth="1"/>
    <col min="12293" max="12295" width="9" style="2995"/>
    <col min="12296" max="12296" width="10.25" style="2995" customWidth="1"/>
    <col min="12297" max="12297" width="11" style="2995" bestFit="1" customWidth="1"/>
    <col min="12298" max="12470" width="9" style="2995"/>
    <col min="12471" max="12471" width="4" style="2995" customWidth="1"/>
    <col min="12472" max="12473" width="8" style="2995" customWidth="1"/>
    <col min="12474" max="12474" width="12.875" style="2995" customWidth="1"/>
    <col min="12475" max="12475" width="30.125" style="2995" customWidth="1"/>
    <col min="12476" max="12476" width="9.375" style="2995" customWidth="1"/>
    <col min="12477" max="12477" width="8.5" style="2995" customWidth="1"/>
    <col min="12478" max="12478" width="8" style="2995" customWidth="1"/>
    <col min="12479" max="12479" width="7.5" style="2995" customWidth="1"/>
    <col min="12480" max="12480" width="10.5" style="2995" customWidth="1"/>
    <col min="12481" max="12481" width="11.5" style="2995" customWidth="1"/>
    <col min="12482" max="12482" width="12.25" style="2995" customWidth="1"/>
    <col min="12483" max="12483" width="12.375" style="2995" customWidth="1"/>
    <col min="12484" max="12484" width="12.5" style="2995" customWidth="1"/>
    <col min="12485" max="12485" width="12.25" style="2995" customWidth="1"/>
    <col min="12486" max="12486" width="13.5" style="2995" customWidth="1"/>
    <col min="12487" max="12487" width="12.125" style="2995" customWidth="1"/>
    <col min="12488" max="12488" width="15.75" style="2995" customWidth="1"/>
    <col min="12489" max="12516" width="0" style="2995" hidden="1" customWidth="1"/>
    <col min="12517" max="12517" width="12.5" style="2995" customWidth="1"/>
    <col min="12518" max="12518" width="10" style="2995" customWidth="1"/>
    <col min="12519" max="12519" width="10.5" style="2995" customWidth="1"/>
    <col min="12520" max="12520" width="11.625" style="2995" customWidth="1"/>
    <col min="12521" max="12521" width="11.25" style="2995" customWidth="1"/>
    <col min="12522" max="12522" width="10" style="2995" customWidth="1"/>
    <col min="12523" max="12528" width="10.125" style="2995" customWidth="1"/>
    <col min="12529" max="12529" width="11.5" style="2995" customWidth="1"/>
    <col min="12530" max="12534" width="12" style="2995" customWidth="1"/>
    <col min="12535" max="12535" width="10.625" style="2995" customWidth="1"/>
    <col min="12536" max="12536" width="11" style="2995" bestFit="1" customWidth="1"/>
    <col min="12537" max="12537" width="9.875" style="2995" bestFit="1" customWidth="1"/>
    <col min="12538" max="12538" width="9" style="2995"/>
    <col min="12539" max="12539" width="10.125" style="2995" customWidth="1"/>
    <col min="12540" max="12540" width="9" style="2995"/>
    <col min="12541" max="12541" width="9.875" style="2995" bestFit="1" customWidth="1"/>
    <col min="12542" max="12543" width="9" style="2995"/>
    <col min="12544" max="12544" width="10.75" style="2995" customWidth="1"/>
    <col min="12545" max="12545" width="9.875" style="2995" bestFit="1" customWidth="1"/>
    <col min="12546" max="12547" width="9" style="2995"/>
    <col min="12548" max="12548" width="9.875" style="2995" customWidth="1"/>
    <col min="12549" max="12551" width="9" style="2995"/>
    <col min="12552" max="12552" width="10.25" style="2995" customWidth="1"/>
    <col min="12553" max="12553" width="11" style="2995" bestFit="1" customWidth="1"/>
    <col min="12554" max="12726" width="9" style="2995"/>
    <col min="12727" max="12727" width="4" style="2995" customWidth="1"/>
    <col min="12728" max="12729" width="8" style="2995" customWidth="1"/>
    <col min="12730" max="12730" width="12.875" style="2995" customWidth="1"/>
    <col min="12731" max="12731" width="30.125" style="2995" customWidth="1"/>
    <col min="12732" max="12732" width="9.375" style="2995" customWidth="1"/>
    <col min="12733" max="12733" width="8.5" style="2995" customWidth="1"/>
    <col min="12734" max="12734" width="8" style="2995" customWidth="1"/>
    <col min="12735" max="12735" width="7.5" style="2995" customWidth="1"/>
    <col min="12736" max="12736" width="10.5" style="2995" customWidth="1"/>
    <col min="12737" max="12737" width="11.5" style="2995" customWidth="1"/>
    <col min="12738" max="12738" width="12.25" style="2995" customWidth="1"/>
    <col min="12739" max="12739" width="12.375" style="2995" customWidth="1"/>
    <col min="12740" max="12740" width="12.5" style="2995" customWidth="1"/>
    <col min="12741" max="12741" width="12.25" style="2995" customWidth="1"/>
    <col min="12742" max="12742" width="13.5" style="2995" customWidth="1"/>
    <col min="12743" max="12743" width="12.125" style="2995" customWidth="1"/>
    <col min="12744" max="12744" width="15.75" style="2995" customWidth="1"/>
    <col min="12745" max="12772" width="0" style="2995" hidden="1" customWidth="1"/>
    <col min="12773" max="12773" width="12.5" style="2995" customWidth="1"/>
    <col min="12774" max="12774" width="10" style="2995" customWidth="1"/>
    <col min="12775" max="12775" width="10.5" style="2995" customWidth="1"/>
    <col min="12776" max="12776" width="11.625" style="2995" customWidth="1"/>
    <col min="12777" max="12777" width="11.25" style="2995" customWidth="1"/>
    <col min="12778" max="12778" width="10" style="2995" customWidth="1"/>
    <col min="12779" max="12784" width="10.125" style="2995" customWidth="1"/>
    <col min="12785" max="12785" width="11.5" style="2995" customWidth="1"/>
    <col min="12786" max="12790" width="12" style="2995" customWidth="1"/>
    <col min="12791" max="12791" width="10.625" style="2995" customWidth="1"/>
    <col min="12792" max="12792" width="11" style="2995" bestFit="1" customWidth="1"/>
    <col min="12793" max="12793" width="9.875" style="2995" bestFit="1" customWidth="1"/>
    <col min="12794" max="12794" width="9" style="2995"/>
    <col min="12795" max="12795" width="10.125" style="2995" customWidth="1"/>
    <col min="12796" max="12796" width="9" style="2995"/>
    <col min="12797" max="12797" width="9.875" style="2995" bestFit="1" customWidth="1"/>
    <col min="12798" max="12799" width="9" style="2995"/>
    <col min="12800" max="12800" width="10.75" style="2995" customWidth="1"/>
    <col min="12801" max="12801" width="9.875" style="2995" bestFit="1" customWidth="1"/>
    <col min="12802" max="12803" width="9" style="2995"/>
    <col min="12804" max="12804" width="9.875" style="2995" customWidth="1"/>
    <col min="12805" max="12807" width="9" style="2995"/>
    <col min="12808" max="12808" width="10.25" style="2995" customWidth="1"/>
    <col min="12809" max="12809" width="11" style="2995" bestFit="1" customWidth="1"/>
    <col min="12810" max="12982" width="9" style="2995"/>
    <col min="12983" max="12983" width="4" style="2995" customWidth="1"/>
    <col min="12984" max="12985" width="8" style="2995" customWidth="1"/>
    <col min="12986" max="12986" width="12.875" style="2995" customWidth="1"/>
    <col min="12987" max="12987" width="30.125" style="2995" customWidth="1"/>
    <col min="12988" max="12988" width="9.375" style="2995" customWidth="1"/>
    <col min="12989" max="12989" width="8.5" style="2995" customWidth="1"/>
    <col min="12990" max="12990" width="8" style="2995" customWidth="1"/>
    <col min="12991" max="12991" width="7.5" style="2995" customWidth="1"/>
    <col min="12992" max="12992" width="10.5" style="2995" customWidth="1"/>
    <col min="12993" max="12993" width="11.5" style="2995" customWidth="1"/>
    <col min="12994" max="12994" width="12.25" style="2995" customWidth="1"/>
    <col min="12995" max="12995" width="12.375" style="2995" customWidth="1"/>
    <col min="12996" max="12996" width="12.5" style="2995" customWidth="1"/>
    <col min="12997" max="12997" width="12.25" style="2995" customWidth="1"/>
    <col min="12998" max="12998" width="13.5" style="2995" customWidth="1"/>
    <col min="12999" max="12999" width="12.125" style="2995" customWidth="1"/>
    <col min="13000" max="13000" width="15.75" style="2995" customWidth="1"/>
    <col min="13001" max="13028" width="0" style="2995" hidden="1" customWidth="1"/>
    <col min="13029" max="13029" width="12.5" style="2995" customWidth="1"/>
    <col min="13030" max="13030" width="10" style="2995" customWidth="1"/>
    <col min="13031" max="13031" width="10.5" style="2995" customWidth="1"/>
    <col min="13032" max="13032" width="11.625" style="2995" customWidth="1"/>
    <col min="13033" max="13033" width="11.25" style="2995" customWidth="1"/>
    <col min="13034" max="13034" width="10" style="2995" customWidth="1"/>
    <col min="13035" max="13040" width="10.125" style="2995" customWidth="1"/>
    <col min="13041" max="13041" width="11.5" style="2995" customWidth="1"/>
    <col min="13042" max="13046" width="12" style="2995" customWidth="1"/>
    <col min="13047" max="13047" width="10.625" style="2995" customWidth="1"/>
    <col min="13048" max="13048" width="11" style="2995" bestFit="1" customWidth="1"/>
    <col min="13049" max="13049" width="9.875" style="2995" bestFit="1" customWidth="1"/>
    <col min="13050" max="13050" width="9" style="2995"/>
    <col min="13051" max="13051" width="10.125" style="2995" customWidth="1"/>
    <col min="13052" max="13052" width="9" style="2995"/>
    <col min="13053" max="13053" width="9.875" style="2995" bestFit="1" customWidth="1"/>
    <col min="13054" max="13055" width="9" style="2995"/>
    <col min="13056" max="13056" width="10.75" style="2995" customWidth="1"/>
    <col min="13057" max="13057" width="9.875" style="2995" bestFit="1" customWidth="1"/>
    <col min="13058" max="13059" width="9" style="2995"/>
    <col min="13060" max="13060" width="9.875" style="2995" customWidth="1"/>
    <col min="13061" max="13063" width="9" style="2995"/>
    <col min="13064" max="13064" width="10.25" style="2995" customWidth="1"/>
    <col min="13065" max="13065" width="11" style="2995" bestFit="1" customWidth="1"/>
    <col min="13066" max="13238" width="9" style="2995"/>
    <col min="13239" max="13239" width="4" style="2995" customWidth="1"/>
    <col min="13240" max="13241" width="8" style="2995" customWidth="1"/>
    <col min="13242" max="13242" width="12.875" style="2995" customWidth="1"/>
    <col min="13243" max="13243" width="30.125" style="2995" customWidth="1"/>
    <col min="13244" max="13244" width="9.375" style="2995" customWidth="1"/>
    <col min="13245" max="13245" width="8.5" style="2995" customWidth="1"/>
    <col min="13246" max="13246" width="8" style="2995" customWidth="1"/>
    <col min="13247" max="13247" width="7.5" style="2995" customWidth="1"/>
    <col min="13248" max="13248" width="10.5" style="2995" customWidth="1"/>
    <col min="13249" max="13249" width="11.5" style="2995" customWidth="1"/>
    <col min="13250" max="13250" width="12.25" style="2995" customWidth="1"/>
    <col min="13251" max="13251" width="12.375" style="2995" customWidth="1"/>
    <col min="13252" max="13252" width="12.5" style="2995" customWidth="1"/>
    <col min="13253" max="13253" width="12.25" style="2995" customWidth="1"/>
    <col min="13254" max="13254" width="13.5" style="2995" customWidth="1"/>
    <col min="13255" max="13255" width="12.125" style="2995" customWidth="1"/>
    <col min="13256" max="13256" width="15.75" style="2995" customWidth="1"/>
    <col min="13257" max="13284" width="0" style="2995" hidden="1" customWidth="1"/>
    <col min="13285" max="13285" width="12.5" style="2995" customWidth="1"/>
    <col min="13286" max="13286" width="10" style="2995" customWidth="1"/>
    <col min="13287" max="13287" width="10.5" style="2995" customWidth="1"/>
    <col min="13288" max="13288" width="11.625" style="2995" customWidth="1"/>
    <col min="13289" max="13289" width="11.25" style="2995" customWidth="1"/>
    <col min="13290" max="13290" width="10" style="2995" customWidth="1"/>
    <col min="13291" max="13296" width="10.125" style="2995" customWidth="1"/>
    <col min="13297" max="13297" width="11.5" style="2995" customWidth="1"/>
    <col min="13298" max="13302" width="12" style="2995" customWidth="1"/>
    <col min="13303" max="13303" width="10.625" style="2995" customWidth="1"/>
    <col min="13304" max="13304" width="11" style="2995" bestFit="1" customWidth="1"/>
    <col min="13305" max="13305" width="9.875" style="2995" bestFit="1" customWidth="1"/>
    <col min="13306" max="13306" width="9" style="2995"/>
    <col min="13307" max="13307" width="10.125" style="2995" customWidth="1"/>
    <col min="13308" max="13308" width="9" style="2995"/>
    <col min="13309" max="13309" width="9.875" style="2995" bestFit="1" customWidth="1"/>
    <col min="13310" max="13311" width="9" style="2995"/>
    <col min="13312" max="13312" width="10.75" style="2995" customWidth="1"/>
    <col min="13313" max="13313" width="9.875" style="2995" bestFit="1" customWidth="1"/>
    <col min="13314" max="13315" width="9" style="2995"/>
    <col min="13316" max="13316" width="9.875" style="2995" customWidth="1"/>
    <col min="13317" max="13319" width="9" style="2995"/>
    <col min="13320" max="13320" width="10.25" style="2995" customWidth="1"/>
    <col min="13321" max="13321" width="11" style="2995" bestFit="1" customWidth="1"/>
    <col min="13322" max="13494" width="9" style="2995"/>
    <col min="13495" max="13495" width="4" style="2995" customWidth="1"/>
    <col min="13496" max="13497" width="8" style="2995" customWidth="1"/>
    <col min="13498" max="13498" width="12.875" style="2995" customWidth="1"/>
    <col min="13499" max="13499" width="30.125" style="2995" customWidth="1"/>
    <col min="13500" max="13500" width="9.375" style="2995" customWidth="1"/>
    <col min="13501" max="13501" width="8.5" style="2995" customWidth="1"/>
    <col min="13502" max="13502" width="8" style="2995" customWidth="1"/>
    <col min="13503" max="13503" width="7.5" style="2995" customWidth="1"/>
    <col min="13504" max="13504" width="10.5" style="2995" customWidth="1"/>
    <col min="13505" max="13505" width="11.5" style="2995" customWidth="1"/>
    <col min="13506" max="13506" width="12.25" style="2995" customWidth="1"/>
    <col min="13507" max="13507" width="12.375" style="2995" customWidth="1"/>
    <col min="13508" max="13508" width="12.5" style="2995" customWidth="1"/>
    <col min="13509" max="13509" width="12.25" style="2995" customWidth="1"/>
    <col min="13510" max="13510" width="13.5" style="2995" customWidth="1"/>
    <col min="13511" max="13511" width="12.125" style="2995" customWidth="1"/>
    <col min="13512" max="13512" width="15.75" style="2995" customWidth="1"/>
    <col min="13513" max="13540" width="0" style="2995" hidden="1" customWidth="1"/>
    <col min="13541" max="13541" width="12.5" style="2995" customWidth="1"/>
    <col min="13542" max="13542" width="10" style="2995" customWidth="1"/>
    <col min="13543" max="13543" width="10.5" style="2995" customWidth="1"/>
    <col min="13544" max="13544" width="11.625" style="2995" customWidth="1"/>
    <col min="13545" max="13545" width="11.25" style="2995" customWidth="1"/>
    <col min="13546" max="13546" width="10" style="2995" customWidth="1"/>
    <col min="13547" max="13552" width="10.125" style="2995" customWidth="1"/>
    <col min="13553" max="13553" width="11.5" style="2995" customWidth="1"/>
    <col min="13554" max="13558" width="12" style="2995" customWidth="1"/>
    <col min="13559" max="13559" width="10.625" style="2995" customWidth="1"/>
    <col min="13560" max="13560" width="11" style="2995" bestFit="1" customWidth="1"/>
    <col min="13561" max="13561" width="9.875" style="2995" bestFit="1" customWidth="1"/>
    <col min="13562" max="13562" width="9" style="2995"/>
    <col min="13563" max="13563" width="10.125" style="2995" customWidth="1"/>
    <col min="13564" max="13564" width="9" style="2995"/>
    <col min="13565" max="13565" width="9.875" style="2995" bestFit="1" customWidth="1"/>
    <col min="13566" max="13567" width="9" style="2995"/>
    <col min="13568" max="13568" width="10.75" style="2995" customWidth="1"/>
    <col min="13569" max="13569" width="9.875" style="2995" bestFit="1" customWidth="1"/>
    <col min="13570" max="13571" width="9" style="2995"/>
    <col min="13572" max="13572" width="9.875" style="2995" customWidth="1"/>
    <col min="13573" max="13575" width="9" style="2995"/>
    <col min="13576" max="13576" width="10.25" style="2995" customWidth="1"/>
    <col min="13577" max="13577" width="11" style="2995" bestFit="1" customWidth="1"/>
    <col min="13578" max="13750" width="9" style="2995"/>
    <col min="13751" max="13751" width="4" style="2995" customWidth="1"/>
    <col min="13752" max="13753" width="8" style="2995" customWidth="1"/>
    <col min="13754" max="13754" width="12.875" style="2995" customWidth="1"/>
    <col min="13755" max="13755" width="30.125" style="2995" customWidth="1"/>
    <col min="13756" max="13756" width="9.375" style="2995" customWidth="1"/>
    <col min="13757" max="13757" width="8.5" style="2995" customWidth="1"/>
    <col min="13758" max="13758" width="8" style="2995" customWidth="1"/>
    <col min="13759" max="13759" width="7.5" style="2995" customWidth="1"/>
    <col min="13760" max="13760" width="10.5" style="2995" customWidth="1"/>
    <col min="13761" max="13761" width="11.5" style="2995" customWidth="1"/>
    <col min="13762" max="13762" width="12.25" style="2995" customWidth="1"/>
    <col min="13763" max="13763" width="12.375" style="2995" customWidth="1"/>
    <col min="13764" max="13764" width="12.5" style="2995" customWidth="1"/>
    <col min="13765" max="13765" width="12.25" style="2995" customWidth="1"/>
    <col min="13766" max="13766" width="13.5" style="2995" customWidth="1"/>
    <col min="13767" max="13767" width="12.125" style="2995" customWidth="1"/>
    <col min="13768" max="13768" width="15.75" style="2995" customWidth="1"/>
    <col min="13769" max="13796" width="0" style="2995" hidden="1" customWidth="1"/>
    <col min="13797" max="13797" width="12.5" style="2995" customWidth="1"/>
    <col min="13798" max="13798" width="10" style="2995" customWidth="1"/>
    <col min="13799" max="13799" width="10.5" style="2995" customWidth="1"/>
    <col min="13800" max="13800" width="11.625" style="2995" customWidth="1"/>
    <col min="13801" max="13801" width="11.25" style="2995" customWidth="1"/>
    <col min="13802" max="13802" width="10" style="2995" customWidth="1"/>
    <col min="13803" max="13808" width="10.125" style="2995" customWidth="1"/>
    <col min="13809" max="13809" width="11.5" style="2995" customWidth="1"/>
    <col min="13810" max="13814" width="12" style="2995" customWidth="1"/>
    <col min="13815" max="13815" width="10.625" style="2995" customWidth="1"/>
    <col min="13816" max="13816" width="11" style="2995" bestFit="1" customWidth="1"/>
    <col min="13817" max="13817" width="9.875" style="2995" bestFit="1" customWidth="1"/>
    <col min="13818" max="13818" width="9" style="2995"/>
    <col min="13819" max="13819" width="10.125" style="2995" customWidth="1"/>
    <col min="13820" max="13820" width="9" style="2995"/>
    <col min="13821" max="13821" width="9.875" style="2995" bestFit="1" customWidth="1"/>
    <col min="13822" max="13823" width="9" style="2995"/>
    <col min="13824" max="13824" width="10.75" style="2995" customWidth="1"/>
    <col min="13825" max="13825" width="9.875" style="2995" bestFit="1" customWidth="1"/>
    <col min="13826" max="13827" width="9" style="2995"/>
    <col min="13828" max="13828" width="9.875" style="2995" customWidth="1"/>
    <col min="13829" max="13831" width="9" style="2995"/>
    <col min="13832" max="13832" width="10.25" style="2995" customWidth="1"/>
    <col min="13833" max="13833" width="11" style="2995" bestFit="1" customWidth="1"/>
    <col min="13834" max="14006" width="9" style="2995"/>
    <col min="14007" max="14007" width="4" style="2995" customWidth="1"/>
    <col min="14008" max="14009" width="8" style="2995" customWidth="1"/>
    <col min="14010" max="14010" width="12.875" style="2995" customWidth="1"/>
    <col min="14011" max="14011" width="30.125" style="2995" customWidth="1"/>
    <col min="14012" max="14012" width="9.375" style="2995" customWidth="1"/>
    <col min="14013" max="14013" width="8.5" style="2995" customWidth="1"/>
    <col min="14014" max="14014" width="8" style="2995" customWidth="1"/>
    <col min="14015" max="14015" width="7.5" style="2995" customWidth="1"/>
    <col min="14016" max="14016" width="10.5" style="2995" customWidth="1"/>
    <col min="14017" max="14017" width="11.5" style="2995" customWidth="1"/>
    <col min="14018" max="14018" width="12.25" style="2995" customWidth="1"/>
    <col min="14019" max="14019" width="12.375" style="2995" customWidth="1"/>
    <col min="14020" max="14020" width="12.5" style="2995" customWidth="1"/>
    <col min="14021" max="14021" width="12.25" style="2995" customWidth="1"/>
    <col min="14022" max="14022" width="13.5" style="2995" customWidth="1"/>
    <col min="14023" max="14023" width="12.125" style="2995" customWidth="1"/>
    <col min="14024" max="14024" width="15.75" style="2995" customWidth="1"/>
    <col min="14025" max="14052" width="0" style="2995" hidden="1" customWidth="1"/>
    <col min="14053" max="14053" width="12.5" style="2995" customWidth="1"/>
    <col min="14054" max="14054" width="10" style="2995" customWidth="1"/>
    <col min="14055" max="14055" width="10.5" style="2995" customWidth="1"/>
    <col min="14056" max="14056" width="11.625" style="2995" customWidth="1"/>
    <col min="14057" max="14057" width="11.25" style="2995" customWidth="1"/>
    <col min="14058" max="14058" width="10" style="2995" customWidth="1"/>
    <col min="14059" max="14064" width="10.125" style="2995" customWidth="1"/>
    <col min="14065" max="14065" width="11.5" style="2995" customWidth="1"/>
    <col min="14066" max="14070" width="12" style="2995" customWidth="1"/>
    <col min="14071" max="14071" width="10.625" style="2995" customWidth="1"/>
    <col min="14072" max="14072" width="11" style="2995" bestFit="1" customWidth="1"/>
    <col min="14073" max="14073" width="9.875" style="2995" bestFit="1" customWidth="1"/>
    <col min="14074" max="14074" width="9" style="2995"/>
    <col min="14075" max="14075" width="10.125" style="2995" customWidth="1"/>
    <col min="14076" max="14076" width="9" style="2995"/>
    <col min="14077" max="14077" width="9.875" style="2995" bestFit="1" customWidth="1"/>
    <col min="14078" max="14079" width="9" style="2995"/>
    <col min="14080" max="14080" width="10.75" style="2995" customWidth="1"/>
    <col min="14081" max="14081" width="9.875" style="2995" bestFit="1" customWidth="1"/>
    <col min="14082" max="14083" width="9" style="2995"/>
    <col min="14084" max="14084" width="9.875" style="2995" customWidth="1"/>
    <col min="14085" max="14087" width="9" style="2995"/>
    <col min="14088" max="14088" width="10.25" style="2995" customWidth="1"/>
    <col min="14089" max="14089" width="11" style="2995" bestFit="1" customWidth="1"/>
    <col min="14090" max="14262" width="9" style="2995"/>
    <col min="14263" max="14263" width="4" style="2995" customWidth="1"/>
    <col min="14264" max="14265" width="8" style="2995" customWidth="1"/>
    <col min="14266" max="14266" width="12.875" style="2995" customWidth="1"/>
    <col min="14267" max="14267" width="30.125" style="2995" customWidth="1"/>
    <col min="14268" max="14268" width="9.375" style="2995" customWidth="1"/>
    <col min="14269" max="14269" width="8.5" style="2995" customWidth="1"/>
    <col min="14270" max="14270" width="8" style="2995" customWidth="1"/>
    <col min="14271" max="14271" width="7.5" style="2995" customWidth="1"/>
    <col min="14272" max="14272" width="10.5" style="2995" customWidth="1"/>
    <col min="14273" max="14273" width="11.5" style="2995" customWidth="1"/>
    <col min="14274" max="14274" width="12.25" style="2995" customWidth="1"/>
    <col min="14275" max="14275" width="12.375" style="2995" customWidth="1"/>
    <col min="14276" max="14276" width="12.5" style="2995" customWidth="1"/>
    <col min="14277" max="14277" width="12.25" style="2995" customWidth="1"/>
    <col min="14278" max="14278" width="13.5" style="2995" customWidth="1"/>
    <col min="14279" max="14279" width="12.125" style="2995" customWidth="1"/>
    <col min="14280" max="14280" width="15.75" style="2995" customWidth="1"/>
    <col min="14281" max="14308" width="0" style="2995" hidden="1" customWidth="1"/>
    <col min="14309" max="14309" width="12.5" style="2995" customWidth="1"/>
    <col min="14310" max="14310" width="10" style="2995" customWidth="1"/>
    <col min="14311" max="14311" width="10.5" style="2995" customWidth="1"/>
    <col min="14312" max="14312" width="11.625" style="2995" customWidth="1"/>
    <col min="14313" max="14313" width="11.25" style="2995" customWidth="1"/>
    <col min="14314" max="14314" width="10" style="2995" customWidth="1"/>
    <col min="14315" max="14320" width="10.125" style="2995" customWidth="1"/>
    <col min="14321" max="14321" width="11.5" style="2995" customWidth="1"/>
    <col min="14322" max="14326" width="12" style="2995" customWidth="1"/>
    <col min="14327" max="14327" width="10.625" style="2995" customWidth="1"/>
    <col min="14328" max="14328" width="11" style="2995" bestFit="1" customWidth="1"/>
    <col min="14329" max="14329" width="9.875" style="2995" bestFit="1" customWidth="1"/>
    <col min="14330" max="14330" width="9" style="2995"/>
    <col min="14331" max="14331" width="10.125" style="2995" customWidth="1"/>
    <col min="14332" max="14332" width="9" style="2995"/>
    <col min="14333" max="14333" width="9.875" style="2995" bestFit="1" customWidth="1"/>
    <col min="14334" max="14335" width="9" style="2995"/>
    <col min="14336" max="14336" width="10.75" style="2995" customWidth="1"/>
    <col min="14337" max="14337" width="9.875" style="2995" bestFit="1" customWidth="1"/>
    <col min="14338" max="14339" width="9" style="2995"/>
    <col min="14340" max="14340" width="9.875" style="2995" customWidth="1"/>
    <col min="14341" max="14343" width="9" style="2995"/>
    <col min="14344" max="14344" width="10.25" style="2995" customWidth="1"/>
    <col min="14345" max="14345" width="11" style="2995" bestFit="1" customWidth="1"/>
    <col min="14346" max="14518" width="9" style="2995"/>
    <col min="14519" max="14519" width="4" style="2995" customWidth="1"/>
    <col min="14520" max="14521" width="8" style="2995" customWidth="1"/>
    <col min="14522" max="14522" width="12.875" style="2995" customWidth="1"/>
    <col min="14523" max="14523" width="30.125" style="2995" customWidth="1"/>
    <col min="14524" max="14524" width="9.375" style="2995" customWidth="1"/>
    <col min="14525" max="14525" width="8.5" style="2995" customWidth="1"/>
    <col min="14526" max="14526" width="8" style="2995" customWidth="1"/>
    <col min="14527" max="14527" width="7.5" style="2995" customWidth="1"/>
    <col min="14528" max="14528" width="10.5" style="2995" customWidth="1"/>
    <col min="14529" max="14529" width="11.5" style="2995" customWidth="1"/>
    <col min="14530" max="14530" width="12.25" style="2995" customWidth="1"/>
    <col min="14531" max="14531" width="12.375" style="2995" customWidth="1"/>
    <col min="14532" max="14532" width="12.5" style="2995" customWidth="1"/>
    <col min="14533" max="14533" width="12.25" style="2995" customWidth="1"/>
    <col min="14534" max="14534" width="13.5" style="2995" customWidth="1"/>
    <col min="14535" max="14535" width="12.125" style="2995" customWidth="1"/>
    <col min="14536" max="14536" width="15.75" style="2995" customWidth="1"/>
    <col min="14537" max="14564" width="0" style="2995" hidden="1" customWidth="1"/>
    <col min="14565" max="14565" width="12.5" style="2995" customWidth="1"/>
    <col min="14566" max="14566" width="10" style="2995" customWidth="1"/>
    <col min="14567" max="14567" width="10.5" style="2995" customWidth="1"/>
    <col min="14568" max="14568" width="11.625" style="2995" customWidth="1"/>
    <col min="14569" max="14569" width="11.25" style="2995" customWidth="1"/>
    <col min="14570" max="14570" width="10" style="2995" customWidth="1"/>
    <col min="14571" max="14576" width="10.125" style="2995" customWidth="1"/>
    <col min="14577" max="14577" width="11.5" style="2995" customWidth="1"/>
    <col min="14578" max="14582" width="12" style="2995" customWidth="1"/>
    <col min="14583" max="14583" width="10.625" style="2995" customWidth="1"/>
    <col min="14584" max="14584" width="11" style="2995" bestFit="1" customWidth="1"/>
    <col min="14585" max="14585" width="9.875" style="2995" bestFit="1" customWidth="1"/>
    <col min="14586" max="14586" width="9" style="2995"/>
    <col min="14587" max="14587" width="10.125" style="2995" customWidth="1"/>
    <col min="14588" max="14588" width="9" style="2995"/>
    <col min="14589" max="14589" width="9.875" style="2995" bestFit="1" customWidth="1"/>
    <col min="14590" max="14591" width="9" style="2995"/>
    <col min="14592" max="14592" width="10.75" style="2995" customWidth="1"/>
    <col min="14593" max="14593" width="9.875" style="2995" bestFit="1" customWidth="1"/>
    <col min="14594" max="14595" width="9" style="2995"/>
    <col min="14596" max="14596" width="9.875" style="2995" customWidth="1"/>
    <col min="14597" max="14599" width="9" style="2995"/>
    <col min="14600" max="14600" width="10.25" style="2995" customWidth="1"/>
    <col min="14601" max="14601" width="11" style="2995" bestFit="1" customWidth="1"/>
    <col min="14602" max="14774" width="9" style="2995"/>
    <col min="14775" max="14775" width="4" style="2995" customWidth="1"/>
    <col min="14776" max="14777" width="8" style="2995" customWidth="1"/>
    <col min="14778" max="14778" width="12.875" style="2995" customWidth="1"/>
    <col min="14779" max="14779" width="30.125" style="2995" customWidth="1"/>
    <col min="14780" max="14780" width="9.375" style="2995" customWidth="1"/>
    <col min="14781" max="14781" width="8.5" style="2995" customWidth="1"/>
    <col min="14782" max="14782" width="8" style="2995" customWidth="1"/>
    <col min="14783" max="14783" width="7.5" style="2995" customWidth="1"/>
    <col min="14784" max="14784" width="10.5" style="2995" customWidth="1"/>
    <col min="14785" max="14785" width="11.5" style="2995" customWidth="1"/>
    <col min="14786" max="14786" width="12.25" style="2995" customWidth="1"/>
    <col min="14787" max="14787" width="12.375" style="2995" customWidth="1"/>
    <col min="14788" max="14788" width="12.5" style="2995" customWidth="1"/>
    <col min="14789" max="14789" width="12.25" style="2995" customWidth="1"/>
    <col min="14790" max="14790" width="13.5" style="2995" customWidth="1"/>
    <col min="14791" max="14791" width="12.125" style="2995" customWidth="1"/>
    <col min="14792" max="14792" width="15.75" style="2995" customWidth="1"/>
    <col min="14793" max="14820" width="0" style="2995" hidden="1" customWidth="1"/>
    <col min="14821" max="14821" width="12.5" style="2995" customWidth="1"/>
    <col min="14822" max="14822" width="10" style="2995" customWidth="1"/>
    <col min="14823" max="14823" width="10.5" style="2995" customWidth="1"/>
    <col min="14824" max="14824" width="11.625" style="2995" customWidth="1"/>
    <col min="14825" max="14825" width="11.25" style="2995" customWidth="1"/>
    <col min="14826" max="14826" width="10" style="2995" customWidth="1"/>
    <col min="14827" max="14832" width="10.125" style="2995" customWidth="1"/>
    <col min="14833" max="14833" width="11.5" style="2995" customWidth="1"/>
    <col min="14834" max="14838" width="12" style="2995" customWidth="1"/>
    <col min="14839" max="14839" width="10.625" style="2995" customWidth="1"/>
    <col min="14840" max="14840" width="11" style="2995" bestFit="1" customWidth="1"/>
    <col min="14841" max="14841" width="9.875" style="2995" bestFit="1" customWidth="1"/>
    <col min="14842" max="14842" width="9" style="2995"/>
    <col min="14843" max="14843" width="10.125" style="2995" customWidth="1"/>
    <col min="14844" max="14844" width="9" style="2995"/>
    <col min="14845" max="14845" width="9.875" style="2995" bestFit="1" customWidth="1"/>
    <col min="14846" max="14847" width="9" style="2995"/>
    <col min="14848" max="14848" width="10.75" style="2995" customWidth="1"/>
    <col min="14849" max="14849" width="9.875" style="2995" bestFit="1" customWidth="1"/>
    <col min="14850" max="14851" width="9" style="2995"/>
    <col min="14852" max="14852" width="9.875" style="2995" customWidth="1"/>
    <col min="14853" max="14855" width="9" style="2995"/>
    <col min="14856" max="14856" width="10.25" style="2995" customWidth="1"/>
    <col min="14857" max="14857" width="11" style="2995" bestFit="1" customWidth="1"/>
    <col min="14858" max="15030" width="9" style="2995"/>
    <col min="15031" max="15031" width="4" style="2995" customWidth="1"/>
    <col min="15032" max="15033" width="8" style="2995" customWidth="1"/>
    <col min="15034" max="15034" width="12.875" style="2995" customWidth="1"/>
    <col min="15035" max="15035" width="30.125" style="2995" customWidth="1"/>
    <col min="15036" max="15036" width="9.375" style="2995" customWidth="1"/>
    <col min="15037" max="15037" width="8.5" style="2995" customWidth="1"/>
    <col min="15038" max="15038" width="8" style="2995" customWidth="1"/>
    <col min="15039" max="15039" width="7.5" style="2995" customWidth="1"/>
    <col min="15040" max="15040" width="10.5" style="2995" customWidth="1"/>
    <col min="15041" max="15041" width="11.5" style="2995" customWidth="1"/>
    <col min="15042" max="15042" width="12.25" style="2995" customWidth="1"/>
    <col min="15043" max="15043" width="12.375" style="2995" customWidth="1"/>
    <col min="15044" max="15044" width="12.5" style="2995" customWidth="1"/>
    <col min="15045" max="15045" width="12.25" style="2995" customWidth="1"/>
    <col min="15046" max="15046" width="13.5" style="2995" customWidth="1"/>
    <col min="15047" max="15047" width="12.125" style="2995" customWidth="1"/>
    <col min="15048" max="15048" width="15.75" style="2995" customWidth="1"/>
    <col min="15049" max="15076" width="0" style="2995" hidden="1" customWidth="1"/>
    <col min="15077" max="15077" width="12.5" style="2995" customWidth="1"/>
    <col min="15078" max="15078" width="10" style="2995" customWidth="1"/>
    <col min="15079" max="15079" width="10.5" style="2995" customWidth="1"/>
    <col min="15080" max="15080" width="11.625" style="2995" customWidth="1"/>
    <col min="15081" max="15081" width="11.25" style="2995" customWidth="1"/>
    <col min="15082" max="15082" width="10" style="2995" customWidth="1"/>
    <col min="15083" max="15088" width="10.125" style="2995" customWidth="1"/>
    <col min="15089" max="15089" width="11.5" style="2995" customWidth="1"/>
    <col min="15090" max="15094" width="12" style="2995" customWidth="1"/>
    <col min="15095" max="15095" width="10.625" style="2995" customWidth="1"/>
    <col min="15096" max="15096" width="11" style="2995" bestFit="1" customWidth="1"/>
    <col min="15097" max="15097" width="9.875" style="2995" bestFit="1" customWidth="1"/>
    <col min="15098" max="15098" width="9" style="2995"/>
    <col min="15099" max="15099" width="10.125" style="2995" customWidth="1"/>
    <col min="15100" max="15100" width="9" style="2995"/>
    <col min="15101" max="15101" width="9.875" style="2995" bestFit="1" customWidth="1"/>
    <col min="15102" max="15103" width="9" style="2995"/>
    <col min="15104" max="15104" width="10.75" style="2995" customWidth="1"/>
    <col min="15105" max="15105" width="9.875" style="2995" bestFit="1" customWidth="1"/>
    <col min="15106" max="15107" width="9" style="2995"/>
    <col min="15108" max="15108" width="9.875" style="2995" customWidth="1"/>
    <col min="15109" max="15111" width="9" style="2995"/>
    <col min="15112" max="15112" width="10.25" style="2995" customWidth="1"/>
    <col min="15113" max="15113" width="11" style="2995" bestFit="1" customWidth="1"/>
    <col min="15114" max="15286" width="9" style="2995"/>
    <col min="15287" max="15287" width="4" style="2995" customWidth="1"/>
    <col min="15288" max="15289" width="8" style="2995" customWidth="1"/>
    <col min="15290" max="15290" width="12.875" style="2995" customWidth="1"/>
    <col min="15291" max="15291" width="30.125" style="2995" customWidth="1"/>
    <col min="15292" max="15292" width="9.375" style="2995" customWidth="1"/>
    <col min="15293" max="15293" width="8.5" style="2995" customWidth="1"/>
    <col min="15294" max="15294" width="8" style="2995" customWidth="1"/>
    <col min="15295" max="15295" width="7.5" style="2995" customWidth="1"/>
    <col min="15296" max="15296" width="10.5" style="2995" customWidth="1"/>
    <col min="15297" max="15297" width="11.5" style="2995" customWidth="1"/>
    <col min="15298" max="15298" width="12.25" style="2995" customWidth="1"/>
    <col min="15299" max="15299" width="12.375" style="2995" customWidth="1"/>
    <col min="15300" max="15300" width="12.5" style="2995" customWidth="1"/>
    <col min="15301" max="15301" width="12.25" style="2995" customWidth="1"/>
    <col min="15302" max="15302" width="13.5" style="2995" customWidth="1"/>
    <col min="15303" max="15303" width="12.125" style="2995" customWidth="1"/>
    <col min="15304" max="15304" width="15.75" style="2995" customWidth="1"/>
    <col min="15305" max="15332" width="0" style="2995" hidden="1" customWidth="1"/>
    <col min="15333" max="15333" width="12.5" style="2995" customWidth="1"/>
    <col min="15334" max="15334" width="10" style="2995" customWidth="1"/>
    <col min="15335" max="15335" width="10.5" style="2995" customWidth="1"/>
    <col min="15336" max="15336" width="11.625" style="2995" customWidth="1"/>
    <col min="15337" max="15337" width="11.25" style="2995" customWidth="1"/>
    <col min="15338" max="15338" width="10" style="2995" customWidth="1"/>
    <col min="15339" max="15344" width="10.125" style="2995" customWidth="1"/>
    <col min="15345" max="15345" width="11.5" style="2995" customWidth="1"/>
    <col min="15346" max="15350" width="12" style="2995" customWidth="1"/>
    <col min="15351" max="15351" width="10.625" style="2995" customWidth="1"/>
    <col min="15352" max="15352" width="11" style="2995" bestFit="1" customWidth="1"/>
    <col min="15353" max="15353" width="9.875" style="2995" bestFit="1" customWidth="1"/>
    <col min="15354" max="15354" width="9" style="2995"/>
    <col min="15355" max="15355" width="10.125" style="2995" customWidth="1"/>
    <col min="15356" max="15356" width="9" style="2995"/>
    <col min="15357" max="15357" width="9.875" style="2995" bestFit="1" customWidth="1"/>
    <col min="15358" max="15359" width="9" style="2995"/>
    <col min="15360" max="15360" width="10.75" style="2995" customWidth="1"/>
    <col min="15361" max="15361" width="9.875" style="2995" bestFit="1" customWidth="1"/>
    <col min="15362" max="15363" width="9" style="2995"/>
    <col min="15364" max="15364" width="9.875" style="2995" customWidth="1"/>
    <col min="15365" max="15367" width="9" style="2995"/>
    <col min="15368" max="15368" width="10.25" style="2995" customWidth="1"/>
    <col min="15369" max="15369" width="11" style="2995" bestFit="1" customWidth="1"/>
    <col min="15370" max="15542" width="9" style="2995"/>
    <col min="15543" max="15543" width="4" style="2995" customWidth="1"/>
    <col min="15544" max="15545" width="8" style="2995" customWidth="1"/>
    <col min="15546" max="15546" width="12.875" style="2995" customWidth="1"/>
    <col min="15547" max="15547" width="30.125" style="2995" customWidth="1"/>
    <col min="15548" max="15548" width="9.375" style="2995" customWidth="1"/>
    <col min="15549" max="15549" width="8.5" style="2995" customWidth="1"/>
    <col min="15550" max="15550" width="8" style="2995" customWidth="1"/>
    <col min="15551" max="15551" width="7.5" style="2995" customWidth="1"/>
    <col min="15552" max="15552" width="10.5" style="2995" customWidth="1"/>
    <col min="15553" max="15553" width="11.5" style="2995" customWidth="1"/>
    <col min="15554" max="15554" width="12.25" style="2995" customWidth="1"/>
    <col min="15555" max="15555" width="12.375" style="2995" customWidth="1"/>
    <col min="15556" max="15556" width="12.5" style="2995" customWidth="1"/>
    <col min="15557" max="15557" width="12.25" style="2995" customWidth="1"/>
    <col min="15558" max="15558" width="13.5" style="2995" customWidth="1"/>
    <col min="15559" max="15559" width="12.125" style="2995" customWidth="1"/>
    <col min="15560" max="15560" width="15.75" style="2995" customWidth="1"/>
    <col min="15561" max="15588" width="0" style="2995" hidden="1" customWidth="1"/>
    <col min="15589" max="15589" width="12.5" style="2995" customWidth="1"/>
    <col min="15590" max="15590" width="10" style="2995" customWidth="1"/>
    <col min="15591" max="15591" width="10.5" style="2995" customWidth="1"/>
    <col min="15592" max="15592" width="11.625" style="2995" customWidth="1"/>
    <col min="15593" max="15593" width="11.25" style="2995" customWidth="1"/>
    <col min="15594" max="15594" width="10" style="2995" customWidth="1"/>
    <col min="15595" max="15600" width="10.125" style="2995" customWidth="1"/>
    <col min="15601" max="15601" width="11.5" style="2995" customWidth="1"/>
    <col min="15602" max="15606" width="12" style="2995" customWidth="1"/>
    <col min="15607" max="15607" width="10.625" style="2995" customWidth="1"/>
    <col min="15608" max="15608" width="11" style="2995" bestFit="1" customWidth="1"/>
    <col min="15609" max="15609" width="9.875" style="2995" bestFit="1" customWidth="1"/>
    <col min="15610" max="15610" width="9" style="2995"/>
    <col min="15611" max="15611" width="10.125" style="2995" customWidth="1"/>
    <col min="15612" max="15612" width="9" style="2995"/>
    <col min="15613" max="15613" width="9.875" style="2995" bestFit="1" customWidth="1"/>
    <col min="15614" max="15615" width="9" style="2995"/>
    <col min="15616" max="15616" width="10.75" style="2995" customWidth="1"/>
    <col min="15617" max="15617" width="9.875" style="2995" bestFit="1" customWidth="1"/>
    <col min="15618" max="15619" width="9" style="2995"/>
    <col min="15620" max="15620" width="9.875" style="2995" customWidth="1"/>
    <col min="15621" max="15623" width="9" style="2995"/>
    <col min="15624" max="15624" width="10.25" style="2995" customWidth="1"/>
    <col min="15625" max="15625" width="11" style="2995" bestFit="1" customWidth="1"/>
    <col min="15626" max="15798" width="9" style="2995"/>
    <col min="15799" max="15799" width="4" style="2995" customWidth="1"/>
    <col min="15800" max="15801" width="8" style="2995" customWidth="1"/>
    <col min="15802" max="15802" width="12.875" style="2995" customWidth="1"/>
    <col min="15803" max="15803" width="30.125" style="2995" customWidth="1"/>
    <col min="15804" max="15804" width="9.375" style="2995" customWidth="1"/>
    <col min="15805" max="15805" width="8.5" style="2995" customWidth="1"/>
    <col min="15806" max="15806" width="8" style="2995" customWidth="1"/>
    <col min="15807" max="15807" width="7.5" style="2995" customWidth="1"/>
    <col min="15808" max="15808" width="10.5" style="2995" customWidth="1"/>
    <col min="15809" max="15809" width="11.5" style="2995" customWidth="1"/>
    <col min="15810" max="15810" width="12.25" style="2995" customWidth="1"/>
    <col min="15811" max="15811" width="12.375" style="2995" customWidth="1"/>
    <col min="15812" max="15812" width="12.5" style="2995" customWidth="1"/>
    <col min="15813" max="15813" width="12.25" style="2995" customWidth="1"/>
    <col min="15814" max="15814" width="13.5" style="2995" customWidth="1"/>
    <col min="15815" max="15815" width="12.125" style="2995" customWidth="1"/>
    <col min="15816" max="15816" width="15.75" style="2995" customWidth="1"/>
    <col min="15817" max="15844" width="0" style="2995" hidden="1" customWidth="1"/>
    <col min="15845" max="15845" width="12.5" style="2995" customWidth="1"/>
    <col min="15846" max="15846" width="10" style="2995" customWidth="1"/>
    <col min="15847" max="15847" width="10.5" style="2995" customWidth="1"/>
    <col min="15848" max="15848" width="11.625" style="2995" customWidth="1"/>
    <col min="15849" max="15849" width="11.25" style="2995" customWidth="1"/>
    <col min="15850" max="15850" width="10" style="2995" customWidth="1"/>
    <col min="15851" max="15856" width="10.125" style="2995" customWidth="1"/>
    <col min="15857" max="15857" width="11.5" style="2995" customWidth="1"/>
    <col min="15858" max="15862" width="12" style="2995" customWidth="1"/>
    <col min="15863" max="15863" width="10.625" style="2995" customWidth="1"/>
    <col min="15864" max="15864" width="11" style="2995" bestFit="1" customWidth="1"/>
    <col min="15865" max="15865" width="9.875" style="2995" bestFit="1" customWidth="1"/>
    <col min="15866" max="15866" width="9" style="2995"/>
    <col min="15867" max="15867" width="10.125" style="2995" customWidth="1"/>
    <col min="15868" max="15868" width="9" style="2995"/>
    <col min="15869" max="15869" width="9.875" style="2995" bestFit="1" customWidth="1"/>
    <col min="15870" max="15871" width="9" style="2995"/>
    <col min="15872" max="15872" width="10.75" style="2995" customWidth="1"/>
    <col min="15873" max="15873" width="9.875" style="2995" bestFit="1" customWidth="1"/>
    <col min="15874" max="15875" width="9" style="2995"/>
    <col min="15876" max="15876" width="9.875" style="2995" customWidth="1"/>
    <col min="15877" max="15879" width="9" style="2995"/>
    <col min="15880" max="15880" width="10.25" style="2995" customWidth="1"/>
    <col min="15881" max="15881" width="11" style="2995" bestFit="1" customWidth="1"/>
    <col min="15882" max="16054" width="9" style="2995"/>
    <col min="16055" max="16055" width="4" style="2995" customWidth="1"/>
    <col min="16056" max="16057" width="8" style="2995" customWidth="1"/>
    <col min="16058" max="16058" width="12.875" style="2995" customWidth="1"/>
    <col min="16059" max="16059" width="30.125" style="2995" customWidth="1"/>
    <col min="16060" max="16060" width="9.375" style="2995" customWidth="1"/>
    <col min="16061" max="16061" width="8.5" style="2995" customWidth="1"/>
    <col min="16062" max="16062" width="8" style="2995" customWidth="1"/>
    <col min="16063" max="16063" width="7.5" style="2995" customWidth="1"/>
    <col min="16064" max="16064" width="10.5" style="2995" customWidth="1"/>
    <col min="16065" max="16065" width="11.5" style="2995" customWidth="1"/>
    <col min="16066" max="16066" width="12.25" style="2995" customWidth="1"/>
    <col min="16067" max="16067" width="12.375" style="2995" customWidth="1"/>
    <col min="16068" max="16068" width="12.5" style="2995" customWidth="1"/>
    <col min="16069" max="16069" width="12.25" style="2995" customWidth="1"/>
    <col min="16070" max="16070" width="13.5" style="2995" customWidth="1"/>
    <col min="16071" max="16071" width="12.125" style="2995" customWidth="1"/>
    <col min="16072" max="16072" width="15.75" style="2995" customWidth="1"/>
    <col min="16073" max="16100" width="0" style="2995" hidden="1" customWidth="1"/>
    <col min="16101" max="16101" width="12.5" style="2995" customWidth="1"/>
    <col min="16102" max="16102" width="10" style="2995" customWidth="1"/>
    <col min="16103" max="16103" width="10.5" style="2995" customWidth="1"/>
    <col min="16104" max="16104" width="11.625" style="2995" customWidth="1"/>
    <col min="16105" max="16105" width="11.25" style="2995" customWidth="1"/>
    <col min="16106" max="16106" width="10" style="2995" customWidth="1"/>
    <col min="16107" max="16112" width="10.125" style="2995" customWidth="1"/>
    <col min="16113" max="16113" width="11.5" style="2995" customWidth="1"/>
    <col min="16114" max="16118" width="12" style="2995" customWidth="1"/>
    <col min="16119" max="16119" width="10.625" style="2995" customWidth="1"/>
    <col min="16120" max="16120" width="11" style="2995" bestFit="1" customWidth="1"/>
    <col min="16121" max="16121" width="9.875" style="2995" bestFit="1" customWidth="1"/>
    <col min="16122" max="16122" width="9" style="2995"/>
    <col min="16123" max="16123" width="10.125" style="2995" customWidth="1"/>
    <col min="16124" max="16124" width="9" style="2995"/>
    <col min="16125" max="16125" width="9.875" style="2995" bestFit="1" customWidth="1"/>
    <col min="16126" max="16127" width="9" style="2995"/>
    <col min="16128" max="16128" width="10.75" style="2995" customWidth="1"/>
    <col min="16129" max="16129" width="9.875" style="2995" bestFit="1" customWidth="1"/>
    <col min="16130" max="16131" width="9" style="2995"/>
    <col min="16132" max="16132" width="9.875" style="2995" customWidth="1"/>
    <col min="16133" max="16135" width="9" style="2995"/>
    <col min="16136" max="16136" width="10.25" style="2995" customWidth="1"/>
    <col min="16137" max="16137" width="11" style="2995" bestFit="1" customWidth="1"/>
    <col min="16138" max="16384" width="9" style="2995"/>
  </cols>
  <sheetData>
    <row r="1" spans="1:12" ht="36">
      <c r="A1" s="2993" t="s">
        <v>3242</v>
      </c>
      <c r="B1" s="2994" t="s">
        <v>3243</v>
      </c>
      <c r="C1" s="2993" t="s">
        <v>3244</v>
      </c>
      <c r="D1" s="2993" t="s">
        <v>3245</v>
      </c>
      <c r="E1" s="2993" t="s">
        <v>3246</v>
      </c>
      <c r="F1" s="2993" t="s">
        <v>3247</v>
      </c>
      <c r="G1" s="2993" t="s">
        <v>3248</v>
      </c>
      <c r="H1" s="2993" t="s">
        <v>3249</v>
      </c>
      <c r="I1" s="2993" t="s">
        <v>3250</v>
      </c>
    </row>
    <row r="2" spans="1:12" s="3366" customFormat="1" ht="30.95" customHeight="1">
      <c r="A2" s="3361">
        <v>1</v>
      </c>
      <c r="B2" s="3362" t="s">
        <v>3251</v>
      </c>
      <c r="C2" s="3361" t="s">
        <v>3252</v>
      </c>
      <c r="D2" s="3363">
        <v>455</v>
      </c>
      <c r="E2" s="3363" t="s">
        <v>3253</v>
      </c>
      <c r="F2" s="3363" t="s">
        <v>3254</v>
      </c>
      <c r="G2" s="3364">
        <v>13</v>
      </c>
      <c r="H2" s="3363" t="s">
        <v>3255</v>
      </c>
      <c r="I2" s="3365" t="s">
        <v>3256</v>
      </c>
      <c r="K2" s="3366">
        <f>G2*D2*365</f>
        <v>2158975</v>
      </c>
      <c r="L2" s="3385">
        <f>SUM(K2:K53)/SUM(D2:D53)/365</f>
        <v>8.6760861334128538</v>
      </c>
    </row>
    <row r="3" spans="1:12" s="3366" customFormat="1" ht="30" customHeight="1">
      <c r="A3" s="3361">
        <v>2</v>
      </c>
      <c r="B3" s="3362" t="s">
        <v>3257</v>
      </c>
      <c r="C3" s="3361" t="s">
        <v>3258</v>
      </c>
      <c r="D3" s="3362">
        <v>220</v>
      </c>
      <c r="E3" s="3362" t="s">
        <v>3259</v>
      </c>
      <c r="F3" s="3362" t="s">
        <v>3260</v>
      </c>
      <c r="G3" s="3367">
        <v>5</v>
      </c>
      <c r="H3" s="3363" t="s">
        <v>3255</v>
      </c>
      <c r="I3" s="3365" t="s">
        <v>3261</v>
      </c>
      <c r="K3" s="3366">
        <f t="shared" ref="K3:K59" si="0">G3*D3*365</f>
        <v>401500</v>
      </c>
    </row>
    <row r="4" spans="1:12" s="3366" customFormat="1" ht="30" customHeight="1">
      <c r="A4" s="3361">
        <v>3</v>
      </c>
      <c r="B4" s="3363" t="s">
        <v>3262</v>
      </c>
      <c r="C4" s="3361" t="s">
        <v>3263</v>
      </c>
      <c r="D4" s="3363">
        <v>500</v>
      </c>
      <c r="E4" s="3363" t="s">
        <v>3264</v>
      </c>
      <c r="F4" s="3363" t="s">
        <v>3265</v>
      </c>
      <c r="G4" s="3364">
        <v>5</v>
      </c>
      <c r="H4" s="3363" t="s">
        <v>3255</v>
      </c>
      <c r="I4" s="3365" t="s">
        <v>3261</v>
      </c>
      <c r="K4" s="3366">
        <f t="shared" si="0"/>
        <v>912500</v>
      </c>
    </row>
    <row r="5" spans="1:12" s="3366" customFormat="1" ht="30" customHeight="1">
      <c r="A5" s="3361">
        <v>4</v>
      </c>
      <c r="B5" s="3362" t="s">
        <v>3266</v>
      </c>
      <c r="C5" s="3361" t="s">
        <v>3267</v>
      </c>
      <c r="D5" s="3362">
        <v>150</v>
      </c>
      <c r="E5" s="3362" t="s">
        <v>3268</v>
      </c>
      <c r="F5" s="3362" t="s">
        <v>3269</v>
      </c>
      <c r="G5" s="3367">
        <v>5</v>
      </c>
      <c r="H5" s="3363" t="s">
        <v>3255</v>
      </c>
      <c r="I5" s="3365" t="s">
        <v>3261</v>
      </c>
      <c r="K5" s="3366">
        <f t="shared" si="0"/>
        <v>273750</v>
      </c>
    </row>
    <row r="6" spans="1:12" s="3366" customFormat="1" ht="30" customHeight="1">
      <c r="A6" s="3361">
        <v>5</v>
      </c>
      <c r="B6" s="3368" t="s">
        <v>3270</v>
      </c>
      <c r="C6" s="3361" t="s">
        <v>3271</v>
      </c>
      <c r="D6" s="3363">
        <v>150</v>
      </c>
      <c r="E6" s="3363" t="s">
        <v>3272</v>
      </c>
      <c r="F6" s="3363" t="s">
        <v>3273</v>
      </c>
      <c r="G6" s="3364">
        <v>5</v>
      </c>
      <c r="H6" s="3363" t="s">
        <v>3255</v>
      </c>
      <c r="I6" s="3365" t="s">
        <v>3261</v>
      </c>
      <c r="K6" s="3366">
        <f t="shared" si="0"/>
        <v>273750</v>
      </c>
    </row>
    <row r="7" spans="1:12" s="3366" customFormat="1" ht="30" customHeight="1">
      <c r="A7" s="3361">
        <v>6</v>
      </c>
      <c r="B7" s="3362" t="s">
        <v>3274</v>
      </c>
      <c r="C7" s="3361" t="s">
        <v>3275</v>
      </c>
      <c r="D7" s="3363">
        <v>540</v>
      </c>
      <c r="E7" s="3363" t="s">
        <v>3276</v>
      </c>
      <c r="F7" s="3363" t="s">
        <v>3277</v>
      </c>
      <c r="G7" s="3364">
        <v>9.3000000000000007</v>
      </c>
      <c r="H7" s="3363" t="s">
        <v>3255</v>
      </c>
      <c r="I7" s="3365" t="s">
        <v>3278</v>
      </c>
      <c r="K7" s="3366">
        <f t="shared" si="0"/>
        <v>1833030</v>
      </c>
    </row>
    <row r="8" spans="1:12" s="3366" customFormat="1" ht="32.1" customHeight="1">
      <c r="A8" s="3361">
        <v>7</v>
      </c>
      <c r="B8" s="3363" t="s">
        <v>3279</v>
      </c>
      <c r="C8" s="3361" t="s">
        <v>3280</v>
      </c>
      <c r="D8" s="3362">
        <v>540</v>
      </c>
      <c r="E8" s="3362" t="s">
        <v>3281</v>
      </c>
      <c r="F8" s="3362" t="s">
        <v>3282</v>
      </c>
      <c r="G8" s="3367">
        <v>10.3</v>
      </c>
      <c r="H8" s="3363" t="s">
        <v>3255</v>
      </c>
      <c r="I8" s="3365" t="s">
        <v>3278</v>
      </c>
      <c r="K8" s="3366">
        <f t="shared" si="0"/>
        <v>2030130</v>
      </c>
    </row>
    <row r="9" spans="1:12" s="3366" customFormat="1" ht="30" customHeight="1">
      <c r="A9" s="3361">
        <v>8</v>
      </c>
      <c r="B9" s="3369" t="s">
        <v>3283</v>
      </c>
      <c r="C9" s="3361" t="s">
        <v>3284</v>
      </c>
      <c r="D9" s="3361">
        <v>1080</v>
      </c>
      <c r="E9" s="3370" t="s">
        <v>3285</v>
      </c>
      <c r="F9" s="3370" t="s">
        <v>3286</v>
      </c>
      <c r="G9" s="3371">
        <v>10.5</v>
      </c>
      <c r="H9" s="3363" t="s">
        <v>3255</v>
      </c>
      <c r="I9" s="3365" t="s">
        <v>3278</v>
      </c>
      <c r="K9" s="3366">
        <f t="shared" si="0"/>
        <v>4139100</v>
      </c>
    </row>
    <row r="10" spans="1:12" s="3366" customFormat="1" ht="34.5" customHeight="1">
      <c r="A10" s="3361">
        <v>9</v>
      </c>
      <c r="B10" s="3369" t="s">
        <v>3287</v>
      </c>
      <c r="C10" s="3361" t="s">
        <v>3288</v>
      </c>
      <c r="D10" s="3369">
        <v>540</v>
      </c>
      <c r="E10" s="3369" t="s">
        <v>3289</v>
      </c>
      <c r="F10" s="3369" t="s">
        <v>3290</v>
      </c>
      <c r="G10" s="3372">
        <v>8.3000000000000007</v>
      </c>
      <c r="H10" s="3363" t="s">
        <v>3255</v>
      </c>
      <c r="I10" s="3365" t="s">
        <v>3278</v>
      </c>
      <c r="K10" s="3366">
        <f t="shared" si="0"/>
        <v>1635930</v>
      </c>
    </row>
    <row r="11" spans="1:12" s="3366" customFormat="1" ht="35.25" customHeight="1">
      <c r="A11" s="3361">
        <v>10</v>
      </c>
      <c r="B11" s="3369" t="s">
        <v>3291</v>
      </c>
      <c r="C11" s="3361" t="s">
        <v>3292</v>
      </c>
      <c r="D11" s="3369">
        <v>540</v>
      </c>
      <c r="E11" s="3369" t="s">
        <v>3293</v>
      </c>
      <c r="F11" s="3369" t="s">
        <v>3294</v>
      </c>
      <c r="G11" s="3372">
        <v>11.3</v>
      </c>
      <c r="H11" s="3363" t="s">
        <v>3255</v>
      </c>
      <c r="I11" s="3365" t="s">
        <v>3278</v>
      </c>
      <c r="K11" s="3366">
        <f t="shared" si="0"/>
        <v>2227230</v>
      </c>
    </row>
    <row r="12" spans="1:12" s="3366" customFormat="1" ht="30" customHeight="1">
      <c r="A12" s="3361">
        <v>11</v>
      </c>
      <c r="B12" s="3362" t="s">
        <v>3295</v>
      </c>
      <c r="C12" s="3361" t="s">
        <v>3296</v>
      </c>
      <c r="D12" s="3362">
        <v>420</v>
      </c>
      <c r="E12" s="3362" t="s">
        <v>3297</v>
      </c>
      <c r="F12" s="3362" t="s">
        <v>3298</v>
      </c>
      <c r="G12" s="3367">
        <v>8.5</v>
      </c>
      <c r="H12" s="3363" t="s">
        <v>3255</v>
      </c>
      <c r="I12" s="3365" t="s">
        <v>3278</v>
      </c>
      <c r="K12" s="3366">
        <f t="shared" si="0"/>
        <v>1303050</v>
      </c>
    </row>
    <row r="13" spans="1:12" s="3366" customFormat="1" ht="30" customHeight="1">
      <c r="A13" s="3361">
        <v>12</v>
      </c>
      <c r="B13" s="3362" t="s">
        <v>3299</v>
      </c>
      <c r="C13" s="3361" t="s">
        <v>3300</v>
      </c>
      <c r="D13" s="3362">
        <v>540</v>
      </c>
      <c r="E13" s="3362" t="s">
        <v>3297</v>
      </c>
      <c r="F13" s="3362" t="s">
        <v>3298</v>
      </c>
      <c r="G13" s="3367">
        <v>8.5</v>
      </c>
      <c r="H13" s="3363" t="s">
        <v>3255</v>
      </c>
      <c r="I13" s="3365" t="s">
        <v>3278</v>
      </c>
      <c r="K13" s="3366">
        <f t="shared" si="0"/>
        <v>1675350</v>
      </c>
    </row>
    <row r="14" spans="1:12" s="3366" customFormat="1" ht="30" customHeight="1">
      <c r="A14" s="3361">
        <v>13</v>
      </c>
      <c r="B14" s="3362" t="s">
        <v>3301</v>
      </c>
      <c r="C14" s="3361" t="s">
        <v>3302</v>
      </c>
      <c r="D14" s="3362">
        <v>540</v>
      </c>
      <c r="E14" s="3362" t="s">
        <v>3303</v>
      </c>
      <c r="F14" s="3362" t="s">
        <v>3304</v>
      </c>
      <c r="G14" s="3367">
        <v>10</v>
      </c>
      <c r="H14" s="3363" t="s">
        <v>3255</v>
      </c>
      <c r="I14" s="3365" t="s">
        <v>3278</v>
      </c>
      <c r="K14" s="3366">
        <f t="shared" si="0"/>
        <v>1971000</v>
      </c>
    </row>
    <row r="15" spans="1:12" s="3366" customFormat="1" ht="30" customHeight="1">
      <c r="A15" s="3361">
        <v>14</v>
      </c>
      <c r="B15" s="3362" t="s">
        <v>3305</v>
      </c>
      <c r="C15" s="3361" t="s">
        <v>3306</v>
      </c>
      <c r="D15" s="3362">
        <v>540</v>
      </c>
      <c r="E15" s="3362" t="s">
        <v>3307</v>
      </c>
      <c r="F15" s="3362" t="s">
        <v>3308</v>
      </c>
      <c r="G15" s="3367">
        <v>10.4</v>
      </c>
      <c r="H15" s="3363" t="s">
        <v>3255</v>
      </c>
      <c r="I15" s="3365" t="s">
        <v>3278</v>
      </c>
      <c r="K15" s="3366">
        <f t="shared" si="0"/>
        <v>2049840</v>
      </c>
    </row>
    <row r="16" spans="1:12" s="3366" customFormat="1" ht="30.6" customHeight="1">
      <c r="A16" s="3361">
        <v>15</v>
      </c>
      <c r="B16" s="3362" t="s">
        <v>3309</v>
      </c>
      <c r="C16" s="3361" t="s">
        <v>3310</v>
      </c>
      <c r="D16" s="3362">
        <v>540</v>
      </c>
      <c r="E16" s="3362" t="s">
        <v>3311</v>
      </c>
      <c r="F16" s="3363" t="s">
        <v>3312</v>
      </c>
      <c r="G16" s="3367">
        <v>10.4</v>
      </c>
      <c r="H16" s="3363" t="s">
        <v>3255</v>
      </c>
      <c r="I16" s="3365" t="s">
        <v>3278</v>
      </c>
      <c r="K16" s="3366">
        <f t="shared" si="0"/>
        <v>2049840</v>
      </c>
    </row>
    <row r="17" spans="1:11" s="3366" customFormat="1" ht="31.5" customHeight="1">
      <c r="A17" s="3361">
        <v>16</v>
      </c>
      <c r="B17" s="3365" t="s">
        <v>3313</v>
      </c>
      <c r="C17" s="3361" t="s">
        <v>3314</v>
      </c>
      <c r="D17" s="3362">
        <v>1190</v>
      </c>
      <c r="E17" s="3365" t="s">
        <v>3315</v>
      </c>
      <c r="F17" s="3365" t="s">
        <v>3316</v>
      </c>
      <c r="G17" s="3367">
        <v>9.5</v>
      </c>
      <c r="H17" s="3363" t="s">
        <v>3255</v>
      </c>
      <c r="I17" s="3365" t="s">
        <v>3278</v>
      </c>
      <c r="K17" s="3366">
        <f t="shared" si="0"/>
        <v>4126325</v>
      </c>
    </row>
    <row r="18" spans="1:11" s="3366" customFormat="1" ht="30" customHeight="1">
      <c r="A18" s="3361">
        <v>17</v>
      </c>
      <c r="B18" s="3373" t="s">
        <v>3313</v>
      </c>
      <c r="C18" s="3361" t="s">
        <v>3317</v>
      </c>
      <c r="D18" s="3362">
        <v>700</v>
      </c>
      <c r="E18" s="3362" t="s">
        <v>3318</v>
      </c>
      <c r="F18" s="3362" t="s">
        <v>3319</v>
      </c>
      <c r="G18" s="3367">
        <v>5</v>
      </c>
      <c r="H18" s="3363" t="s">
        <v>3255</v>
      </c>
      <c r="I18" s="3365" t="s">
        <v>3278</v>
      </c>
      <c r="K18" s="3366">
        <f t="shared" si="0"/>
        <v>1277500</v>
      </c>
    </row>
    <row r="19" spans="1:11" s="3366" customFormat="1" ht="30" customHeight="1">
      <c r="A19" s="3361">
        <v>18</v>
      </c>
      <c r="B19" s="3374" t="s">
        <v>3320</v>
      </c>
      <c r="C19" s="3361" t="s">
        <v>3321</v>
      </c>
      <c r="D19" s="3363">
        <v>363</v>
      </c>
      <c r="E19" s="3374" t="s">
        <v>3322</v>
      </c>
      <c r="F19" s="3374" t="s">
        <v>3323</v>
      </c>
      <c r="G19" s="3364">
        <v>9.5</v>
      </c>
      <c r="H19" s="3363" t="s">
        <v>3255</v>
      </c>
      <c r="I19" s="3365" t="s">
        <v>3278</v>
      </c>
      <c r="K19" s="3366">
        <f t="shared" si="0"/>
        <v>1258702.5</v>
      </c>
    </row>
    <row r="20" spans="1:11" s="3366" customFormat="1" ht="30" customHeight="1">
      <c r="A20" s="3361">
        <v>19</v>
      </c>
      <c r="B20" s="3365" t="s">
        <v>3324</v>
      </c>
      <c r="C20" s="3361" t="s">
        <v>3325</v>
      </c>
      <c r="D20" s="3362">
        <v>417</v>
      </c>
      <c r="E20" s="3365" t="s">
        <v>3326</v>
      </c>
      <c r="F20" s="3365" t="s">
        <v>3327</v>
      </c>
      <c r="G20" s="3367">
        <v>8.5</v>
      </c>
      <c r="H20" s="3363" t="s">
        <v>3255</v>
      </c>
      <c r="I20" s="3365" t="s">
        <v>3278</v>
      </c>
      <c r="K20" s="3366">
        <f t="shared" si="0"/>
        <v>1293742.5</v>
      </c>
    </row>
    <row r="21" spans="1:11" s="3366" customFormat="1" ht="30" customHeight="1">
      <c r="A21" s="3361">
        <v>20</v>
      </c>
      <c r="B21" s="3375" t="s">
        <v>3328</v>
      </c>
      <c r="C21" s="3361" t="s">
        <v>3329</v>
      </c>
      <c r="D21" s="3362"/>
      <c r="E21" s="3365"/>
      <c r="F21" s="3365"/>
      <c r="G21" s="3367"/>
      <c r="H21" s="3363" t="s">
        <v>3255</v>
      </c>
      <c r="I21" s="3365" t="s">
        <v>3278</v>
      </c>
      <c r="K21" s="3366">
        <f t="shared" si="0"/>
        <v>0</v>
      </c>
    </row>
    <row r="22" spans="1:11" s="3366" customFormat="1" ht="30" customHeight="1">
      <c r="A22" s="3361">
        <v>21</v>
      </c>
      <c r="B22" s="3373" t="s">
        <v>3330</v>
      </c>
      <c r="C22" s="3361" t="s">
        <v>3331</v>
      </c>
      <c r="D22" s="3362">
        <v>760</v>
      </c>
      <c r="E22" s="3362" t="s">
        <v>3332</v>
      </c>
      <c r="F22" s="3362" t="s">
        <v>3333</v>
      </c>
      <c r="G22" s="3367">
        <v>8.5</v>
      </c>
      <c r="H22" s="3363" t="s">
        <v>3255</v>
      </c>
      <c r="I22" s="3365" t="s">
        <v>3334</v>
      </c>
      <c r="K22" s="3366">
        <f t="shared" si="0"/>
        <v>2357900</v>
      </c>
    </row>
    <row r="23" spans="1:11" s="3366" customFormat="1" ht="30" customHeight="1">
      <c r="A23" s="3361">
        <v>22</v>
      </c>
      <c r="B23" s="3375" t="s">
        <v>3335</v>
      </c>
      <c r="C23" s="3361" t="s">
        <v>3336</v>
      </c>
      <c r="D23" s="3362">
        <v>320</v>
      </c>
      <c r="E23" s="3365" t="s">
        <v>3276</v>
      </c>
      <c r="F23" s="3374" t="s">
        <v>3277</v>
      </c>
      <c r="G23" s="3367">
        <v>8.5</v>
      </c>
      <c r="H23" s="3363" t="s">
        <v>3255</v>
      </c>
      <c r="I23" s="3365" t="s">
        <v>3278</v>
      </c>
      <c r="K23" s="3366">
        <f t="shared" si="0"/>
        <v>992800</v>
      </c>
    </row>
    <row r="24" spans="1:11" s="3366" customFormat="1" ht="30" customHeight="1">
      <c r="A24" s="3361">
        <v>23</v>
      </c>
      <c r="B24" s="3373" t="s">
        <v>3337</v>
      </c>
      <c r="C24" s="3361" t="s">
        <v>3338</v>
      </c>
      <c r="D24" s="3362">
        <v>1080</v>
      </c>
      <c r="E24" s="3365" t="s">
        <v>3339</v>
      </c>
      <c r="F24" s="3365" t="s">
        <v>3340</v>
      </c>
      <c r="G24" s="3376">
        <v>8</v>
      </c>
      <c r="H24" s="3363" t="s">
        <v>3255</v>
      </c>
      <c r="I24" s="3365" t="s">
        <v>3278</v>
      </c>
      <c r="K24" s="3366">
        <f t="shared" si="0"/>
        <v>3153600</v>
      </c>
    </row>
    <row r="25" spans="1:11" s="3366" customFormat="1" ht="30" customHeight="1">
      <c r="A25" s="3361">
        <v>24</v>
      </c>
      <c r="B25" s="3374" t="s">
        <v>3341</v>
      </c>
      <c r="C25" s="3361" t="s">
        <v>3342</v>
      </c>
      <c r="D25" s="3377">
        <v>1080</v>
      </c>
      <c r="E25" s="3374" t="s">
        <v>3343</v>
      </c>
      <c r="F25" s="3374" t="s">
        <v>3344</v>
      </c>
      <c r="G25" s="3364">
        <v>8.5</v>
      </c>
      <c r="H25" s="3363" t="s">
        <v>3255</v>
      </c>
      <c r="I25" s="3365" t="s">
        <v>3278</v>
      </c>
      <c r="K25" s="3366">
        <f t="shared" si="0"/>
        <v>3350700</v>
      </c>
    </row>
    <row r="26" spans="1:11" s="3366" customFormat="1" ht="30" customHeight="1">
      <c r="A26" s="3361">
        <v>25</v>
      </c>
      <c r="B26" s="3365" t="s">
        <v>3345</v>
      </c>
      <c r="C26" s="3361" t="s">
        <v>3346</v>
      </c>
      <c r="D26" s="3377">
        <v>98</v>
      </c>
      <c r="E26" s="3374" t="s">
        <v>3276</v>
      </c>
      <c r="F26" s="3374" t="s">
        <v>3277</v>
      </c>
      <c r="G26" s="3364">
        <v>8.19</v>
      </c>
      <c r="H26" s="3363" t="s">
        <v>3255</v>
      </c>
      <c r="I26" s="3365" t="s">
        <v>3347</v>
      </c>
      <c r="K26" s="3366">
        <f t="shared" si="0"/>
        <v>292956.3</v>
      </c>
    </row>
    <row r="27" spans="1:11" s="3366" customFormat="1" ht="30" customHeight="1">
      <c r="A27" s="3361">
        <v>26</v>
      </c>
      <c r="B27" s="3362" t="s">
        <v>3348</v>
      </c>
      <c r="C27" s="3361" t="s">
        <v>3349</v>
      </c>
      <c r="D27" s="3362">
        <v>820</v>
      </c>
      <c r="E27" s="3362" t="s">
        <v>3350</v>
      </c>
      <c r="F27" s="3362" t="s">
        <v>3351</v>
      </c>
      <c r="G27" s="3367">
        <v>5.0999999999999996</v>
      </c>
      <c r="H27" s="3363" t="s">
        <v>3255</v>
      </c>
      <c r="I27" s="3365" t="s">
        <v>3352</v>
      </c>
      <c r="K27" s="3366">
        <f t="shared" si="0"/>
        <v>1526430</v>
      </c>
    </row>
    <row r="28" spans="1:11" s="3366" customFormat="1" ht="35.25" customHeight="1">
      <c r="A28" s="3361">
        <v>27</v>
      </c>
      <c r="B28" s="3362" t="s">
        <v>3353</v>
      </c>
      <c r="C28" s="3361" t="s">
        <v>3354</v>
      </c>
      <c r="D28" s="3362">
        <v>1300</v>
      </c>
      <c r="E28" s="3362" t="s">
        <v>3355</v>
      </c>
      <c r="F28" s="3362" t="s">
        <v>3356</v>
      </c>
      <c r="G28" s="3367">
        <v>5.0999999999999996</v>
      </c>
      <c r="H28" s="3363" t="s">
        <v>3255</v>
      </c>
      <c r="I28" s="3365" t="s">
        <v>3352</v>
      </c>
      <c r="K28" s="3366">
        <f t="shared" si="0"/>
        <v>2419949.9999999995</v>
      </c>
    </row>
    <row r="29" spans="1:11" s="3378" customFormat="1" ht="30" customHeight="1">
      <c r="A29" s="3361">
        <v>28</v>
      </c>
      <c r="B29" s="3362" t="s">
        <v>3357</v>
      </c>
      <c r="C29" s="3361" t="s">
        <v>3358</v>
      </c>
      <c r="D29" s="3362">
        <v>1028.18</v>
      </c>
      <c r="E29" s="3362" t="s">
        <v>3259</v>
      </c>
      <c r="F29" s="3362" t="s">
        <v>3359</v>
      </c>
      <c r="G29" s="3367">
        <v>10</v>
      </c>
      <c r="H29" s="3363" t="s">
        <v>3255</v>
      </c>
      <c r="I29" s="3365" t="s">
        <v>3278</v>
      </c>
      <c r="K29" s="3366">
        <f t="shared" si="0"/>
        <v>3752857.0000000005</v>
      </c>
    </row>
    <row r="30" spans="1:11" s="3378" customFormat="1" ht="30" customHeight="1">
      <c r="A30" s="3361">
        <v>29</v>
      </c>
      <c r="B30" s="3362" t="s">
        <v>3360</v>
      </c>
      <c r="C30" s="3361" t="s">
        <v>3361</v>
      </c>
      <c r="D30" s="3362">
        <v>2104</v>
      </c>
      <c r="E30" s="3362" t="s">
        <v>3362</v>
      </c>
      <c r="F30" s="3362" t="s">
        <v>3363</v>
      </c>
      <c r="G30" s="3367">
        <v>9.39</v>
      </c>
      <c r="H30" s="3363" t="s">
        <v>3255</v>
      </c>
      <c r="I30" s="3365" t="s">
        <v>3364</v>
      </c>
      <c r="K30" s="3366">
        <f t="shared" si="0"/>
        <v>7211144.4000000004</v>
      </c>
    </row>
    <row r="31" spans="1:11" s="3380" customFormat="1" ht="30" customHeight="1">
      <c r="A31" s="3361">
        <v>30</v>
      </c>
      <c r="B31" s="3365" t="s">
        <v>3365</v>
      </c>
      <c r="C31" s="3362" t="s">
        <v>3366</v>
      </c>
      <c r="D31" s="3379">
        <v>130</v>
      </c>
      <c r="E31" s="3365" t="s">
        <v>3367</v>
      </c>
      <c r="F31" s="3365" t="s">
        <v>3368</v>
      </c>
      <c r="G31" s="3367">
        <v>10</v>
      </c>
      <c r="H31" s="3363" t="s">
        <v>3255</v>
      </c>
      <c r="I31" s="3365" t="s">
        <v>3352</v>
      </c>
      <c r="K31" s="3366">
        <f t="shared" si="0"/>
        <v>474500</v>
      </c>
    </row>
    <row r="32" spans="1:11" s="3366" customFormat="1" ht="42" customHeight="1">
      <c r="A32" s="3361">
        <v>31</v>
      </c>
      <c r="B32" s="3365" t="s">
        <v>3365</v>
      </c>
      <c r="C32" s="3362" t="s">
        <v>3369</v>
      </c>
      <c r="D32" s="3379">
        <v>198</v>
      </c>
      <c r="E32" s="3365" t="s">
        <v>3362</v>
      </c>
      <c r="F32" s="3365" t="s">
        <v>3370</v>
      </c>
      <c r="G32" s="3367">
        <v>9.3000000000000007</v>
      </c>
      <c r="H32" s="3363" t="s">
        <v>3255</v>
      </c>
      <c r="I32" s="3365" t="s">
        <v>3278</v>
      </c>
      <c r="K32" s="3366">
        <f t="shared" si="0"/>
        <v>672111</v>
      </c>
    </row>
    <row r="33" spans="1:11" s="3366" customFormat="1" ht="30" customHeight="1">
      <c r="A33" s="3361">
        <v>32</v>
      </c>
      <c r="B33" s="3361" t="s">
        <v>3371</v>
      </c>
      <c r="C33" s="3362" t="s">
        <v>3372</v>
      </c>
      <c r="D33" s="3379">
        <v>98</v>
      </c>
      <c r="E33" s="3381" t="s">
        <v>3373</v>
      </c>
      <c r="F33" s="3381" t="s">
        <v>3374</v>
      </c>
      <c r="G33" s="3367">
        <v>9</v>
      </c>
      <c r="H33" s="3363" t="s">
        <v>3255</v>
      </c>
      <c r="I33" s="3365" t="s">
        <v>3278</v>
      </c>
      <c r="K33" s="3366">
        <f t="shared" si="0"/>
        <v>321930</v>
      </c>
    </row>
    <row r="34" spans="1:11" s="3380" customFormat="1" ht="29.25" customHeight="1">
      <c r="A34" s="3361">
        <v>33</v>
      </c>
      <c r="B34" s="3365" t="s">
        <v>3375</v>
      </c>
      <c r="C34" s="3362" t="s">
        <v>3376</v>
      </c>
      <c r="D34" s="3379">
        <v>42</v>
      </c>
      <c r="E34" s="3365" t="s">
        <v>3264</v>
      </c>
      <c r="F34" s="3365" t="s">
        <v>3377</v>
      </c>
      <c r="G34" s="3367">
        <v>8.6</v>
      </c>
      <c r="H34" s="3363" t="s">
        <v>3255</v>
      </c>
      <c r="I34" s="3365" t="s">
        <v>3278</v>
      </c>
      <c r="K34" s="3366">
        <f t="shared" si="0"/>
        <v>131838</v>
      </c>
    </row>
    <row r="35" spans="1:11" s="3366" customFormat="1" ht="30" customHeight="1">
      <c r="A35" s="3361">
        <v>34</v>
      </c>
      <c r="B35" s="3374" t="s">
        <v>3378</v>
      </c>
      <c r="C35" s="3362" t="s">
        <v>3379</v>
      </c>
      <c r="D35" s="3377">
        <v>197</v>
      </c>
      <c r="E35" s="3374" t="s">
        <v>3380</v>
      </c>
      <c r="F35" s="3374" t="s">
        <v>3356</v>
      </c>
      <c r="G35" s="3364">
        <v>7</v>
      </c>
      <c r="H35" s="3363" t="s">
        <v>3255</v>
      </c>
      <c r="I35" s="3365" t="s">
        <v>3352</v>
      </c>
      <c r="K35" s="3366">
        <f t="shared" si="0"/>
        <v>503335</v>
      </c>
    </row>
    <row r="36" spans="1:11" s="3366" customFormat="1" ht="30" customHeight="1">
      <c r="A36" s="3361">
        <v>35</v>
      </c>
      <c r="B36" s="3362" t="s">
        <v>3381</v>
      </c>
      <c r="C36" s="3362" t="s">
        <v>3382</v>
      </c>
      <c r="D36" s="3379">
        <v>30</v>
      </c>
      <c r="E36" s="3365" t="s">
        <v>3383</v>
      </c>
      <c r="F36" s="3365" t="s">
        <v>3319</v>
      </c>
      <c r="G36" s="3367">
        <v>10</v>
      </c>
      <c r="H36" s="3363" t="s">
        <v>3255</v>
      </c>
      <c r="I36" s="3365" t="s">
        <v>3278</v>
      </c>
      <c r="K36" s="3366">
        <f t="shared" si="0"/>
        <v>109500</v>
      </c>
    </row>
    <row r="37" spans="1:11" s="3366" customFormat="1" ht="30" customHeight="1">
      <c r="A37" s="3361">
        <v>36</v>
      </c>
      <c r="B37" s="3365" t="s">
        <v>3384</v>
      </c>
      <c r="C37" s="3362" t="s">
        <v>3385</v>
      </c>
      <c r="D37" s="3379">
        <v>90</v>
      </c>
      <c r="E37" s="3381" t="s">
        <v>3386</v>
      </c>
      <c r="F37" s="3381" t="s">
        <v>3387</v>
      </c>
      <c r="G37" s="3367">
        <v>10</v>
      </c>
      <c r="H37" s="3363" t="s">
        <v>3255</v>
      </c>
      <c r="I37" s="3365" t="s">
        <v>3278</v>
      </c>
      <c r="K37" s="3366">
        <f t="shared" si="0"/>
        <v>328500</v>
      </c>
    </row>
    <row r="38" spans="1:11" s="3366" customFormat="1" ht="30" customHeight="1">
      <c r="A38" s="3361">
        <v>37</v>
      </c>
      <c r="B38" s="3362" t="s">
        <v>3384</v>
      </c>
      <c r="C38" s="3362" t="s">
        <v>3388</v>
      </c>
      <c r="D38" s="3361">
        <v>68</v>
      </c>
      <c r="E38" s="3361" t="s">
        <v>3383</v>
      </c>
      <c r="F38" s="3361" t="s">
        <v>3319</v>
      </c>
      <c r="G38" s="3367">
        <v>10</v>
      </c>
      <c r="H38" s="3363" t="s">
        <v>3255</v>
      </c>
      <c r="I38" s="3365" t="s">
        <v>3278</v>
      </c>
      <c r="K38" s="3366">
        <f t="shared" si="0"/>
        <v>248200</v>
      </c>
    </row>
    <row r="39" spans="1:11" s="3380" customFormat="1" ht="30" customHeight="1">
      <c r="A39" s="3361">
        <v>38</v>
      </c>
      <c r="B39" s="3362" t="s">
        <v>3389</v>
      </c>
      <c r="C39" s="3362" t="s">
        <v>3390</v>
      </c>
      <c r="D39" s="3379">
        <v>68</v>
      </c>
      <c r="E39" s="3382" t="s">
        <v>3391</v>
      </c>
      <c r="F39" s="3382" t="s">
        <v>3392</v>
      </c>
      <c r="G39" s="3367">
        <v>8</v>
      </c>
      <c r="H39" s="3363" t="s">
        <v>3255</v>
      </c>
      <c r="I39" s="3365" t="s">
        <v>3278</v>
      </c>
      <c r="K39" s="3366">
        <f t="shared" si="0"/>
        <v>198560</v>
      </c>
    </row>
    <row r="40" spans="1:11" s="3366" customFormat="1" ht="30" customHeight="1">
      <c r="A40" s="3361">
        <v>39</v>
      </c>
      <c r="B40" s="3363" t="s">
        <v>3393</v>
      </c>
      <c r="C40" s="3362" t="s">
        <v>3394</v>
      </c>
      <c r="D40" s="3363">
        <v>99</v>
      </c>
      <c r="E40" s="3363" t="s">
        <v>3395</v>
      </c>
      <c r="F40" s="3363" t="s">
        <v>3396</v>
      </c>
      <c r="G40" s="3364">
        <v>9.4</v>
      </c>
      <c r="H40" s="3363" t="s">
        <v>3255</v>
      </c>
      <c r="I40" s="3365" t="s">
        <v>3278</v>
      </c>
      <c r="K40" s="3366">
        <f t="shared" si="0"/>
        <v>339669</v>
      </c>
    </row>
    <row r="41" spans="1:11" s="3366" customFormat="1" ht="30" customHeight="1">
      <c r="A41" s="3361">
        <v>40</v>
      </c>
      <c r="B41" s="3362" t="s">
        <v>3397</v>
      </c>
      <c r="C41" s="3362" t="s">
        <v>3398</v>
      </c>
      <c r="D41" s="3362">
        <v>33</v>
      </c>
      <c r="E41" s="3362" t="s">
        <v>3399</v>
      </c>
      <c r="F41" s="3362" t="s">
        <v>3400</v>
      </c>
      <c r="G41" s="3367">
        <v>8</v>
      </c>
      <c r="H41" s="3363" t="s">
        <v>3255</v>
      </c>
      <c r="I41" s="3365" t="s">
        <v>3278</v>
      </c>
      <c r="K41" s="3366">
        <f t="shared" si="0"/>
        <v>96360</v>
      </c>
    </row>
    <row r="42" spans="1:11" s="3366" customFormat="1" ht="30" customHeight="1">
      <c r="A42" s="3361">
        <v>41</v>
      </c>
      <c r="B42" s="3362" t="s">
        <v>3401</v>
      </c>
      <c r="C42" s="3362" t="s">
        <v>3402</v>
      </c>
      <c r="D42" s="3362">
        <v>33</v>
      </c>
      <c r="E42" s="3362" t="s">
        <v>3403</v>
      </c>
      <c r="F42" s="3365" t="s">
        <v>3265</v>
      </c>
      <c r="G42" s="3367">
        <v>8</v>
      </c>
      <c r="H42" s="3363" t="s">
        <v>3255</v>
      </c>
      <c r="I42" s="3365" t="s">
        <v>3278</v>
      </c>
      <c r="K42" s="3366">
        <f t="shared" si="0"/>
        <v>96360</v>
      </c>
    </row>
    <row r="43" spans="1:11" s="3366" customFormat="1" ht="30" customHeight="1">
      <c r="A43" s="3361">
        <v>42</v>
      </c>
      <c r="B43" s="3362" t="s">
        <v>3404</v>
      </c>
      <c r="C43" s="3362" t="s">
        <v>3405</v>
      </c>
      <c r="D43" s="3362">
        <v>68</v>
      </c>
      <c r="E43" s="3362" t="s">
        <v>3343</v>
      </c>
      <c r="F43" s="3362" t="s">
        <v>3406</v>
      </c>
      <c r="G43" s="3367">
        <v>9</v>
      </c>
      <c r="H43" s="3363" t="s">
        <v>3255</v>
      </c>
      <c r="I43" s="3365" t="s">
        <v>3278</v>
      </c>
      <c r="K43" s="3366">
        <f t="shared" si="0"/>
        <v>223380</v>
      </c>
    </row>
    <row r="44" spans="1:11" s="3366" customFormat="1" ht="30" customHeight="1">
      <c r="A44" s="3361">
        <v>43</v>
      </c>
      <c r="B44" s="3374" t="s">
        <v>3407</v>
      </c>
      <c r="C44" s="3362" t="s">
        <v>3408</v>
      </c>
      <c r="D44" s="3363">
        <v>101</v>
      </c>
      <c r="E44" s="3374" t="s">
        <v>3409</v>
      </c>
      <c r="F44" s="3363" t="s">
        <v>3265</v>
      </c>
      <c r="G44" s="3364">
        <v>8.5</v>
      </c>
      <c r="H44" s="3363" t="s">
        <v>3255</v>
      </c>
      <c r="I44" s="3365" t="s">
        <v>3278</v>
      </c>
      <c r="K44" s="3366">
        <f t="shared" si="0"/>
        <v>313352.5</v>
      </c>
    </row>
    <row r="45" spans="1:11" s="3380" customFormat="1" ht="30" customHeight="1">
      <c r="A45" s="3361">
        <v>44</v>
      </c>
      <c r="B45" s="3362" t="s">
        <v>3410</v>
      </c>
      <c r="C45" s="3362" t="s">
        <v>3411</v>
      </c>
      <c r="D45" s="3362">
        <v>33</v>
      </c>
      <c r="E45" s="3362" t="s">
        <v>3412</v>
      </c>
      <c r="F45" s="3362" t="s">
        <v>3413</v>
      </c>
      <c r="G45" s="3372">
        <v>9.5</v>
      </c>
      <c r="H45" s="3363" t="s">
        <v>3255</v>
      </c>
      <c r="I45" s="3365" t="s">
        <v>3278</v>
      </c>
      <c r="K45" s="3366">
        <f t="shared" si="0"/>
        <v>114427.5</v>
      </c>
    </row>
    <row r="46" spans="1:11" s="3366" customFormat="1" ht="30" customHeight="1">
      <c r="A46" s="3361">
        <v>45</v>
      </c>
      <c r="B46" s="3363" t="s">
        <v>3414</v>
      </c>
      <c r="C46" s="3363" t="s">
        <v>3415</v>
      </c>
      <c r="D46" s="3363">
        <v>950</v>
      </c>
      <c r="E46" s="3363" t="s">
        <v>3293</v>
      </c>
      <c r="F46" s="3363" t="s">
        <v>3416</v>
      </c>
      <c r="G46" s="3364">
        <v>10</v>
      </c>
      <c r="H46" s="3363" t="s">
        <v>3255</v>
      </c>
      <c r="I46" s="3365" t="s">
        <v>3278</v>
      </c>
      <c r="K46" s="3366">
        <f t="shared" si="0"/>
        <v>3467500</v>
      </c>
    </row>
    <row r="47" spans="1:11" s="3366" customFormat="1" ht="30" customHeight="1">
      <c r="A47" s="3361">
        <v>46</v>
      </c>
      <c r="B47" s="3362" t="s">
        <v>3417</v>
      </c>
      <c r="C47" s="3363" t="s">
        <v>3418</v>
      </c>
      <c r="D47" s="3362">
        <v>950</v>
      </c>
      <c r="E47" s="3362" t="s">
        <v>3419</v>
      </c>
      <c r="F47" s="3362" t="s">
        <v>3420</v>
      </c>
      <c r="G47" s="3367">
        <v>10</v>
      </c>
      <c r="H47" s="3363" t="s">
        <v>3255</v>
      </c>
      <c r="I47" s="3365" t="s">
        <v>3278</v>
      </c>
      <c r="K47" s="3366">
        <f t="shared" si="0"/>
        <v>3467500</v>
      </c>
    </row>
    <row r="48" spans="1:11" s="3366" customFormat="1" ht="30" customHeight="1">
      <c r="A48" s="3361">
        <v>47</v>
      </c>
      <c r="B48" s="3363" t="s">
        <v>3421</v>
      </c>
      <c r="C48" s="3362" t="s">
        <v>3422</v>
      </c>
      <c r="D48" s="3363">
        <v>556</v>
      </c>
      <c r="E48" s="3363" t="s">
        <v>3423</v>
      </c>
      <c r="F48" s="3363" t="s">
        <v>3282</v>
      </c>
      <c r="G48" s="3364">
        <v>11</v>
      </c>
      <c r="H48" s="3363" t="s">
        <v>3255</v>
      </c>
      <c r="I48" s="3365" t="s">
        <v>3278</v>
      </c>
      <c r="K48" s="3366">
        <f t="shared" si="0"/>
        <v>2232340</v>
      </c>
    </row>
    <row r="49" spans="1:12" s="3366" customFormat="1" ht="30" customHeight="1">
      <c r="A49" s="3361">
        <v>48</v>
      </c>
      <c r="B49" s="3363" t="s">
        <v>3424</v>
      </c>
      <c r="C49" s="3362" t="s">
        <v>3425</v>
      </c>
      <c r="D49" s="3363">
        <v>242</v>
      </c>
      <c r="E49" s="3363" t="s">
        <v>3426</v>
      </c>
      <c r="F49" s="3363" t="s">
        <v>3427</v>
      </c>
      <c r="G49" s="3364">
        <v>9.3000000000000007</v>
      </c>
      <c r="H49" s="3363" t="s">
        <v>3255</v>
      </c>
      <c r="I49" s="3365" t="s">
        <v>3278</v>
      </c>
      <c r="K49" s="3366">
        <f t="shared" si="0"/>
        <v>821469.00000000012</v>
      </c>
    </row>
    <row r="50" spans="1:12" s="3366" customFormat="1" ht="30" customHeight="1">
      <c r="A50" s="3361">
        <v>49</v>
      </c>
      <c r="B50" s="3362" t="s">
        <v>3428</v>
      </c>
      <c r="C50" s="3362" t="s">
        <v>3429</v>
      </c>
      <c r="D50" s="3362">
        <v>1613</v>
      </c>
      <c r="E50" s="3362" t="s">
        <v>3276</v>
      </c>
      <c r="F50" s="3362" t="s">
        <v>3430</v>
      </c>
      <c r="G50" s="3367">
        <v>9.3000000000000007</v>
      </c>
      <c r="H50" s="3363" t="s">
        <v>3255</v>
      </c>
      <c r="I50" s="3365" t="s">
        <v>3278</v>
      </c>
      <c r="K50" s="3366">
        <f t="shared" si="0"/>
        <v>5475328.5000000009</v>
      </c>
    </row>
    <row r="51" spans="1:12" s="3366" customFormat="1" ht="30" customHeight="1">
      <c r="A51" s="3361">
        <v>50</v>
      </c>
      <c r="B51" s="3362" t="s">
        <v>3431</v>
      </c>
      <c r="C51" s="3363" t="s">
        <v>3432</v>
      </c>
      <c r="D51" s="3362">
        <v>910</v>
      </c>
      <c r="E51" s="3362" t="s">
        <v>3433</v>
      </c>
      <c r="F51" s="3362" t="s">
        <v>3434</v>
      </c>
      <c r="G51" s="3367">
        <v>10</v>
      </c>
      <c r="H51" s="3363" t="s">
        <v>3255</v>
      </c>
      <c r="I51" s="3365" t="s">
        <v>3278</v>
      </c>
      <c r="K51" s="3366">
        <f t="shared" si="0"/>
        <v>3321500</v>
      </c>
    </row>
    <row r="52" spans="1:12" s="3366" customFormat="1" ht="44.45" customHeight="1">
      <c r="A52" s="3361">
        <v>51</v>
      </c>
      <c r="B52" s="3363" t="s">
        <v>3435</v>
      </c>
      <c r="C52" s="3363" t="s">
        <v>3436</v>
      </c>
      <c r="D52" s="3363">
        <v>308</v>
      </c>
      <c r="E52" s="3363" t="s">
        <v>3437</v>
      </c>
      <c r="F52" s="3363" t="s">
        <v>3438</v>
      </c>
      <c r="G52" s="3364">
        <v>5</v>
      </c>
      <c r="H52" s="3363" t="s">
        <v>3255</v>
      </c>
      <c r="I52" s="3365" t="s">
        <v>3261</v>
      </c>
      <c r="K52" s="3366">
        <f t="shared" si="0"/>
        <v>562100</v>
      </c>
    </row>
    <row r="53" spans="1:12" s="3384" customFormat="1" ht="30.75" customHeight="1">
      <c r="A53" s="3361">
        <v>52</v>
      </c>
      <c r="B53" s="3383" t="s">
        <v>3353</v>
      </c>
      <c r="C53" s="3363" t="s">
        <v>3439</v>
      </c>
      <c r="D53" s="3363">
        <v>986</v>
      </c>
      <c r="E53" s="3362" t="s">
        <v>3440</v>
      </c>
      <c r="F53" s="3362" t="s">
        <v>3441</v>
      </c>
      <c r="G53" s="3367">
        <v>5.56</v>
      </c>
      <c r="H53" s="3363" t="s">
        <v>3255</v>
      </c>
      <c r="I53" s="3365" t="s">
        <v>3278</v>
      </c>
      <c r="K53" s="3366">
        <f t="shared" si="0"/>
        <v>2000988.4</v>
      </c>
    </row>
    <row r="54" spans="1:12" s="3358" customFormat="1" ht="37.5" customHeight="1">
      <c r="A54" s="3352">
        <v>53</v>
      </c>
      <c r="B54" s="3353" t="s">
        <v>3270</v>
      </c>
      <c r="C54" s="3354" t="s">
        <v>3442</v>
      </c>
      <c r="D54" s="3354">
        <v>231</v>
      </c>
      <c r="E54" s="3354" t="s">
        <v>3443</v>
      </c>
      <c r="F54" s="3354" t="s">
        <v>3444</v>
      </c>
      <c r="G54" s="3355">
        <v>5</v>
      </c>
      <c r="H54" s="3356" t="s">
        <v>3255</v>
      </c>
      <c r="I54" s="3357" t="s">
        <v>3261</v>
      </c>
      <c r="K54" s="3359">
        <f t="shared" si="0"/>
        <v>421575</v>
      </c>
      <c r="L54" s="3386">
        <f>SUM(K54:K59)/SUM(D54:D59)/365</f>
        <v>9.8011152416356886</v>
      </c>
    </row>
    <row r="55" spans="1:12" s="3359" customFormat="1" ht="28.5" customHeight="1">
      <c r="A55" s="3352">
        <v>54</v>
      </c>
      <c r="B55" s="3353" t="s">
        <v>3445</v>
      </c>
      <c r="C55" s="3354" t="s">
        <v>3446</v>
      </c>
      <c r="D55" s="3354">
        <v>130</v>
      </c>
      <c r="E55" s="3354" t="s">
        <v>3380</v>
      </c>
      <c r="F55" s="3354" t="s">
        <v>3447</v>
      </c>
      <c r="G55" s="3355">
        <v>8</v>
      </c>
      <c r="H55" s="3356" t="s">
        <v>3255</v>
      </c>
      <c r="I55" s="3357" t="s">
        <v>3352</v>
      </c>
      <c r="K55" s="3359">
        <f t="shared" si="0"/>
        <v>379600</v>
      </c>
    </row>
    <row r="56" spans="1:12" s="3359" customFormat="1" ht="33">
      <c r="A56" s="3352">
        <v>55</v>
      </c>
      <c r="B56" s="3354" t="s">
        <v>3448</v>
      </c>
      <c r="C56" s="3354" t="s">
        <v>3449</v>
      </c>
      <c r="D56" s="3354">
        <v>261</v>
      </c>
      <c r="E56" s="3354" t="s">
        <v>3450</v>
      </c>
      <c r="F56" s="3354" t="s">
        <v>3277</v>
      </c>
      <c r="G56" s="3355">
        <v>12</v>
      </c>
      <c r="H56" s="3356" t="s">
        <v>3255</v>
      </c>
      <c r="I56" s="3357" t="s">
        <v>3278</v>
      </c>
      <c r="K56" s="3359">
        <f t="shared" si="0"/>
        <v>1143180</v>
      </c>
    </row>
    <row r="57" spans="1:12" s="3359" customFormat="1" ht="30" customHeight="1">
      <c r="A57" s="3352">
        <v>56</v>
      </c>
      <c r="B57" s="3356" t="s">
        <v>3451</v>
      </c>
      <c r="C57" s="3354" t="s">
        <v>3452</v>
      </c>
      <c r="D57" s="3356">
        <v>1820</v>
      </c>
      <c r="E57" s="3356" t="s">
        <v>3453</v>
      </c>
      <c r="F57" s="3356" t="s">
        <v>3454</v>
      </c>
      <c r="G57" s="3360">
        <v>12</v>
      </c>
      <c r="H57" s="3356" t="s">
        <v>3255</v>
      </c>
      <c r="I57" s="3357" t="s">
        <v>3278</v>
      </c>
      <c r="K57" s="3359">
        <f t="shared" si="0"/>
        <v>7971600</v>
      </c>
    </row>
    <row r="58" spans="1:12" s="3359" customFormat="1" ht="30" customHeight="1">
      <c r="A58" s="3352">
        <v>57</v>
      </c>
      <c r="B58" s="3354" t="s">
        <v>3455</v>
      </c>
      <c r="C58" s="3354" t="s">
        <v>3456</v>
      </c>
      <c r="D58" s="3354">
        <v>900</v>
      </c>
      <c r="E58" s="3354" t="s">
        <v>3450</v>
      </c>
      <c r="F58" s="3354" t="s">
        <v>3457</v>
      </c>
      <c r="G58" s="3355">
        <v>7.6</v>
      </c>
      <c r="H58" s="3356" t="s">
        <v>3255</v>
      </c>
      <c r="I58" s="3357" t="s">
        <v>3278</v>
      </c>
      <c r="K58" s="3359">
        <f t="shared" si="0"/>
        <v>2496600</v>
      </c>
    </row>
    <row r="59" spans="1:12" s="3359" customFormat="1" ht="26.25" customHeight="1">
      <c r="A59" s="3352">
        <v>58</v>
      </c>
      <c r="B59" s="3354" t="s">
        <v>3458</v>
      </c>
      <c r="C59" s="3354" t="s">
        <v>3459</v>
      </c>
      <c r="D59" s="3354">
        <v>962</v>
      </c>
      <c r="E59" s="3354" t="s">
        <v>3460</v>
      </c>
      <c r="F59" s="3354" t="s">
        <v>3461</v>
      </c>
      <c r="G59" s="3355">
        <v>8.5</v>
      </c>
      <c r="H59" s="3356" t="s">
        <v>3255</v>
      </c>
      <c r="I59" s="3357" t="s">
        <v>3278</v>
      </c>
      <c r="K59" s="3359">
        <f t="shared" si="0"/>
        <v>2984605</v>
      </c>
    </row>
    <row r="60" spans="1:12" ht="30" customHeight="1">
      <c r="D60" s="2994">
        <f>SUM(D2:D59)</f>
        <v>30662.18</v>
      </c>
      <c r="G60" s="2996">
        <f>K60/365/D60</f>
        <v>8.834004627198718</v>
      </c>
      <c r="H60" s="2994"/>
      <c r="K60" s="2995">
        <f>SUM(K2:K59)</f>
        <v>98867491.599999994</v>
      </c>
    </row>
    <row r="61" spans="1:12" ht="30" customHeight="1">
      <c r="H61" s="2994"/>
    </row>
  </sheetData>
  <autoFilter ref="A1:WVQ60"/>
  <phoneticPr fontId="145"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98" t="str">
        <f>项目基本情况!B1</f>
        <v>北京市朝阳区建国门外郎家园6号“郎园Vintage”项目房地产抵押价值预评估</v>
      </c>
      <c r="C37" s="2998"/>
      <c r="D37" s="2998"/>
      <c r="E37" s="2998"/>
      <c r="F37" s="2998"/>
      <c r="G37" s="2998"/>
      <c r="H37" s="2998"/>
      <c r="I37" s="2998"/>
    </row>
    <row r="38" spans="1:9">
      <c r="A38" s="1016"/>
      <c r="B38" s="1016"/>
    </row>
    <row r="39" spans="1:9">
      <c r="A39" s="1014" t="s">
        <v>818</v>
      </c>
      <c r="B39" s="1014" t="s">
        <v>820</v>
      </c>
    </row>
    <row r="40" spans="1:9">
      <c r="A40" s="1014"/>
      <c r="B40" s="1942" t="str">
        <f>项目基本情况!B5</f>
        <v>北京农商银行股份有限公司东城支行</v>
      </c>
    </row>
    <row r="41" spans="1:9">
      <c r="A41" s="1014"/>
      <c r="B41" s="1014"/>
    </row>
    <row r="42" spans="1:9">
      <c r="A42" s="1014" t="s">
        <v>818</v>
      </c>
      <c r="B42" s="1014" t="s">
        <v>821</v>
      </c>
    </row>
    <row r="43" spans="1:9">
      <c r="A43" s="1014"/>
      <c r="B43" s="1942" t="s">
        <v>822</v>
      </c>
    </row>
    <row r="44" spans="1:9">
      <c r="A44" s="1014"/>
      <c r="B44" s="1014"/>
    </row>
    <row r="45" spans="1:9">
      <c r="A45" s="1014" t="s">
        <v>818</v>
      </c>
      <c r="B45" s="1014" t="s">
        <v>823</v>
      </c>
    </row>
    <row r="46" spans="1:9" s="1014" customFormat="1" ht="12.75">
      <c r="B46" s="1942" t="str">
        <f ca="1">项目基本情况!K4</f>
        <v>郑燚（注册号：1120070131)、王鹏（注册号：1120050019)</v>
      </c>
    </row>
    <row r="47" spans="1:9">
      <c r="A47" s="1014"/>
      <c r="B47" s="1014" t="str">
        <f>项目基本情况!K5</f>
        <v/>
      </c>
    </row>
    <row r="48" spans="1:9">
      <c r="A48" s="1014" t="s">
        <v>818</v>
      </c>
      <c r="B48" s="1014" t="s">
        <v>824</v>
      </c>
    </row>
    <row r="49" spans="2:2">
      <c r="B49" s="1942" t="str">
        <f>"康正预评字"&amp;项目基本情况!B2&amp;"号"</f>
        <v>康正预评字号</v>
      </c>
    </row>
  </sheetData>
  <sheetProtection password="C66D" sheet="1" objects="1" scenarios="1" formatCells="0" formatRows="0" insertColumns="0" deleteRows="0"/>
  <mergeCells count="1">
    <mergeCell ref="B37:I37"/>
  </mergeCells>
  <phoneticPr fontId="88"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E15" sqref="E15"/>
    </sheetView>
  </sheetViews>
  <sheetFormatPr defaultColWidth="9" defaultRowHeight="13.5"/>
  <cols>
    <col min="1" max="1" width="23.375" style="1738" customWidth="1"/>
    <col min="2" max="9" width="15.75" style="1738" customWidth="1"/>
    <col min="10" max="16384" width="9" style="1738"/>
  </cols>
  <sheetData>
    <row r="1" spans="1:10" ht="16.5">
      <c r="A1" s="1743" t="s">
        <v>1361</v>
      </c>
      <c r="B1" s="1743">
        <f>SUM(B14:B23)</f>
        <v>30066.799999999999</v>
      </c>
      <c r="C1" s="1742"/>
      <c r="D1" s="1742"/>
      <c r="E1" s="1742"/>
      <c r="F1" s="1742"/>
      <c r="G1" s="1740"/>
    </row>
    <row r="2" spans="1:10" ht="16.5">
      <c r="A2" s="1743" t="s">
        <v>1349</v>
      </c>
      <c r="B2" s="1743">
        <f>SUM(C14:C23)</f>
        <v>23093.86</v>
      </c>
      <c r="C2" s="1742"/>
      <c r="D2" s="1742"/>
      <c r="E2" s="1742"/>
      <c r="F2" s="1742"/>
      <c r="G2" s="1740"/>
    </row>
    <row r="3" spans="1:10" ht="16.5">
      <c r="A3" s="1743" t="s">
        <v>1358</v>
      </c>
      <c r="B3" s="1744">
        <f>项目基本情况!D3</f>
        <v>43592</v>
      </c>
      <c r="C3" s="1742"/>
      <c r="D3" s="1742"/>
      <c r="E3" s="1742"/>
      <c r="F3" s="1742"/>
      <c r="G3" s="1740"/>
    </row>
    <row r="4" spans="1:10" ht="33">
      <c r="A4" s="1743" t="s">
        <v>1357</v>
      </c>
      <c r="B4" s="1743" t="s">
        <v>1356</v>
      </c>
      <c r="C4" s="1743" t="s">
        <v>1355</v>
      </c>
      <c r="D4" s="1743" t="s">
        <v>1354</v>
      </c>
      <c r="E4" s="1742"/>
      <c r="F4" s="1740"/>
      <c r="G4" s="1740"/>
    </row>
    <row r="5" spans="1:10" ht="16.5">
      <c r="A5" s="1743" t="s">
        <v>1353</v>
      </c>
      <c r="B5" s="1743">
        <f ca="1">SUM(D14:D23)</f>
        <v>84978</v>
      </c>
      <c r="C5" s="1743">
        <f ca="1">ROUND(B5*10000/$B$1,0)</f>
        <v>28263</v>
      </c>
      <c r="D5" s="1743">
        <f ca="1">ROUND(B5*10000/$B$2,0)</f>
        <v>36797</v>
      </c>
      <c r="E5" s="1742"/>
      <c r="F5" s="1740"/>
      <c r="G5" s="1740"/>
    </row>
    <row r="6" spans="1:10" ht="16.5">
      <c r="A6" s="1743" t="s">
        <v>1352</v>
      </c>
      <c r="B6" s="1743">
        <f ca="1">SUM(G14:G23)</f>
        <v>84978</v>
      </c>
      <c r="C6" s="1743">
        <f ca="1">ROUND(B6*10000/$B$1,0)</f>
        <v>28263</v>
      </c>
      <c r="D6" s="1743">
        <f ca="1">ROUND(B6*10000/$B$2,0)</f>
        <v>36797</v>
      </c>
      <c r="E6" s="1742"/>
      <c r="F6" s="1740"/>
      <c r="G6" s="1740"/>
    </row>
    <row r="7" spans="1:10" ht="16.5">
      <c r="A7" s="1743" t="s">
        <v>1360</v>
      </c>
      <c r="B7" s="1743">
        <f>SUM(H14:H23)</f>
        <v>0</v>
      </c>
      <c r="C7" s="1743">
        <f>ROUND(B7*10000/$B$1,0)</f>
        <v>0</v>
      </c>
      <c r="D7" s="1743">
        <f>ROUND(B7*10000/$B$2,0)</f>
        <v>0</v>
      </c>
      <c r="E7" s="1742"/>
      <c r="F7" s="1740"/>
      <c r="G7" s="1740"/>
    </row>
    <row r="8" spans="1:10" ht="16.5">
      <c r="A8" s="1743" t="s">
        <v>1281</v>
      </c>
      <c r="B8" s="1743">
        <f>SUM(I14:I23)</f>
        <v>0</v>
      </c>
      <c r="C8" s="1743">
        <f>ROUND(B8*10000/$B$1,0)</f>
        <v>0</v>
      </c>
      <c r="D8" s="1743">
        <f>ROUND(B8*10000/$B$2,0)</f>
        <v>0</v>
      </c>
      <c r="E8" s="1742"/>
      <c r="F8" s="1740"/>
      <c r="G8" s="1740"/>
    </row>
    <row r="9" spans="1:10" ht="16.5">
      <c r="A9" s="1743" t="s">
        <v>1351</v>
      </c>
      <c r="B9" s="1745"/>
      <c r="C9" s="1742"/>
      <c r="D9" s="1742"/>
      <c r="E9" s="1742"/>
      <c r="F9" s="1740"/>
      <c r="G9" s="1740"/>
    </row>
    <row r="10" spans="1:10" ht="16.5">
      <c r="A10" s="1743" t="s">
        <v>1350</v>
      </c>
      <c r="B10" s="1745"/>
      <c r="C10" s="1742"/>
      <c r="D10" s="1742"/>
      <c r="E10" s="1742"/>
      <c r="F10" s="1740"/>
      <c r="G10" s="1740"/>
    </row>
    <row r="11" spans="1:10" ht="16.5">
      <c r="A11" s="1743" t="s">
        <v>1366</v>
      </c>
      <c r="B11" s="1745"/>
      <c r="C11" s="1742"/>
      <c r="D11" s="1742"/>
      <c r="E11" s="1742"/>
      <c r="F11" s="1740"/>
      <c r="G11" s="1740"/>
    </row>
    <row r="12" spans="1:10" ht="16.5">
      <c r="A12" s="1742"/>
      <c r="B12" s="1742"/>
      <c r="C12" s="1742"/>
      <c r="D12" s="1742"/>
      <c r="E12" s="1742"/>
      <c r="F12" s="1740"/>
      <c r="G12" s="1740"/>
    </row>
    <row r="13" spans="1:10" ht="33">
      <c r="A13" s="1748" t="s">
        <v>1365</v>
      </c>
      <c r="B13" s="1741" t="s">
        <v>1362</v>
      </c>
      <c r="C13" s="1741" t="s">
        <v>1364</v>
      </c>
      <c r="D13" s="1741" t="s">
        <v>1363</v>
      </c>
      <c r="E13" s="1743" t="s">
        <v>1355</v>
      </c>
      <c r="F13" s="1743" t="s">
        <v>1354</v>
      </c>
      <c r="G13" s="1741" t="s">
        <v>1348</v>
      </c>
      <c r="H13" s="1741" t="s">
        <v>1359</v>
      </c>
      <c r="I13" s="1741" t="s">
        <v>1347</v>
      </c>
      <c r="J13" s="1740"/>
    </row>
    <row r="14" spans="1:10" ht="16.5">
      <c r="A14" s="1739" t="s">
        <v>1346</v>
      </c>
      <c r="B14" s="1741">
        <f>结果表!B118</f>
        <v>27202.3</v>
      </c>
      <c r="C14" s="1741">
        <f>结果表!C118</f>
        <v>18455.759999999998</v>
      </c>
      <c r="D14" s="1741">
        <f ca="1">结果表!H118</f>
        <v>73513</v>
      </c>
      <c r="E14" s="1741">
        <f ca="1">ROUND(D14*10000/B14,0)</f>
        <v>27025</v>
      </c>
      <c r="F14" s="1741">
        <f ca="1">ROUND(D14*10000/C14,0)</f>
        <v>39832</v>
      </c>
      <c r="G14" s="1741">
        <f ca="1">结果表!D122</f>
        <v>73513</v>
      </c>
      <c r="H14" s="1741" t="str">
        <f>结果表!D124</f>
        <v>——</v>
      </c>
      <c r="I14" s="1741" t="str">
        <f>结果表!D126</f>
        <v>——</v>
      </c>
      <c r="J14" s="1740"/>
    </row>
    <row r="15" spans="1:10" ht="16.5">
      <c r="A15" s="1739" t="s">
        <v>1345</v>
      </c>
      <c r="B15" s="1746">
        <f>[1]系统读取表!$B$14</f>
        <v>2864.5</v>
      </c>
      <c r="C15" s="1746">
        <f>[1]系统读取表!$C$14</f>
        <v>4638.1000000000004</v>
      </c>
      <c r="D15" s="1746">
        <f ca="1">[1]系统读取表!$D$14</f>
        <v>11465</v>
      </c>
      <c r="E15" s="1741">
        <f t="shared" ref="E15:E23" ca="1" si="0">ROUND(D15*10000/B15,0)</f>
        <v>40024</v>
      </c>
      <c r="F15" s="1741">
        <f t="shared" ref="F15:F23" ca="1" si="1">ROUND(D15*10000/C15,0)</f>
        <v>24719</v>
      </c>
      <c r="G15" s="1747">
        <f ca="1">[1]系统读取表!$G$14</f>
        <v>11465</v>
      </c>
      <c r="H15" s="1747"/>
      <c r="I15" s="1746"/>
      <c r="J15" s="1740"/>
    </row>
    <row r="16" spans="1:10" ht="16.5">
      <c r="A16" s="1739" t="s">
        <v>1344</v>
      </c>
      <c r="B16" s="1746"/>
      <c r="C16" s="1746"/>
      <c r="D16" s="1746"/>
      <c r="E16" s="1741" t="e">
        <f t="shared" si="0"/>
        <v>#DIV/0!</v>
      </c>
      <c r="F16" s="1741" t="e">
        <f t="shared" si="1"/>
        <v>#DIV/0!</v>
      </c>
      <c r="G16" s="1747"/>
      <c r="H16" s="1747"/>
      <c r="I16" s="1746"/>
    </row>
    <row r="17" spans="1:9" ht="16.5">
      <c r="A17" s="1739" t="s">
        <v>1343</v>
      </c>
      <c r="B17" s="1746"/>
      <c r="C17" s="1746"/>
      <c r="D17" s="1746"/>
      <c r="E17" s="1741" t="e">
        <f t="shared" si="0"/>
        <v>#DIV/0!</v>
      </c>
      <c r="F17" s="1741" t="e">
        <f t="shared" si="1"/>
        <v>#DIV/0!</v>
      </c>
      <c r="G17" s="1747"/>
      <c r="H17" s="1747"/>
      <c r="I17" s="1746"/>
    </row>
    <row r="18" spans="1:9" ht="16.5">
      <c r="A18" s="1739" t="s">
        <v>1342</v>
      </c>
      <c r="B18" s="1746"/>
      <c r="C18" s="1746"/>
      <c r="D18" s="1746"/>
      <c r="E18" s="1741" t="e">
        <f t="shared" si="0"/>
        <v>#DIV/0!</v>
      </c>
      <c r="F18" s="1741" t="e">
        <f t="shared" si="1"/>
        <v>#DIV/0!</v>
      </c>
      <c r="G18" s="1746"/>
      <c r="H18" s="1746"/>
      <c r="I18" s="1746"/>
    </row>
    <row r="19" spans="1:9" ht="16.5">
      <c r="A19" s="1739" t="s">
        <v>1341</v>
      </c>
      <c r="B19" s="1746"/>
      <c r="C19" s="1746"/>
      <c r="D19" s="1746"/>
      <c r="E19" s="1741" t="e">
        <f t="shared" si="0"/>
        <v>#DIV/0!</v>
      </c>
      <c r="F19" s="1741" t="e">
        <f t="shared" si="1"/>
        <v>#DIV/0!</v>
      </c>
      <c r="G19" s="1746"/>
      <c r="H19" s="1746"/>
      <c r="I19" s="1746"/>
    </row>
    <row r="20" spans="1:9" ht="16.5">
      <c r="A20" s="1739" t="s">
        <v>1340</v>
      </c>
      <c r="B20" s="1746"/>
      <c r="C20" s="1746"/>
      <c r="D20" s="1746"/>
      <c r="E20" s="1741" t="e">
        <f t="shared" si="0"/>
        <v>#DIV/0!</v>
      </c>
      <c r="F20" s="1741" t="e">
        <f t="shared" si="1"/>
        <v>#DIV/0!</v>
      </c>
      <c r="G20" s="1746"/>
      <c r="H20" s="1746"/>
      <c r="I20" s="1746"/>
    </row>
    <row r="21" spans="1:9" ht="16.5">
      <c r="A21" s="1739" t="s">
        <v>1339</v>
      </c>
      <c r="B21" s="1746"/>
      <c r="C21" s="1746"/>
      <c r="D21" s="1746"/>
      <c r="E21" s="1741" t="e">
        <f t="shared" si="0"/>
        <v>#DIV/0!</v>
      </c>
      <c r="F21" s="1741" t="e">
        <f t="shared" si="1"/>
        <v>#DIV/0!</v>
      </c>
      <c r="G21" s="1746"/>
      <c r="H21" s="1746"/>
      <c r="I21" s="1746"/>
    </row>
    <row r="22" spans="1:9" ht="16.5">
      <c r="A22" s="1739" t="s">
        <v>1338</v>
      </c>
      <c r="B22" s="1746"/>
      <c r="C22" s="1746"/>
      <c r="D22" s="1746"/>
      <c r="E22" s="1741" t="e">
        <f t="shared" si="0"/>
        <v>#DIV/0!</v>
      </c>
      <c r="F22" s="1741" t="e">
        <f t="shared" si="1"/>
        <v>#DIV/0!</v>
      </c>
      <c r="G22" s="1746"/>
      <c r="H22" s="1746"/>
      <c r="I22" s="1746"/>
    </row>
    <row r="23" spans="1:9" ht="16.5">
      <c r="A23" s="1739" t="s">
        <v>1337</v>
      </c>
      <c r="B23" s="1746"/>
      <c r="C23" s="1746"/>
      <c r="D23" s="1746"/>
      <c r="E23" s="1743" t="e">
        <f t="shared" si="0"/>
        <v>#DIV/0!</v>
      </c>
      <c r="F23" s="1743" t="e">
        <f t="shared" si="1"/>
        <v>#DIV/0!</v>
      </c>
      <c r="G23" s="1746"/>
      <c r="H23" s="1746"/>
      <c r="I23" s="1746"/>
    </row>
  </sheetData>
  <sheetProtection password="C66D" sheet="1" objects="1" scenarios="1" formatCells="0" formatColumns="0" formatRows="0"/>
  <phoneticPr fontId="145"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G19" sqref="G19"/>
    </sheetView>
  </sheetViews>
  <sheetFormatPr defaultColWidth="12.625" defaultRowHeight="21.75" customHeight="1"/>
  <cols>
    <col min="1" max="2" width="12.625" style="2425"/>
    <col min="3" max="4" width="12.625" style="2425" customWidth="1"/>
    <col min="5" max="9" width="12.625" style="2425"/>
    <col min="10" max="11" width="12.625" style="795" customWidth="1"/>
    <col min="12" max="12" width="12.625" style="795"/>
    <col min="13" max="13" width="14.125" style="795" bestFit="1" customWidth="1"/>
    <col min="14" max="26" width="12.625" style="795"/>
    <col min="27" max="35" width="12.625" style="2424"/>
    <col min="36" max="16384" width="12.625" style="2425"/>
  </cols>
  <sheetData>
    <row r="1" spans="1:12" ht="21.75" customHeight="1" thickBot="1">
      <c r="A1" s="2225" t="s">
        <v>2116</v>
      </c>
      <c r="B1" s="2419"/>
      <c r="C1" s="2420"/>
      <c r="D1" s="2419"/>
      <c r="E1" s="2419"/>
      <c r="F1" s="2421" t="s">
        <v>2117</v>
      </c>
      <c r="G1" s="2070" t="s">
        <v>3062</v>
      </c>
      <c r="H1" s="2422" t="str">
        <f>IF(G1="现房","——","估价对象范围")</f>
        <v>——</v>
      </c>
      <c r="I1" s="2423" t="s">
        <v>3187</v>
      </c>
    </row>
    <row r="2" spans="1:12" ht="21.75" customHeight="1" thickBot="1">
      <c r="A2" s="3149" t="str">
        <f>项目基本情况!S2</f>
        <v>北京市朝阳区建国门外郎家园6号“郎园Vintage”项目房地产</v>
      </c>
      <c r="B2" s="3150"/>
      <c r="C2" s="3150"/>
      <c r="D2" s="3150"/>
      <c r="E2" s="3150"/>
      <c r="F2" s="3150"/>
      <c r="G2" s="3150"/>
      <c r="H2" s="3150"/>
      <c r="I2" s="3151"/>
    </row>
    <row r="3" spans="1:12" ht="12.75">
      <c r="A3" s="3153" t="s">
        <v>2118</v>
      </c>
      <c r="B3" s="3154"/>
      <c r="C3" s="3154"/>
      <c r="D3" s="3154"/>
      <c r="E3" s="3154"/>
      <c r="F3" s="3154"/>
      <c r="G3" s="3154"/>
      <c r="H3" s="3154"/>
      <c r="I3" s="3154"/>
    </row>
    <row r="4" spans="1:12" ht="14.25">
      <c r="A4" s="2426" t="s">
        <v>2119</v>
      </c>
      <c r="B4" s="2427" t="s">
        <v>2120</v>
      </c>
      <c r="C4" s="2428" t="s">
        <v>3186</v>
      </c>
      <c r="D4" s="2428" t="s">
        <v>3172</v>
      </c>
      <c r="E4" s="3146" t="s">
        <v>2121</v>
      </c>
      <c r="F4" s="3147"/>
      <c r="G4" s="3147"/>
      <c r="H4" s="3147"/>
      <c r="I4" s="3155"/>
      <c r="K4" s="2429" t="str">
        <f>IF(ISNUMBER(FIND("比较法",结果表!C4)),"比较法",IF(ISNUMBER(FIND("成本法",结果表!C4)),"成本法",IF(ISNUMBER(FIND("假设开发法",结果表!C4)),"假设开发法",IF(ISNUMBER(FIND("收益法",结果表!C4)),"收益法","基准地价系数修正法"))))</f>
        <v>成本法</v>
      </c>
      <c r="L4" s="2429" t="str">
        <f>IF(ISNUMBER(FIND("比较法",结果表!D4)),"比较法",IF(ISNUMBER(FIND("成本法",结果表!D4)),"成本法",IF(ISNUMBER(FIND("假设开发法",结果表!D4)),"假设开发法",IF(ISNUMBER(FIND("收益法",结果表!D4)),"收益法","基准地价系数修正法"))))</f>
        <v>收益法</v>
      </c>
    </row>
    <row r="5" spans="1:12" ht="12.75">
      <c r="A5" s="3129" t="s">
        <v>2122</v>
      </c>
      <c r="B5" s="3042">
        <v>25</v>
      </c>
      <c r="C5" s="3132"/>
      <c r="D5" s="3152"/>
      <c r="E5" s="140" t="s">
        <v>2123</v>
      </c>
      <c r="F5" s="2430"/>
      <c r="G5" s="2430"/>
      <c r="H5" s="2430"/>
      <c r="I5" s="1831"/>
    </row>
    <row r="6" spans="1:12" ht="12.75">
      <c r="A6" s="3129"/>
      <c r="B6" s="3042"/>
      <c r="C6" s="3133"/>
      <c r="D6" s="3152"/>
      <c r="E6" s="140" t="s">
        <v>2124</v>
      </c>
      <c r="F6" s="2430"/>
      <c r="G6" s="2430"/>
      <c r="H6" s="2430"/>
      <c r="I6" s="1831"/>
    </row>
    <row r="7" spans="1:12" ht="12.75">
      <c r="A7" s="3129"/>
      <c r="B7" s="3042"/>
      <c r="C7" s="3134"/>
      <c r="D7" s="3152"/>
      <c r="E7" s="140" t="s">
        <v>2125</v>
      </c>
      <c r="F7" s="2430"/>
      <c r="G7" s="2430"/>
      <c r="H7" s="2430"/>
      <c r="I7" s="1831"/>
    </row>
    <row r="8" spans="1:12" ht="12.75">
      <c r="A8" s="3129" t="s">
        <v>2126</v>
      </c>
      <c r="B8" s="3042">
        <v>15</v>
      </c>
      <c r="C8" s="3132"/>
      <c r="D8" s="3152"/>
      <c r="E8" s="140" t="s">
        <v>2127</v>
      </c>
      <c r="F8" s="2430"/>
      <c r="G8" s="2430"/>
      <c r="H8" s="2430"/>
      <c r="I8" s="1831"/>
    </row>
    <row r="9" spans="1:12" ht="12.75">
      <c r="A9" s="3129"/>
      <c r="B9" s="3042"/>
      <c r="C9" s="3134"/>
      <c r="D9" s="3152"/>
      <c r="E9" s="140" t="s">
        <v>2128</v>
      </c>
      <c r="F9" s="2430"/>
      <c r="G9" s="2430"/>
      <c r="H9" s="2430"/>
      <c r="I9" s="1831"/>
    </row>
    <row r="10" spans="1:12" ht="12.75">
      <c r="A10" s="3129" t="s">
        <v>2129</v>
      </c>
      <c r="B10" s="3042">
        <v>15</v>
      </c>
      <c r="C10" s="3132"/>
      <c r="D10" s="3152"/>
      <c r="E10" s="140" t="s">
        <v>2130</v>
      </c>
      <c r="F10" s="2430"/>
      <c r="G10" s="2430"/>
      <c r="H10" s="2430"/>
      <c r="I10" s="1831"/>
    </row>
    <row r="11" spans="1:12" ht="12.75">
      <c r="A11" s="3129"/>
      <c r="B11" s="3042"/>
      <c r="C11" s="3134"/>
      <c r="D11" s="3152"/>
      <c r="E11" s="140" t="s">
        <v>2131</v>
      </c>
      <c r="F11" s="2430"/>
      <c r="G11" s="2430"/>
      <c r="H11" s="2430"/>
      <c r="I11" s="1831"/>
    </row>
    <row r="12" spans="1:12" ht="12.75">
      <c r="A12" s="3129" t="s">
        <v>2132</v>
      </c>
      <c r="B12" s="3042">
        <v>15</v>
      </c>
      <c r="C12" s="3132"/>
      <c r="D12" s="3152"/>
      <c r="E12" s="140" t="s">
        <v>2133</v>
      </c>
      <c r="F12" s="2430"/>
      <c r="G12" s="2430"/>
      <c r="H12" s="2430"/>
      <c r="I12" s="1831"/>
    </row>
    <row r="13" spans="1:12" ht="12.75">
      <c r="A13" s="3129"/>
      <c r="B13" s="3042"/>
      <c r="C13" s="3134"/>
      <c r="D13" s="3152"/>
      <c r="E13" s="140" t="s">
        <v>2134</v>
      </c>
      <c r="F13" s="2430"/>
      <c r="G13" s="2430"/>
      <c r="H13" s="2430"/>
      <c r="I13" s="1831"/>
    </row>
    <row r="14" spans="1:12" ht="12.75">
      <c r="A14" s="3129" t="s">
        <v>2135</v>
      </c>
      <c r="B14" s="3042">
        <v>30</v>
      </c>
      <c r="C14" s="3132">
        <v>45</v>
      </c>
      <c r="D14" s="3152">
        <v>55</v>
      </c>
      <c r="E14" s="140" t="s">
        <v>2136</v>
      </c>
      <c r="F14" s="2430"/>
      <c r="G14" s="2430"/>
      <c r="H14" s="2430"/>
      <c r="I14" s="1831"/>
    </row>
    <row r="15" spans="1:12" ht="12.75">
      <c r="A15" s="3129"/>
      <c r="B15" s="3042"/>
      <c r="C15" s="3133"/>
      <c r="D15" s="3152"/>
      <c r="E15" s="140" t="s">
        <v>2137</v>
      </c>
      <c r="F15" s="2430"/>
      <c r="G15" s="2430"/>
      <c r="H15" s="2430"/>
      <c r="I15" s="1831"/>
    </row>
    <row r="16" spans="1:12" ht="12.75">
      <c r="A16" s="3129"/>
      <c r="B16" s="3042"/>
      <c r="C16" s="3134"/>
      <c r="D16" s="3152"/>
      <c r="E16" s="140" t="s">
        <v>2138</v>
      </c>
      <c r="F16" s="2430"/>
      <c r="G16" s="2430"/>
      <c r="H16" s="2430"/>
      <c r="I16" s="1831"/>
    </row>
    <row r="17" spans="1:35" ht="15">
      <c r="A17" s="2431" t="s">
        <v>2139</v>
      </c>
      <c r="B17" s="64"/>
      <c r="C17" s="141">
        <f>SUM(C5:C16)</f>
        <v>45</v>
      </c>
      <c r="D17" s="141">
        <f>SUM(D5:D16)</f>
        <v>55</v>
      </c>
      <c r="E17" s="138"/>
      <c r="F17" s="138"/>
      <c r="G17" s="138"/>
      <c r="H17" s="138"/>
      <c r="I17" s="138"/>
      <c r="K17" s="2429"/>
      <c r="L17" s="2432" t="s">
        <v>2140</v>
      </c>
      <c r="M17" s="2432" t="s">
        <v>2141</v>
      </c>
    </row>
    <row r="18" spans="1:35" ht="15.75" thickBot="1">
      <c r="A18" s="2433" t="s">
        <v>2142</v>
      </c>
      <c r="B18" s="2434"/>
      <c r="C18" s="142">
        <f>ROUND(C17/SUM(C17:D17),2)</f>
        <v>0.45</v>
      </c>
      <c r="D18" s="142">
        <f>1-C18</f>
        <v>0.55000000000000004</v>
      </c>
      <c r="E18" s="138"/>
      <c r="F18" s="138"/>
      <c r="G18" s="138"/>
      <c r="H18" s="138"/>
      <c r="I18" s="138"/>
      <c r="K18" s="2429" t="s">
        <v>2143</v>
      </c>
      <c r="L18" s="2429">
        <f>IF(C1="",'数据-汇总表'!E3,SUMIF(项目类型,C1,'数据-汇总表'!E17:E26)+SUMIF(项目类型,C1,'数据-汇总表'!I17:I26))</f>
        <v>27202.3</v>
      </c>
      <c r="M18" s="2429">
        <f>IF(C1="",'数据-汇总表'!E3,SUMIF(项目类型,C1,'数据-汇总表'!E17:E26))</f>
        <v>27202.3</v>
      </c>
    </row>
    <row r="19" spans="1:35" ht="15">
      <c r="A19" s="2435" t="s">
        <v>2144</v>
      </c>
      <c r="B19" s="2436" t="s">
        <v>2145</v>
      </c>
      <c r="C19" s="143">
        <f ca="1">SUMIF(INDIRECT("'"&amp;C4&amp;"'"&amp;"!A:A"),结果表!B19,INDIRECT("'"&amp;C4&amp;"'"&amp;"!B:B"))</f>
        <v>40149</v>
      </c>
      <c r="D19" s="144">
        <f ca="1">SUMIF(INDIRECT("'"&amp;D4&amp;"'"&amp;"!A:A"),结果表!B19,INDIRECT("'"&amp;D4&amp;"'"&amp;"!B:B"))</f>
        <v>100810</v>
      </c>
      <c r="E19" s="2435" t="s">
        <v>2146</v>
      </c>
      <c r="F19" s="2436" t="s">
        <v>2145</v>
      </c>
      <c r="G19" s="145">
        <f ca="1">ROUND(C19*$C$18+D19*$D$18,0)</f>
        <v>73513</v>
      </c>
      <c r="H19" s="2437" t="s">
        <v>2147</v>
      </c>
      <c r="I19" s="138"/>
      <c r="K19" s="2429" t="s">
        <v>2148</v>
      </c>
      <c r="L19" s="2429">
        <f>IF(C1="",'数据-汇总表'!D3,SUMIF(项目类型,C1,'数据-汇总表'!D17:D26)+SUMIF(项目类型,C1,'数据-汇总表'!H17:H27))</f>
        <v>18455.759999999998</v>
      </c>
      <c r="M19" s="2429">
        <f>IF(C1="",'数据-汇总表'!D3,SUMIF(项目类型,C1,'数据-汇总表'!D17:D26))</f>
        <v>18455.759999999998</v>
      </c>
    </row>
    <row r="20" spans="1:35" ht="15">
      <c r="A20" s="2438"/>
      <c r="B20" s="1247" t="s">
        <v>2149</v>
      </c>
      <c r="C20" s="146">
        <f ca="1">SUMIF(INDIRECT("'"&amp;C4&amp;"'"&amp;"!A:A"),结果表!B20,INDIRECT("'"&amp;C4&amp;"'"&amp;"!B:B"))</f>
        <v>14759</v>
      </c>
      <c r="D20" s="147">
        <f ca="1">SUMIF(INDIRECT("'"&amp;D4&amp;"'"&amp;"!A:A"),结果表!B20,INDIRECT("'"&amp;D4&amp;"'"&amp;"!B:B"))</f>
        <v>37059</v>
      </c>
      <c r="E20" s="2438"/>
      <c r="F20" s="1247" t="s">
        <v>2149</v>
      </c>
      <c r="G20" s="148">
        <f ca="1">ROUND(C20*$C$18+D20*$D$18,0)</f>
        <v>27024</v>
      </c>
      <c r="H20" s="980" t="s">
        <v>2150</v>
      </c>
      <c r="I20" s="138"/>
    </row>
    <row r="21" spans="1:35" ht="15" customHeight="1" thickBot="1">
      <c r="A21" s="1000"/>
      <c r="B21" s="2439" t="s">
        <v>2151</v>
      </c>
      <c r="C21" s="789">
        <f ca="1">ROUND(C19*10000/L19,0)</f>
        <v>21754</v>
      </c>
      <c r="D21" s="790">
        <f ca="1">ROUND(D19*10000/L19,0)</f>
        <v>54623</v>
      </c>
      <c r="E21" s="1000"/>
      <c r="F21" s="2439" t="s">
        <v>2151</v>
      </c>
      <c r="G21" s="149">
        <f ca="1">ROUND(G19*10000/L19,0)</f>
        <v>39832</v>
      </c>
      <c r="H21" s="2440" t="s">
        <v>2150</v>
      </c>
      <c r="I21" s="138"/>
    </row>
    <row r="22" spans="1:35" ht="15" thickBot="1">
      <c r="A22" s="2281" t="s">
        <v>2152</v>
      </c>
      <c r="B22" s="2441"/>
      <c r="C22" s="2442"/>
      <c r="D22" s="791">
        <f ca="1">IF(C19&lt;D19,D19/C19-1,C19/D19-1)</f>
        <v>1.510896909013923</v>
      </c>
      <c r="E22" s="138"/>
      <c r="F22" s="138"/>
      <c r="G22" s="138"/>
      <c r="H22" s="138"/>
      <c r="I22" s="138"/>
    </row>
    <row r="23" spans="1:35" ht="13.5" thickBot="1">
      <c r="A23" s="2419"/>
      <c r="B23" s="2419"/>
      <c r="C23" s="2419"/>
      <c r="D23" s="2419"/>
      <c r="E23" s="138"/>
      <c r="F23" s="138"/>
      <c r="G23" s="138"/>
      <c r="H23" s="138"/>
      <c r="I23" s="138"/>
    </row>
    <row r="24" spans="1:35" ht="14.25">
      <c r="A24" s="3123" t="s">
        <v>2153</v>
      </c>
      <c r="B24" s="2436" t="s">
        <v>2145</v>
      </c>
      <c r="C24" s="145">
        <f>IF(B30=0,0,D30)</f>
        <v>0</v>
      </c>
      <c r="D24" s="2443"/>
      <c r="E24" s="138"/>
      <c r="F24" s="138"/>
      <c r="G24" s="138"/>
      <c r="H24" s="138"/>
      <c r="I24" s="138"/>
    </row>
    <row r="25" spans="1:35" ht="14.25">
      <c r="A25" s="3124"/>
      <c r="B25" s="1247" t="s">
        <v>2149</v>
      </c>
      <c r="C25" s="150">
        <f>IF(B30=0,0,C30)</f>
        <v>0</v>
      </c>
      <c r="D25" s="2444"/>
      <c r="E25" s="138"/>
      <c r="F25" s="138"/>
      <c r="G25" s="138"/>
      <c r="H25" s="138"/>
      <c r="I25" s="138"/>
    </row>
    <row r="26" spans="1:35" ht="13.5" customHeight="1">
      <c r="A26" s="2445" t="s">
        <v>2154</v>
      </c>
      <c r="B26" s="151" t="s">
        <v>2155</v>
      </c>
      <c r="C26" s="151" t="s">
        <v>2156</v>
      </c>
      <c r="D26" s="152" t="s">
        <v>2157</v>
      </c>
      <c r="E26" s="138"/>
      <c r="F26" s="138"/>
      <c r="G26" s="138"/>
      <c r="H26" s="138"/>
      <c r="I26" s="138"/>
    </row>
    <row r="27" spans="1:35" ht="14.25">
      <c r="A27" s="2445"/>
      <c r="B27" s="151">
        <v>0</v>
      </c>
      <c r="C27" s="151">
        <v>0</v>
      </c>
      <c r="D27" s="152">
        <f>ROUND(C27*B27/10000,0)</f>
        <v>0</v>
      </c>
      <c r="E27" s="138"/>
      <c r="F27" s="138"/>
      <c r="G27" s="138"/>
      <c r="H27" s="138"/>
      <c r="I27" s="138"/>
    </row>
    <row r="28" spans="1:35" ht="14.25">
      <c r="A28" s="2445"/>
      <c r="B28" s="151"/>
      <c r="C28" s="151"/>
      <c r="D28" s="152"/>
      <c r="E28" s="138"/>
      <c r="F28" s="138"/>
      <c r="G28" s="138"/>
      <c r="H28" s="138"/>
      <c r="I28" s="138"/>
    </row>
    <row r="29" spans="1:35" ht="14.25">
      <c r="A29" s="2445"/>
      <c r="B29" s="151"/>
      <c r="C29" s="151"/>
      <c r="D29" s="152"/>
      <c r="E29" s="138"/>
      <c r="F29" s="138"/>
      <c r="G29" s="138"/>
      <c r="H29" s="138"/>
      <c r="I29" s="138"/>
    </row>
    <row r="30" spans="1:35" ht="14.25">
      <c r="A30" s="151" t="s">
        <v>2158</v>
      </c>
      <c r="B30" s="151"/>
      <c r="C30" s="151"/>
      <c r="D30" s="151"/>
      <c r="E30" s="2918" t="s">
        <v>3031</v>
      </c>
      <c r="F30" s="138"/>
      <c r="G30" s="138"/>
      <c r="H30" s="138"/>
      <c r="I30" s="138"/>
    </row>
    <row r="31" spans="1:35" s="2447" customFormat="1" ht="15" thickBot="1">
      <c r="A31" s="2446"/>
      <c r="B31" s="2446"/>
      <c r="C31" s="2446"/>
      <c r="D31" s="2446"/>
      <c r="E31" s="138"/>
      <c r="F31" s="138"/>
      <c r="G31" s="138"/>
      <c r="H31" s="138"/>
      <c r="I31" s="138"/>
      <c r="J31" s="795"/>
      <c r="K31" s="795"/>
      <c r="L31" s="795"/>
      <c r="M31" s="795"/>
      <c r="N31" s="795"/>
      <c r="O31" s="795"/>
      <c r="P31" s="795"/>
      <c r="Q31" s="795"/>
      <c r="R31" s="795"/>
      <c r="S31" s="795"/>
      <c r="T31" s="795"/>
      <c r="U31" s="795"/>
      <c r="V31" s="795"/>
      <c r="W31" s="795"/>
      <c r="X31" s="795"/>
      <c r="Y31" s="795"/>
      <c r="Z31" s="795"/>
      <c r="AA31" s="2424"/>
      <c r="AB31" s="2424"/>
      <c r="AC31" s="2424"/>
      <c r="AD31" s="2424"/>
      <c r="AE31" s="2424"/>
      <c r="AF31" s="2424"/>
      <c r="AG31" s="2424"/>
      <c r="AH31" s="2424"/>
      <c r="AI31" s="2424"/>
    </row>
    <row r="32" spans="1:35" ht="15.75" thickBot="1">
      <c r="A32" s="2448" t="s">
        <v>2159</v>
      </c>
      <c r="B32" s="2449"/>
      <c r="C32" s="153">
        <f ca="1">IF(D32="总价",G19-C24,G20-C25)</f>
        <v>73513</v>
      </c>
      <c r="D32" s="2450" t="s">
        <v>2160</v>
      </c>
      <c r="E32" s="138"/>
      <c r="F32" s="138"/>
      <c r="G32" s="138"/>
      <c r="H32" s="138"/>
      <c r="I32" s="138"/>
    </row>
    <row r="33" spans="1:15" ht="15">
      <c r="A33" s="957" t="s">
        <v>2161</v>
      </c>
      <c r="B33" s="2451"/>
      <c r="C33" s="2452" t="s">
        <v>3188</v>
      </c>
      <c r="D33" s="2453" t="s">
        <v>3186</v>
      </c>
      <c r="E33" s="2454" t="s">
        <v>2162</v>
      </c>
      <c r="F33" s="2455" t="str">
        <f>IF(D32="楼面单价","取值（单价）","取值（总价）")</f>
        <v>取值（总价）</v>
      </c>
      <c r="G33" s="138"/>
      <c r="H33" s="138"/>
      <c r="I33" s="138"/>
    </row>
    <row r="34" spans="1:15" ht="15">
      <c r="A34" s="2456"/>
      <c r="B34" s="2457" t="s">
        <v>2163</v>
      </c>
      <c r="C34" s="157">
        <f ca="1">IF(C33="自定义",F34,C32-C35)</f>
        <v>58810</v>
      </c>
      <c r="D34" s="1055">
        <f ca="1">IF(C33="自定义",ROUND(C34/C32,3),IF(C33="收益比率",SUMIF(INDIRECT("'"&amp;D33&amp;"'"&amp;"!b:b"),"土地收益比率",INDIRECT("'"&amp;D33&amp;"'"&amp;"!c:c")),SUMIF(INDIRECT("'"&amp;D33&amp;"'"&amp;"!b:b"),"土地成本比率",INDIRECT("'"&amp;D33&amp;"'"&amp;"!c:c"))))</f>
        <v>0.8</v>
      </c>
      <c r="E34" s="2458" t="s">
        <v>2164</v>
      </c>
      <c r="F34" s="1736"/>
      <c r="G34" s="138"/>
      <c r="H34" s="138"/>
      <c r="I34" s="138"/>
    </row>
    <row r="35" spans="1:15" ht="15.75" thickBot="1">
      <c r="A35" s="2459"/>
      <c r="B35" s="2460" t="s">
        <v>2165</v>
      </c>
      <c r="C35" s="1441">
        <f ca="1">IF(C33="自定义",F35,ROUND(C32*D35,0))</f>
        <v>14703</v>
      </c>
      <c r="D35" s="1442">
        <f ca="1">IF(C33="自定义",ROUND(C35/C32,3),IF(C33="收益比率",SUMIF(INDIRECT("'"&amp;D33&amp;"'"&amp;"!b:b"),"建筑物收益比率",INDIRECT("'"&amp;D33&amp;"'"&amp;"!c:c")),SUMIF(INDIRECT("'"&amp;D33&amp;"'"&amp;"!b:b"),"建筑物成本比率",INDIRECT("'"&amp;D33&amp;"'"&amp;"!c:c"))))</f>
        <v>0.2</v>
      </c>
      <c r="E35" s="2461" t="s">
        <v>2166</v>
      </c>
      <c r="F35" s="163"/>
      <c r="G35" s="138"/>
      <c r="H35" s="138"/>
      <c r="I35" s="138"/>
    </row>
    <row r="36" spans="1:15" ht="15.75" thickBot="1">
      <c r="A36" s="3141" t="s">
        <v>2167</v>
      </c>
      <c r="B36" s="2462" t="s">
        <v>2168</v>
      </c>
      <c r="C36" s="154"/>
      <c r="D36" s="2463" t="s">
        <v>3189</v>
      </c>
      <c r="E36" s="2464"/>
      <c r="F36" s="2465"/>
      <c r="G36" s="138"/>
      <c r="H36" s="138"/>
      <c r="I36" s="138"/>
    </row>
    <row r="37" spans="1:15" ht="15.75" thickBot="1">
      <c r="A37" s="3142"/>
      <c r="B37" s="2267" t="s">
        <v>2169</v>
      </c>
      <c r="C37" s="156"/>
      <c r="D37" s="1392"/>
      <c r="E37" s="1392"/>
      <c r="F37" s="2465"/>
      <c r="G37" s="138"/>
      <c r="H37" s="138"/>
      <c r="I37" s="138"/>
    </row>
    <row r="38" spans="1:15" ht="15.75" thickBot="1">
      <c r="A38" s="3143"/>
      <c r="B38" s="2466" t="s">
        <v>2170</v>
      </c>
      <c r="C38" s="727"/>
      <c r="D38" s="2467" t="s">
        <v>2171</v>
      </c>
      <c r="E38" s="1392"/>
      <c r="F38" s="2465"/>
      <c r="G38" s="138"/>
      <c r="H38" s="138"/>
      <c r="I38" s="138"/>
    </row>
    <row r="39" spans="1:15" ht="15">
      <c r="A39" s="2438" t="s">
        <v>2172</v>
      </c>
      <c r="B39" s="2468" t="s">
        <v>2173</v>
      </c>
      <c r="C39" s="2469" t="s">
        <v>2174</v>
      </c>
      <c r="D39" s="2469" t="s">
        <v>2175</v>
      </c>
      <c r="E39" s="2470" t="s">
        <v>2176</v>
      </c>
      <c r="F39" s="2465"/>
      <c r="G39" s="138"/>
      <c r="H39" s="138"/>
      <c r="I39" s="138"/>
    </row>
    <row r="40" spans="1:15" ht="14.25">
      <c r="A40" s="2471" t="s">
        <v>2177</v>
      </c>
      <c r="B40" s="158"/>
      <c r="C40" s="159"/>
      <c r="D40" s="159"/>
      <c r="E40" s="160"/>
      <c r="F40" s="2465"/>
      <c r="G40" s="138"/>
      <c r="H40" s="138"/>
      <c r="I40" s="138"/>
    </row>
    <row r="41" spans="1:15" ht="14.25">
      <c r="A41" s="2471" t="s">
        <v>2178</v>
      </c>
      <c r="B41" s="158"/>
      <c r="C41" s="159"/>
      <c r="D41" s="159"/>
      <c r="E41" s="160"/>
      <c r="F41" s="2465"/>
      <c r="G41" s="138"/>
      <c r="H41" s="138"/>
      <c r="I41" s="138"/>
    </row>
    <row r="42" spans="1:15" ht="15" thickBot="1">
      <c r="A42" s="2472"/>
      <c r="B42" s="161"/>
      <c r="C42" s="162"/>
      <c r="D42" s="162"/>
      <c r="E42" s="163"/>
      <c r="F42" s="2465"/>
      <c r="G42" s="138"/>
      <c r="H42" s="138"/>
      <c r="I42" s="138"/>
    </row>
    <row r="43" spans="1:15" ht="12.75">
      <c r="A43" s="2165"/>
      <c r="B43" s="2165"/>
      <c r="C43" s="2165"/>
      <c r="D43" s="2165"/>
      <c r="E43" s="2165"/>
      <c r="F43" s="2473"/>
      <c r="G43" s="2473"/>
      <c r="H43" s="2473"/>
      <c r="I43" s="2474"/>
    </row>
    <row r="44" spans="1:15" ht="18.75">
      <c r="A44" s="2475" t="s">
        <v>2179</v>
      </c>
      <c r="B44" s="2476"/>
      <c r="C44" s="2476"/>
      <c r="D44" s="2477"/>
      <c r="E44" s="2477"/>
      <c r="F44" s="2478"/>
      <c r="G44" s="2478"/>
      <c r="H44" s="2478"/>
      <c r="I44" s="2478"/>
      <c r="J44" s="2479" t="s">
        <v>2180</v>
      </c>
      <c r="K44" s="2480"/>
      <c r="L44" s="2480"/>
      <c r="M44" s="2480"/>
      <c r="N44" s="2480"/>
      <c r="O44" s="2480"/>
    </row>
    <row r="45" spans="1:15" ht="14.25" customHeight="1" thickBot="1">
      <c r="A45" s="3120" t="s">
        <v>2181</v>
      </c>
      <c r="B45" s="3121"/>
      <c r="C45" s="3122"/>
      <c r="D45" s="164">
        <f ca="1">ROUND(H101*F45,0)</f>
        <v>73513</v>
      </c>
      <c r="E45" s="165" t="s">
        <v>2182</v>
      </c>
      <c r="F45" s="166">
        <v>1</v>
      </c>
      <c r="G45" s="167" t="s">
        <v>2183</v>
      </c>
      <c r="H45" s="138"/>
      <c r="I45" s="138"/>
      <c r="J45" s="3180" t="s">
        <v>2184</v>
      </c>
      <c r="K45" s="3180"/>
      <c r="L45" s="3180"/>
      <c r="M45" s="3180"/>
      <c r="N45" s="3180"/>
      <c r="O45" s="3180"/>
    </row>
    <row r="46" spans="1:15" ht="14.25" customHeight="1">
      <c r="A46" s="3117" t="s">
        <v>2185</v>
      </c>
      <c r="B46" s="3118"/>
      <c r="C46" s="3118"/>
      <c r="D46" s="3118"/>
      <c r="E46" s="3118"/>
      <c r="F46" s="3118"/>
      <c r="G46" s="3119"/>
      <c r="H46" s="2481"/>
      <c r="I46" s="168"/>
      <c r="J46" s="1809">
        <v>1</v>
      </c>
      <c r="K46" s="3180" t="s">
        <v>2186</v>
      </c>
      <c r="L46" s="3180"/>
      <c r="M46" s="3200"/>
      <c r="N46" s="3200"/>
      <c r="O46" s="3200"/>
    </row>
    <row r="47" spans="1:15" ht="12" customHeight="1">
      <c r="A47" s="169" t="s">
        <v>2187</v>
      </c>
      <c r="B47" s="170"/>
      <c r="C47" s="171"/>
      <c r="D47" s="172" t="s">
        <v>2188</v>
      </c>
      <c r="E47" s="24" t="s">
        <v>2189</v>
      </c>
      <c r="F47" s="173" t="s">
        <v>2190</v>
      </c>
      <c r="G47" s="174" t="s">
        <v>2191</v>
      </c>
      <c r="H47" s="2481"/>
      <c r="I47" s="168"/>
      <c r="J47" s="1809">
        <v>2</v>
      </c>
      <c r="K47" s="3180" t="s">
        <v>2192</v>
      </c>
      <c r="L47" s="3180"/>
      <c r="M47" s="3201">
        <f>'数据-取费表'!B2</f>
        <v>43592</v>
      </c>
      <c r="N47" s="3201"/>
      <c r="O47" s="3201"/>
    </row>
    <row r="48" spans="1:15" ht="25.5">
      <c r="A48" s="3148" t="s">
        <v>2193</v>
      </c>
      <c r="B48" s="3131"/>
      <c r="C48" s="3131"/>
      <c r="D48" s="140">
        <f>IF(H48="情况1",0,IF(H48="情况2",D52,IF(H48="情况3",D53,IF(H48="情况4",D54))))</f>
        <v>0</v>
      </c>
      <c r="E48" s="1798" t="str">
        <f>IF(H48="情况4","(销售额-原购置价)×税（费）率","销售额×税（费）率")</f>
        <v>销售额×税（费）率</v>
      </c>
      <c r="F48" s="175" t="str">
        <f>IF(H48="情况1","免征",'数据-取费表'!B41)</f>
        <v>免征</v>
      </c>
      <c r="G48" s="2482" t="s">
        <v>2194</v>
      </c>
      <c r="H48" s="2483" t="s">
        <v>2195</v>
      </c>
      <c r="I48" s="2481"/>
      <c r="J48" s="1809">
        <v>3</v>
      </c>
      <c r="K48" s="3180" t="s">
        <v>2196</v>
      </c>
      <c r="L48" s="3180"/>
      <c r="M48" s="3202">
        <f ca="1">H101</f>
        <v>73513</v>
      </c>
      <c r="N48" s="3202"/>
      <c r="O48" s="3202"/>
    </row>
    <row r="49" spans="1:35" ht="25.5" customHeight="1">
      <c r="A49" s="176" t="s">
        <v>2197</v>
      </c>
      <c r="B49" s="3116" t="s">
        <v>2198</v>
      </c>
      <c r="C49" s="3116"/>
      <c r="D49" s="177">
        <v>0</v>
      </c>
      <c r="E49" s="23" t="s">
        <v>2199</v>
      </c>
      <c r="F49" s="28" t="s">
        <v>34</v>
      </c>
      <c r="G49" s="3186"/>
      <c r="H49" s="138"/>
      <c r="I49" s="2484"/>
      <c r="J49" s="1809">
        <v>4</v>
      </c>
      <c r="K49" s="3180" t="str">
        <f>IF(项目基本情况!E8="房地产抵押价值","房地产抵押价值","抵押担保权已注销时的房地产抵押价值")</f>
        <v>房地产抵押价值</v>
      </c>
      <c r="L49" s="3180"/>
      <c r="M49" s="3202">
        <f ca="1">IF(项目基本情况!E8="房地产抵押价值",H107,H109)</f>
        <v>73513</v>
      </c>
      <c r="N49" s="3202"/>
      <c r="O49" s="3202"/>
    </row>
    <row r="50" spans="1:35" ht="25.5" customHeight="1">
      <c r="A50" s="178"/>
      <c r="B50" s="3116" t="s">
        <v>2200</v>
      </c>
      <c r="C50" s="3116"/>
      <c r="D50" s="179"/>
      <c r="E50" s="31"/>
      <c r="F50" s="180"/>
      <c r="G50" s="3187"/>
      <c r="H50" s="138"/>
      <c r="I50" s="2484"/>
      <c r="J50" s="3180" t="s">
        <v>2201</v>
      </c>
      <c r="K50" s="3180"/>
      <c r="L50" s="3180"/>
      <c r="M50" s="3180"/>
      <c r="N50" s="3180"/>
      <c r="O50" s="3180"/>
    </row>
    <row r="51" spans="1:35" ht="12" customHeight="1">
      <c r="A51" s="181"/>
      <c r="B51" s="3116" t="s">
        <v>2202</v>
      </c>
      <c r="C51" s="3116"/>
      <c r="D51" s="182"/>
      <c r="E51" s="30"/>
      <c r="F51" s="180"/>
      <c r="G51" s="3188"/>
      <c r="H51" s="138"/>
      <c r="I51" s="2484"/>
      <c r="J51" s="2485" t="s">
        <v>2203</v>
      </c>
      <c r="K51" s="3180" t="s">
        <v>2204</v>
      </c>
      <c r="L51" s="3180"/>
      <c r="M51" s="2485" t="s">
        <v>2205</v>
      </c>
      <c r="N51" s="2485" t="s">
        <v>2206</v>
      </c>
      <c r="O51" s="2485" t="s">
        <v>2207</v>
      </c>
    </row>
    <row r="52" spans="1:35" ht="24" customHeight="1">
      <c r="A52" s="183" t="s">
        <v>2208</v>
      </c>
      <c r="B52" s="3116" t="s">
        <v>2209</v>
      </c>
      <c r="C52" s="3116"/>
      <c r="D52" s="182">
        <f ca="1">ROUND(D45*'数据-取费表'!B41/(1+'数据-取费表'!C42),0)</f>
        <v>3921</v>
      </c>
      <c r="E52" s="11" t="s">
        <v>2210</v>
      </c>
      <c r="F52" s="184">
        <f>'数据-取费表'!B41</f>
        <v>5.6000000000000001E-2</v>
      </c>
      <c r="G52" s="2486"/>
      <c r="H52" s="138"/>
      <c r="I52" s="2484"/>
      <c r="J52" s="1809">
        <v>1</v>
      </c>
      <c r="K52" s="3181" t="s">
        <v>2211</v>
      </c>
      <c r="L52" s="3181"/>
      <c r="M52" s="1751">
        <f>D48</f>
        <v>0</v>
      </c>
      <c r="N52" s="1809" t="str">
        <f>E48</f>
        <v>销售额×税（费）率</v>
      </c>
      <c r="O52" s="1752" t="str">
        <f>F48</f>
        <v>免征</v>
      </c>
    </row>
    <row r="53" spans="1:35" ht="12" customHeight="1">
      <c r="A53" s="183" t="s">
        <v>2212</v>
      </c>
      <c r="B53" s="3139" t="s">
        <v>2213</v>
      </c>
      <c r="C53" s="3140"/>
      <c r="D53" s="182">
        <f ca="1">ROUND(D45*'数据-取费表'!B41/(1+'数据-取费表'!C42),0)</f>
        <v>3921</v>
      </c>
      <c r="E53" s="11" t="s">
        <v>2210</v>
      </c>
      <c r="F53" s="184">
        <f>'数据-取费表'!B41</f>
        <v>5.6000000000000001E-2</v>
      </c>
      <c r="G53" s="2486"/>
      <c r="H53" s="138"/>
      <c r="I53" s="2484"/>
      <c r="J53" s="1809">
        <v>2</v>
      </c>
      <c r="K53" s="3181" t="s">
        <v>2214</v>
      </c>
      <c r="L53" s="3181"/>
      <c r="M53" s="1751">
        <f t="shared" ref="M53:O54" ca="1" si="0">D55</f>
        <v>37</v>
      </c>
      <c r="N53" s="1809" t="str">
        <f t="shared" si="0"/>
        <v>销售额×税（费）率</v>
      </c>
      <c r="O53" s="1752">
        <f t="shared" si="0"/>
        <v>5.0000000000000001E-4</v>
      </c>
    </row>
    <row r="54" spans="1:35" ht="12" customHeight="1">
      <c r="A54" s="183" t="s">
        <v>2215</v>
      </c>
      <c r="B54" s="3139" t="s">
        <v>2216</v>
      </c>
      <c r="C54" s="3140"/>
      <c r="D54" s="182">
        <f ca="1">C68</f>
        <v>3921</v>
      </c>
      <c r="E54" s="30" t="s">
        <v>2217</v>
      </c>
      <c r="F54" s="184">
        <f>'数据-取费表'!B41</f>
        <v>5.6000000000000001E-2</v>
      </c>
      <c r="G54" s="2486"/>
      <c r="H54" s="2487"/>
      <c r="I54" s="2484"/>
      <c r="J54" s="1809">
        <v>3</v>
      </c>
      <c r="K54" s="3181" t="s">
        <v>2218</v>
      </c>
      <c r="L54" s="3181"/>
      <c r="M54" s="1751">
        <f t="shared" ca="1" si="0"/>
        <v>41608</v>
      </c>
      <c r="N54" s="1809" t="str">
        <f t="shared" si="0"/>
        <v>增值额×税（费）率</v>
      </c>
      <c r="O54" s="1753" t="str">
        <f t="shared" si="0"/>
        <v>——</v>
      </c>
    </row>
    <row r="55" spans="1:35" ht="24" customHeight="1">
      <c r="A55" s="3130" t="s">
        <v>2219</v>
      </c>
      <c r="B55" s="3131"/>
      <c r="C55" s="3131"/>
      <c r="D55" s="185">
        <f ca="1">IF(H55="个人住宅",0,ROUND(D45*I55,0))</f>
        <v>37</v>
      </c>
      <c r="E55" s="11" t="s">
        <v>2220</v>
      </c>
      <c r="F55" s="184">
        <f>IF(H55="正常",I55,"免征")</f>
        <v>5.0000000000000001E-4</v>
      </c>
      <c r="G55" s="2486"/>
      <c r="H55" s="2483" t="s">
        <v>2221</v>
      </c>
      <c r="I55" s="186">
        <f>'数据-取费表'!B49</f>
        <v>5.0000000000000001E-4</v>
      </c>
      <c r="J55" s="1809" t="str">
        <f>IF(H59="非个人房产","",4)</f>
        <v/>
      </c>
      <c r="K55" s="3181" t="str">
        <f>IF(H59="非个人房产","——","个人所得税")</f>
        <v>——</v>
      </c>
      <c r="L55" s="3181"/>
      <c r="M55" s="1754" t="str">
        <f>D59</f>
        <v>——</v>
      </c>
      <c r="N55" s="1807" t="str">
        <f>E59</f>
        <v>——</v>
      </c>
      <c r="O55" s="1755" t="str">
        <f>F59</f>
        <v>——</v>
      </c>
    </row>
    <row r="56" spans="1:35" ht="24.75">
      <c r="A56" s="3130" t="s">
        <v>2222</v>
      </c>
      <c r="B56" s="3131"/>
      <c r="C56" s="3131"/>
      <c r="D56" s="185">
        <f ca="1">IF(H56="个人住宅",D57,D58)</f>
        <v>41608</v>
      </c>
      <c r="E56" s="11" t="s">
        <v>2223</v>
      </c>
      <c r="F56" s="184" t="str">
        <f>IF(H56="正常",F58,"免征")</f>
        <v>——</v>
      </c>
      <c r="G56" s="2488" t="s">
        <v>2224</v>
      </c>
      <c r="H56" s="2489" t="s">
        <v>2221</v>
      </c>
      <c r="I56" s="2490"/>
      <c r="J56" s="1809" t="str">
        <f>IF(项目基本情况!K6="上海银行",IF(J55="",4,J55+1),"")</f>
        <v/>
      </c>
      <c r="K56" s="3204" t="str">
        <f>IF(项目基本情况!K6="上海银行","其他处置费用","")</f>
        <v/>
      </c>
      <c r="L56" s="3205"/>
      <c r="M56" s="1751" t="str">
        <f>IF(项目基本情况!K6="上海银行",M69,"")</f>
        <v/>
      </c>
      <c r="N56" s="3207" t="str">
        <f>IF(项目基本情况!K6="上海银行","包含处置中涉及的律师、诉讼、拍卖、评估等费用","")</f>
        <v/>
      </c>
      <c r="O56" s="3208"/>
    </row>
    <row r="57" spans="1:35" ht="12.75">
      <c r="A57" s="183" t="s">
        <v>2197</v>
      </c>
      <c r="B57" s="3146" t="s">
        <v>2225</v>
      </c>
      <c r="C57" s="3155"/>
      <c r="D57" s="187">
        <v>0</v>
      </c>
      <c r="E57" s="23" t="s">
        <v>2199</v>
      </c>
      <c r="F57" s="155"/>
      <c r="G57" s="2486"/>
      <c r="H57" s="2490"/>
      <c r="I57" s="2490"/>
      <c r="J57" s="3181">
        <f>IF(AND(J55="",J56=""),4,IF(项目基本情况!K6="上海银行",结果表!J56+1,结果表!J55+1))</f>
        <v>4</v>
      </c>
      <c r="K57" s="3181" t="s">
        <v>2226</v>
      </c>
      <c r="L57" s="2491" t="s">
        <v>2227</v>
      </c>
      <c r="M57" s="1756"/>
      <c r="N57" s="1757">
        <f ca="1">SUMIF(M52:M56,"&lt;9e307")</f>
        <v>41645</v>
      </c>
      <c r="O57" s="2492"/>
      <c r="P57" s="1750">
        <f ca="1">N57/M49</f>
        <v>0.56649844245235537</v>
      </c>
    </row>
    <row r="58" spans="1:35" ht="24.75">
      <c r="A58" s="183" t="s">
        <v>2208</v>
      </c>
      <c r="B58" s="3146" t="s">
        <v>2228</v>
      </c>
      <c r="C58" s="3147"/>
      <c r="D58" s="185">
        <f ca="1">IF(H58="转让取得",C81,C97)</f>
        <v>41608</v>
      </c>
      <c r="E58" s="11" t="s">
        <v>2223</v>
      </c>
      <c r="F58" s="24" t="s">
        <v>34</v>
      </c>
      <c r="G58" s="2486"/>
      <c r="H58" s="2489" t="s">
        <v>2229</v>
      </c>
      <c r="I58" s="2490"/>
      <c r="J58" s="3181"/>
      <c r="K58" s="3181"/>
      <c r="L58" s="2491" t="s">
        <v>2230</v>
      </c>
      <c r="M58" s="1758"/>
      <c r="N58" s="2493" t="str">
        <f ca="1">NUMBERSTRING(INT(N57*10000),2)&amp;"元整"</f>
        <v>肆亿壹仟陆佰肆拾伍万元整</v>
      </c>
      <c r="O58" s="2494"/>
    </row>
    <row r="59" spans="1:35" ht="24.75" thickBot="1">
      <c r="A59" s="3184" t="s">
        <v>2231</v>
      </c>
      <c r="B59" s="3185"/>
      <c r="C59" s="3185"/>
      <c r="D59" s="188" t="str">
        <f>IF(H59="非个人房产","——",IF(H59="个人住宅",0,ROUND(D45*I59,0)))</f>
        <v>——</v>
      </c>
      <c r="E59" s="189" t="str">
        <f>IF(H59="非个人房产","——","销售额×税（费）率")</f>
        <v>——</v>
      </c>
      <c r="F59" s="190" t="str">
        <f>IF(H59="非个人房产","——",IF(H59="个人住宅","免征",I59))</f>
        <v>——</v>
      </c>
      <c r="G59" s="2495" t="s">
        <v>2224</v>
      </c>
      <c r="H59" s="2489" t="s">
        <v>2232</v>
      </c>
      <c r="I59" s="191">
        <v>0.01</v>
      </c>
      <c r="J59" s="3182">
        <f>J57+1</f>
        <v>5</v>
      </c>
      <c r="K59" s="3181" t="s">
        <v>2233</v>
      </c>
      <c r="L59" s="1809" t="s">
        <v>2227</v>
      </c>
      <c r="M59" s="1759"/>
      <c r="N59" s="1760">
        <f ca="1">M49-N57</f>
        <v>31868</v>
      </c>
      <c r="O59" s="2496"/>
    </row>
    <row r="60" spans="1:35" ht="12" customHeight="1">
      <c r="A60" s="2497"/>
      <c r="B60" s="2419"/>
      <c r="C60" s="2419"/>
      <c r="D60" s="2419"/>
      <c r="E60" s="2166"/>
      <c r="F60" s="2490"/>
      <c r="G60" s="2490"/>
      <c r="H60" s="2498"/>
      <c r="I60" s="138"/>
      <c r="J60" s="3183"/>
      <c r="K60" s="3181"/>
      <c r="L60" s="2491" t="s">
        <v>2230</v>
      </c>
      <c r="M60" s="1758"/>
      <c r="N60" s="2493" t="str">
        <f ca="1">NUMBERSTRING(INT(N59*10000),2)&amp;"元整"</f>
        <v>叁亿壹仟捌佰陆拾捌万元整</v>
      </c>
      <c r="O60" s="2494"/>
    </row>
    <row r="61" spans="1:35" ht="13.5" thickBot="1">
      <c r="A61" s="3128" t="s">
        <v>2234</v>
      </c>
      <c r="B61" s="3128"/>
      <c r="C61" s="3128"/>
      <c r="D61" s="3128"/>
      <c r="E61" s="3128"/>
      <c r="F61" s="2490"/>
      <c r="G61" s="2490"/>
      <c r="H61" s="2498"/>
      <c r="I61" s="138"/>
      <c r="J61" s="1809">
        <f>J59+1</f>
        <v>6</v>
      </c>
      <c r="K61" s="3181" t="s">
        <v>2235</v>
      </c>
      <c r="L61" s="3181"/>
      <c r="M61" s="1761"/>
      <c r="N61" s="1762">
        <f ca="1">ROUND(N59*10000/'数据-汇总表'!E3,0)</f>
        <v>11715</v>
      </c>
      <c r="O61" s="2499"/>
    </row>
    <row r="62" spans="1:35" ht="12.75">
      <c r="A62" s="3144" t="s">
        <v>2236</v>
      </c>
      <c r="B62" s="3145"/>
      <c r="C62" s="1801"/>
      <c r="D62" s="1801" t="s">
        <v>2237</v>
      </c>
      <c r="E62" s="192" t="s">
        <v>2238</v>
      </c>
      <c r="F62" s="2490"/>
      <c r="G62" s="2490"/>
      <c r="H62" s="2498"/>
      <c r="I62" s="138"/>
    </row>
    <row r="63" spans="1:35" ht="12.75">
      <c r="A63" s="203" t="s">
        <v>775</v>
      </c>
      <c r="B63" s="193" t="s">
        <v>2239</v>
      </c>
      <c r="C63" s="194">
        <f ca="1">ROUND((C64+C65)/(1+'数据-取费表'!C42),0)</f>
        <v>70012</v>
      </c>
      <c r="D63" s="195"/>
      <c r="E63" s="196"/>
      <c r="F63" s="2490"/>
      <c r="G63" s="2490"/>
      <c r="H63" s="2498"/>
      <c r="I63" s="138"/>
      <c r="J63" s="3206" t="s">
        <v>2240</v>
      </c>
      <c r="K63" s="2500" t="s">
        <v>2241</v>
      </c>
      <c r="L63" s="1749">
        <f ca="1">IF(M49&gt;10000,M49*0.5%,IF(AND(M49&gt;1000,M49&lt;=10000),M49*1%,IF(AND(M49&gt;100,M49&lt;=1000),M49*3%,IF(AND(M49&gt;10,M49&lt;=100),M49*5%,M49*8%))))</f>
        <v>367.565</v>
      </c>
      <c r="M63" s="24">
        <f ca="1">ROUND(L63,1)</f>
        <v>367.6</v>
      </c>
      <c r="Z63" s="2424"/>
      <c r="AI63" s="2425"/>
    </row>
    <row r="64" spans="1:35" ht="14.25" customHeight="1">
      <c r="A64" s="197" t="s">
        <v>770</v>
      </c>
      <c r="B64" s="198" t="s">
        <v>2242</v>
      </c>
      <c r="C64" s="199">
        <f ca="1">D45</f>
        <v>73513</v>
      </c>
      <c r="D64" s="200" t="s">
        <v>32</v>
      </c>
      <c r="E64" s="201"/>
      <c r="F64" s="2490"/>
      <c r="G64" s="2490"/>
      <c r="H64" s="2498"/>
      <c r="I64" s="138"/>
      <c r="J64" s="3206"/>
      <c r="K64" s="2500" t="s">
        <v>2243</v>
      </c>
      <c r="L64" s="1749">
        <f ca="1">IF(M49&gt;2000,M49*0.5%,IF(AND(M49&gt;1000,M49&lt;=2000),M49*0.6%,IF(AND(M49&gt;500,M49&lt;=1000),M49*0.7%,IF(AND(M49&gt;200,M49&lt;=500),M49*0.8%,IF(AND(M49&gt;100,M49&lt;=200),M49*0.9%,IF(AND(M49&gt;50,M49&lt;=100),M49*1%,IF(AND(M49&gt;20,M49&lt;=50),M49*1.5%,IF(AND(M49&gt;10,M49&lt;=20),M49*2%,IF(AND(M49&gt;1,M49&lt;=10),M49*2.5%)))))))))</f>
        <v>367.565</v>
      </c>
      <c r="M64" s="24">
        <f t="shared" ref="M64:M65" ca="1" si="1">ROUND(L64,1)</f>
        <v>367.6</v>
      </c>
      <c r="N64" s="138" t="s">
        <v>2244</v>
      </c>
      <c r="Z64" s="2424"/>
      <c r="AI64" s="2425"/>
    </row>
    <row r="65" spans="1:35" ht="14.25" customHeight="1">
      <c r="A65" s="197" t="s">
        <v>771</v>
      </c>
      <c r="B65" s="198" t="s">
        <v>2245</v>
      </c>
      <c r="C65" s="202"/>
      <c r="D65" s="200"/>
      <c r="E65" s="201"/>
      <c r="F65" s="2490"/>
      <c r="G65" s="2490"/>
      <c r="H65" s="2498"/>
      <c r="I65" s="138"/>
      <c r="J65" s="3206"/>
      <c r="K65" s="2500" t="s">
        <v>2246</v>
      </c>
      <c r="L65" s="1749">
        <f ca="1">IF(M49&gt;1000,M49*0.1%,IF(AND(M49&gt;500,M49&lt;=1000),M49*0.5%,IF(AND(M49&gt;50,M49&lt;=500),M49*1%,IF(AND(M49&gt;1,M49&lt;=50),M49*1.5%))))</f>
        <v>73.513000000000005</v>
      </c>
      <c r="M65" s="24">
        <f t="shared" ca="1" si="1"/>
        <v>73.5</v>
      </c>
      <c r="N65" s="138" t="s">
        <v>2244</v>
      </c>
      <c r="Z65" s="2424"/>
      <c r="AI65" s="2425"/>
    </row>
    <row r="66" spans="1:35" ht="14.25" customHeight="1">
      <c r="A66" s="203" t="s">
        <v>772</v>
      </c>
      <c r="B66" s="204" t="s">
        <v>2247</v>
      </c>
      <c r="C66" s="205"/>
      <c r="D66" s="206" t="s">
        <v>32</v>
      </c>
      <c r="E66" s="1773" t="s">
        <v>1367</v>
      </c>
      <c r="F66" s="2490"/>
      <c r="G66" s="2490"/>
      <c r="H66" s="2498"/>
      <c r="I66" s="138"/>
      <c r="J66" s="3206"/>
      <c r="K66" s="2500" t="s">
        <v>2248</v>
      </c>
      <c r="L66" s="1749">
        <f ca="1">M49*0.5%</f>
        <v>367.565</v>
      </c>
      <c r="M66" s="24">
        <f ca="1">IF(L66&gt;0.5,0.5,ROUND(L66,0))</f>
        <v>0.5</v>
      </c>
      <c r="N66" s="138" t="s">
        <v>2249</v>
      </c>
      <c r="Z66" s="2424"/>
      <c r="AI66" s="2425"/>
    </row>
    <row r="67" spans="1:35" ht="14.25" customHeight="1">
      <c r="A67" s="203" t="s">
        <v>773</v>
      </c>
      <c r="B67" s="204" t="s">
        <v>2250</v>
      </c>
      <c r="C67" s="207">
        <f ca="1">C63-C66</f>
        <v>70012</v>
      </c>
      <c r="D67" s="200" t="s">
        <v>32</v>
      </c>
      <c r="E67" s="201"/>
      <c r="F67" s="2490"/>
      <c r="G67" s="2490"/>
      <c r="H67" s="2498"/>
      <c r="I67" s="138"/>
      <c r="J67" s="3206"/>
      <c r="K67" s="2500" t="s">
        <v>2251</v>
      </c>
      <c r="L67" s="1749">
        <f ca="1">IF(M49&gt;=10000,(8.25+(M49-10000)*0.01%),IF(AND(M49&gt;=8000,M49&lt;10000),(7.85+(M49-8000)*0.02%),IF(AND(M49&gt;=5000,M49&lt;8000),(6.65+(M49-5000)*0.04%),IF(AND(M49&gt;=2000,M49&lt;5000),(4.25+(PM49-2000)*0.08%),IF(AND(M49&gt;=1000,M49&lt;2000),(2.75+(M49-1000)*0.15%),IF(AND(M49&gt;=100,M49&lt;1000),(0.5+(M49-100)*0.25%),IF(AND(M49&gt;0,M49&lt;100),M49*0.5%)))))))</f>
        <v>14.6013</v>
      </c>
      <c r="M67" s="24">
        <f ca="1">ROUND(L67*0.9,1)</f>
        <v>13.1</v>
      </c>
      <c r="Z67" s="2424"/>
      <c r="AI67" s="2425"/>
    </row>
    <row r="68" spans="1:35" ht="14.25" customHeight="1" thickBot="1">
      <c r="A68" s="208" t="s">
        <v>774</v>
      </c>
      <c r="B68" s="209" t="s">
        <v>2252</v>
      </c>
      <c r="C68" s="210">
        <f ca="1">IF(C67&lt;=0,0,ROUND(C67*D68,0))</f>
        <v>3921</v>
      </c>
      <c r="D68" s="211">
        <f>'数据-取费表'!B41</f>
        <v>5.6000000000000001E-2</v>
      </c>
      <c r="E68" s="212"/>
      <c r="F68" s="2490"/>
      <c r="G68" s="2490"/>
      <c r="H68" s="2498"/>
      <c r="I68" s="138"/>
      <c r="J68" s="3206"/>
      <c r="K68" s="2500" t="s">
        <v>2253</v>
      </c>
      <c r="L68" s="1749">
        <f ca="1">IF(M49&gt;10000,M49*0.5%,IF(AND(M49&gt;5000,M49&lt;=10000),M49*1%,IF(AND(M49&gt;1000,M49&lt;=5000),M49*2%,IF(AND(M49&gt;200,M49&lt;=1000),M49*3%,M49*5%))))</f>
        <v>367.565</v>
      </c>
      <c r="M68" s="24">
        <f ca="1">ROUND(L68,1)</f>
        <v>367.6</v>
      </c>
      <c r="Z68" s="2424"/>
      <c r="AI68" s="2425"/>
    </row>
    <row r="69" spans="1:35" s="2447" customFormat="1" ht="16.5" customHeight="1">
      <c r="A69" s="2501"/>
      <c r="B69" s="2502"/>
      <c r="C69" s="2503"/>
      <c r="D69" s="2504"/>
      <c r="E69" s="2505"/>
      <c r="F69" s="2166"/>
      <c r="G69" s="2166"/>
      <c r="H69" s="2165"/>
      <c r="I69" s="2419"/>
      <c r="J69" s="3206"/>
      <c r="K69" s="2500" t="s">
        <v>2254</v>
      </c>
      <c r="L69" s="2506"/>
      <c r="M69" s="24">
        <f ca="1">ROUND(SUM(M63:M68),0)</f>
        <v>1190</v>
      </c>
      <c r="N69" s="1750">
        <f ca="1">M69/M49</f>
        <v>1.6187613075238392E-2</v>
      </c>
      <c r="O69" s="795"/>
      <c r="P69" s="795"/>
      <c r="Q69" s="795"/>
      <c r="R69" s="795"/>
      <c r="S69" s="795"/>
      <c r="T69" s="795"/>
      <c r="U69" s="795"/>
      <c r="V69" s="795"/>
      <c r="W69" s="795"/>
      <c r="X69" s="795"/>
      <c r="Y69" s="795"/>
      <c r="Z69" s="2424"/>
      <c r="AA69" s="2424"/>
      <c r="AB69" s="2424"/>
      <c r="AC69" s="2424"/>
      <c r="AD69" s="2424"/>
      <c r="AE69" s="2424"/>
      <c r="AF69" s="2424"/>
      <c r="AG69" s="2424"/>
      <c r="AH69" s="2424"/>
    </row>
    <row r="70" spans="1:35" s="2508" customFormat="1" ht="15" thickBot="1">
      <c r="A70" s="3165" t="s">
        <v>2255</v>
      </c>
      <c r="B70" s="3166"/>
      <c r="C70" s="3166"/>
      <c r="D70" s="3166"/>
      <c r="E70" s="3166"/>
      <c r="F70" s="3166"/>
      <c r="G70" s="3166"/>
      <c r="H70" s="3166"/>
      <c r="I70" s="2507"/>
      <c r="N70" s="2509"/>
      <c r="O70" s="2509"/>
      <c r="P70" s="2509"/>
      <c r="Q70" s="2509"/>
      <c r="R70" s="2509"/>
      <c r="S70" s="2509"/>
      <c r="T70" s="2509"/>
      <c r="U70" s="2509"/>
      <c r="V70" s="2509"/>
      <c r="W70" s="2509"/>
      <c r="X70" s="2509"/>
      <c r="Y70" s="2509"/>
      <c r="Z70" s="2509"/>
      <c r="AA70" s="2510"/>
      <c r="AB70" s="2510"/>
      <c r="AC70" s="2510"/>
      <c r="AD70" s="2510"/>
      <c r="AE70" s="2510"/>
      <c r="AF70" s="2510"/>
      <c r="AG70" s="2510"/>
      <c r="AH70" s="2510"/>
      <c r="AI70" s="2510"/>
    </row>
    <row r="71" spans="1:35" s="2508" customFormat="1" ht="14.25">
      <c r="A71" s="3144" t="s">
        <v>2236</v>
      </c>
      <c r="B71" s="3145"/>
      <c r="C71" s="1801"/>
      <c r="D71" s="1801" t="s">
        <v>2237</v>
      </c>
      <c r="E71" s="213" t="s">
        <v>2238</v>
      </c>
      <c r="F71" s="214"/>
      <c r="G71" s="214"/>
      <c r="H71" s="215"/>
      <c r="I71" s="2511"/>
      <c r="N71" s="2509"/>
      <c r="O71" s="2509"/>
      <c r="P71" s="2509"/>
      <c r="Q71" s="2509"/>
      <c r="R71" s="2509"/>
      <c r="S71" s="2509"/>
      <c r="T71" s="2509"/>
      <c r="U71" s="2509"/>
      <c r="V71" s="2509"/>
      <c r="W71" s="2509"/>
      <c r="X71" s="2509"/>
      <c r="Y71" s="2509"/>
      <c r="Z71" s="2509"/>
      <c r="AA71" s="2510"/>
      <c r="AB71" s="2510"/>
      <c r="AC71" s="2510"/>
      <c r="AD71" s="2510"/>
      <c r="AE71" s="2510"/>
      <c r="AF71" s="2510"/>
      <c r="AG71" s="2510"/>
      <c r="AH71" s="2510"/>
      <c r="AI71" s="2510"/>
    </row>
    <row r="72" spans="1:35" s="2508" customFormat="1" ht="14.25">
      <c r="A72" s="203" t="s">
        <v>775</v>
      </c>
      <c r="B72" s="204" t="s">
        <v>2256</v>
      </c>
      <c r="C72" s="207">
        <f ca="1">ROUND(D45/(1+'数据-取费表'!C42),0)</f>
        <v>70012</v>
      </c>
      <c r="D72" s="200" t="s">
        <v>32</v>
      </c>
      <c r="E72" s="1800"/>
      <c r="F72" s="1794"/>
      <c r="G72" s="1794"/>
      <c r="H72" s="216"/>
      <c r="I72" s="2511"/>
      <c r="N72" s="2509"/>
      <c r="O72" s="2509"/>
      <c r="P72" s="2509"/>
      <c r="Q72" s="2509"/>
      <c r="R72" s="2509"/>
      <c r="S72" s="2509"/>
      <c r="T72" s="2509"/>
      <c r="U72" s="2509"/>
      <c r="V72" s="2509"/>
      <c r="W72" s="2509"/>
      <c r="X72" s="2509"/>
      <c r="Y72" s="2509"/>
      <c r="Z72" s="2509"/>
      <c r="AA72" s="2510"/>
      <c r="AB72" s="2510"/>
      <c r="AC72" s="2510"/>
      <c r="AD72" s="2510"/>
      <c r="AE72" s="2510"/>
      <c r="AF72" s="2510"/>
      <c r="AG72" s="2510"/>
      <c r="AH72" s="2510"/>
      <c r="AI72" s="2510"/>
    </row>
    <row r="73" spans="1:35" s="2508" customFormat="1" ht="14.25">
      <c r="A73" s="203" t="s">
        <v>772</v>
      </c>
      <c r="B73" s="173" t="s">
        <v>2257</v>
      </c>
      <c r="C73" s="207">
        <f ca="1">C74+C78</f>
        <v>420</v>
      </c>
      <c r="D73" s="200" t="s">
        <v>32</v>
      </c>
      <c r="E73" s="1800"/>
      <c r="F73" s="1794"/>
      <c r="G73" s="1794"/>
      <c r="H73" s="216"/>
      <c r="I73" s="2511"/>
      <c r="J73" s="2509"/>
      <c r="K73" s="2509"/>
      <c r="L73" s="2509"/>
      <c r="M73" s="2509"/>
      <c r="N73" s="2509"/>
      <c r="O73" s="2509"/>
      <c r="P73" s="2509"/>
      <c r="Q73" s="2509"/>
      <c r="R73" s="2509"/>
      <c r="S73" s="2509"/>
      <c r="T73" s="2509"/>
      <c r="U73" s="2509"/>
      <c r="V73" s="2509"/>
      <c r="W73" s="2509"/>
      <c r="X73" s="2509"/>
      <c r="Y73" s="2509"/>
      <c r="Z73" s="2509"/>
      <c r="AA73" s="2510"/>
      <c r="AB73" s="2510"/>
      <c r="AC73" s="2510"/>
      <c r="AD73" s="2510"/>
      <c r="AE73" s="2510"/>
      <c r="AF73" s="2510"/>
      <c r="AG73" s="2510"/>
      <c r="AH73" s="2510"/>
      <c r="AI73" s="2510"/>
    </row>
    <row r="74" spans="1:35" s="2508" customFormat="1" ht="24">
      <c r="A74" s="217" t="s">
        <v>770</v>
      </c>
      <c r="B74" s="198" t="s">
        <v>2258</v>
      </c>
      <c r="C74" s="200">
        <f>ROUND(IF(G77="2016年5月1日后购买",C75/(1+'数据-取费表'!C42)+C76+C77,C75+C76+C77),0)</f>
        <v>0</v>
      </c>
      <c r="D74" s="200" t="s">
        <v>32</v>
      </c>
      <c r="E74" s="1800"/>
      <c r="F74" s="1794"/>
      <c r="G74" s="1794"/>
      <c r="H74" s="216"/>
      <c r="I74" s="2511"/>
      <c r="J74" s="2509"/>
      <c r="K74" s="2509"/>
      <c r="L74" s="2509"/>
      <c r="M74" s="2509"/>
      <c r="N74" s="2509"/>
      <c r="O74" s="2509"/>
      <c r="P74" s="2509"/>
      <c r="Q74" s="2509"/>
      <c r="R74" s="2509"/>
      <c r="S74" s="2509"/>
      <c r="T74" s="2509"/>
      <c r="U74" s="2509"/>
      <c r="V74" s="2509"/>
      <c r="W74" s="2509"/>
      <c r="X74" s="2509"/>
      <c r="Y74" s="2509"/>
      <c r="Z74" s="2509"/>
      <c r="AA74" s="2510"/>
      <c r="AB74" s="2510"/>
      <c r="AC74" s="2510"/>
      <c r="AD74" s="2510"/>
      <c r="AE74" s="2510"/>
      <c r="AF74" s="2510"/>
      <c r="AG74" s="2510"/>
      <c r="AH74" s="2510"/>
      <c r="AI74" s="2510"/>
    </row>
    <row r="75" spans="1:35" s="2508" customFormat="1" ht="14.25">
      <c r="A75" s="217" t="s">
        <v>776</v>
      </c>
      <c r="B75" s="198" t="s">
        <v>2259</v>
      </c>
      <c r="C75" s="218"/>
      <c r="D75" s="200" t="s">
        <v>32</v>
      </c>
      <c r="E75" s="219" t="s">
        <v>2260</v>
      </c>
      <c r="F75" s="2512" t="s">
        <v>2261</v>
      </c>
      <c r="G75" s="219" t="s">
        <v>2262</v>
      </c>
      <c r="H75" s="220"/>
      <c r="I75" s="2513"/>
      <c r="J75" s="2509"/>
      <c r="K75" s="2509"/>
      <c r="L75" s="2509"/>
      <c r="M75" s="2509"/>
      <c r="N75" s="2509"/>
      <c r="O75" s="2509"/>
      <c r="P75" s="2509"/>
      <c r="Q75" s="2509"/>
      <c r="R75" s="2509"/>
      <c r="S75" s="2509"/>
      <c r="T75" s="2509"/>
      <c r="U75" s="2509"/>
      <c r="V75" s="2509"/>
      <c r="W75" s="2509"/>
      <c r="X75" s="2509"/>
      <c r="Y75" s="2509"/>
      <c r="Z75" s="2509"/>
      <c r="AA75" s="2510"/>
      <c r="AB75" s="2510"/>
      <c r="AC75" s="2510"/>
      <c r="AD75" s="2510"/>
      <c r="AE75" s="2510"/>
      <c r="AF75" s="2510"/>
      <c r="AG75" s="2510"/>
      <c r="AH75" s="2510"/>
      <c r="AI75" s="2510"/>
    </row>
    <row r="76" spans="1:35" s="2508" customFormat="1" ht="24.75" customHeight="1">
      <c r="A76" s="217" t="s">
        <v>777</v>
      </c>
      <c r="B76" s="221" t="s">
        <v>2263</v>
      </c>
      <c r="C76" s="200">
        <f>IF(F75="购房发票",ROUND(C75*H75*D76,0),0)</f>
        <v>0</v>
      </c>
      <c r="D76" s="222">
        <v>0.05</v>
      </c>
      <c r="E76" s="3139" t="s">
        <v>2264</v>
      </c>
      <c r="F76" s="3116"/>
      <c r="G76" s="3116"/>
      <c r="H76" s="3164"/>
      <c r="I76" s="2511"/>
      <c r="J76" s="2509"/>
      <c r="K76" s="2509"/>
      <c r="L76" s="2509"/>
      <c r="M76" s="2509"/>
      <c r="N76" s="2509"/>
      <c r="O76" s="2509"/>
      <c r="P76" s="2509"/>
      <c r="Q76" s="2509"/>
      <c r="R76" s="2509"/>
      <c r="S76" s="2509"/>
      <c r="T76" s="2509"/>
      <c r="U76" s="2509"/>
      <c r="V76" s="2509"/>
      <c r="W76" s="2509"/>
      <c r="X76" s="2509"/>
      <c r="Y76" s="2509"/>
      <c r="Z76" s="2509"/>
      <c r="AA76" s="2510"/>
      <c r="AB76" s="2510"/>
      <c r="AC76" s="2510"/>
      <c r="AD76" s="2510"/>
      <c r="AE76" s="2510"/>
      <c r="AF76" s="2510"/>
      <c r="AG76" s="2510"/>
      <c r="AH76" s="2510"/>
      <c r="AI76" s="2510"/>
    </row>
    <row r="77" spans="1:35" s="2508" customFormat="1" ht="24.75" customHeight="1">
      <c r="A77" s="217" t="s">
        <v>778</v>
      </c>
      <c r="B77" s="198" t="s">
        <v>2265</v>
      </c>
      <c r="C77" s="200">
        <f>ROUND(IF(G77="个人住宅",0,IF(G77="2016年5月1日前购买",C75*D77,C75*D77/(1+'数据-取费表'!C42))),0)</f>
        <v>0</v>
      </c>
      <c r="D77" s="223">
        <f>'数据-取费表'!B48+'数据-取费表'!B49</f>
        <v>3.0499999999999999E-2</v>
      </c>
      <c r="E77" s="15" t="s">
        <v>2266</v>
      </c>
      <c r="F77" s="224"/>
      <c r="G77" s="2514" t="s">
        <v>2267</v>
      </c>
      <c r="H77" s="1805" t="str">
        <f>IF(G77="个人买卖住房","免征印花税"," ")</f>
        <v xml:space="preserve"> </v>
      </c>
      <c r="I77" s="2511"/>
      <c r="J77" s="2509"/>
      <c r="K77" s="2509"/>
      <c r="L77" s="2509"/>
      <c r="M77" s="2509"/>
      <c r="N77" s="2509"/>
      <c r="O77" s="2509"/>
      <c r="P77" s="2509"/>
      <c r="Q77" s="2509"/>
      <c r="R77" s="2509"/>
      <c r="S77" s="2509"/>
      <c r="T77" s="2509"/>
      <c r="U77" s="2509"/>
      <c r="V77" s="2509"/>
      <c r="W77" s="2509"/>
      <c r="X77" s="2509"/>
      <c r="Y77" s="2509"/>
      <c r="Z77" s="2509"/>
      <c r="AA77" s="2510"/>
      <c r="AB77" s="2510"/>
      <c r="AC77" s="2510"/>
      <c r="AD77" s="2510"/>
      <c r="AE77" s="2510"/>
      <c r="AF77" s="2510"/>
      <c r="AG77" s="2510"/>
      <c r="AH77" s="2510"/>
      <c r="AI77" s="2510"/>
    </row>
    <row r="78" spans="1:35" s="2508" customFormat="1" ht="24.75" customHeight="1">
      <c r="A78" s="217" t="s">
        <v>771</v>
      </c>
      <c r="B78" s="198" t="s">
        <v>2268</v>
      </c>
      <c r="C78" s="225">
        <f ca="1">ROUND(D45*D78/(1+'数据-取费表'!C42),0)</f>
        <v>420</v>
      </c>
      <c r="D78" s="226">
        <f>'数据-取费表'!B43</f>
        <v>6.000000000000001E-3</v>
      </c>
      <c r="E78" s="3125" t="s">
        <v>2269</v>
      </c>
      <c r="F78" s="3126"/>
      <c r="G78" s="3126"/>
      <c r="H78" s="3135"/>
      <c r="I78" s="2515"/>
      <c r="J78" s="2509"/>
      <c r="K78" s="2509"/>
      <c r="L78" s="2509"/>
      <c r="M78" s="2509"/>
      <c r="N78" s="2509"/>
      <c r="O78" s="2509"/>
      <c r="P78" s="2509"/>
      <c r="Q78" s="2509"/>
      <c r="R78" s="2509"/>
      <c r="S78" s="2509"/>
      <c r="T78" s="2509"/>
      <c r="U78" s="2509"/>
      <c r="V78" s="2509"/>
      <c r="W78" s="2509"/>
      <c r="X78" s="2509"/>
      <c r="Y78" s="2509"/>
      <c r="Z78" s="2509"/>
      <c r="AA78" s="2510"/>
      <c r="AB78" s="2510"/>
      <c r="AC78" s="2510"/>
      <c r="AD78" s="2510"/>
      <c r="AE78" s="2510"/>
      <c r="AF78" s="2510"/>
      <c r="AG78" s="2510"/>
      <c r="AH78" s="2510"/>
      <c r="AI78" s="2510"/>
    </row>
    <row r="79" spans="1:35" s="2508" customFormat="1" ht="14.25">
      <c r="A79" s="2516" t="s">
        <v>779</v>
      </c>
      <c r="B79" s="204" t="s">
        <v>2270</v>
      </c>
      <c r="C79" s="207">
        <f ca="1">C72-C73</f>
        <v>69592</v>
      </c>
      <c r="D79" s="200" t="s">
        <v>32</v>
      </c>
      <c r="E79" s="1800"/>
      <c r="F79" s="1794"/>
      <c r="G79" s="1794"/>
      <c r="H79" s="216"/>
      <c r="I79" s="2511"/>
      <c r="J79" s="2509"/>
      <c r="K79" s="2509"/>
      <c r="L79" s="2509"/>
      <c r="M79" s="2509"/>
      <c r="N79" s="2509"/>
      <c r="O79" s="2509"/>
      <c r="P79" s="2509"/>
      <c r="Q79" s="2509"/>
      <c r="R79" s="2509"/>
      <c r="S79" s="2509"/>
      <c r="T79" s="2509"/>
      <c r="U79" s="2509"/>
      <c r="V79" s="2509"/>
      <c r="W79" s="2509"/>
      <c r="X79" s="2509"/>
      <c r="Y79" s="2509"/>
      <c r="Z79" s="2509"/>
      <c r="AA79" s="2510"/>
      <c r="AB79" s="2510"/>
      <c r="AC79" s="2510"/>
      <c r="AD79" s="2510"/>
      <c r="AE79" s="2510"/>
      <c r="AF79" s="2510"/>
      <c r="AG79" s="2510"/>
      <c r="AH79" s="2510"/>
      <c r="AI79" s="2510"/>
    </row>
    <row r="80" spans="1:35" s="2508" customFormat="1" ht="24">
      <c r="A80" s="2516" t="s">
        <v>780</v>
      </c>
      <c r="B80" s="204" t="s">
        <v>2271</v>
      </c>
      <c r="C80" s="227">
        <f ca="1">IF(C79&lt;=0,0,C79/C73)</f>
        <v>165.6952380952381</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11"/>
      <c r="J80" s="2509"/>
      <c r="K80" s="2509"/>
      <c r="L80" s="2509"/>
      <c r="M80" s="2509"/>
      <c r="N80" s="2509"/>
      <c r="O80" s="2509"/>
      <c r="P80" s="2509"/>
      <c r="Q80" s="2509"/>
      <c r="R80" s="2509"/>
      <c r="S80" s="2509"/>
      <c r="T80" s="2509"/>
      <c r="U80" s="2509"/>
      <c r="V80" s="2509"/>
      <c r="W80" s="2509"/>
      <c r="X80" s="2509"/>
      <c r="Y80" s="2509"/>
      <c r="Z80" s="2509"/>
      <c r="AA80" s="2510"/>
      <c r="AB80" s="2510"/>
      <c r="AC80" s="2510"/>
      <c r="AD80" s="2510"/>
      <c r="AE80" s="2510"/>
      <c r="AF80" s="2510"/>
      <c r="AG80" s="2510"/>
      <c r="AH80" s="2510"/>
      <c r="AI80" s="2510"/>
    </row>
    <row r="81" spans="1:35" s="2508" customFormat="1" ht="24.75" thickBot="1">
      <c r="A81" s="2517" t="s">
        <v>781</v>
      </c>
      <c r="B81" s="209" t="s">
        <v>2272</v>
      </c>
      <c r="C81" s="228">
        <f ca="1">ROUND(IF(C79&lt;=0,0,IF(C80&gt;=200%,C79*60%-C73*35%,IF(C80&gt;=100%,C79*50%-C73*15%,IF(C80&gt;=50%,C79*40%-C73*5%,IF(C80&lt;50%,C79*30%,0))))),0)</f>
        <v>41608</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1"/>
      <c r="J81" s="2509"/>
      <c r="K81" s="2509"/>
      <c r="L81" s="2509"/>
      <c r="M81" s="2509"/>
      <c r="N81" s="2509"/>
      <c r="O81" s="2509"/>
      <c r="P81" s="2509"/>
      <c r="Q81" s="2509"/>
      <c r="R81" s="2509"/>
      <c r="S81" s="2509"/>
      <c r="T81" s="2509"/>
      <c r="U81" s="2509"/>
      <c r="V81" s="2509"/>
      <c r="W81" s="2509"/>
      <c r="X81" s="2509"/>
      <c r="Y81" s="2509"/>
      <c r="Z81" s="2509"/>
      <c r="AA81" s="2510"/>
      <c r="AB81" s="2510"/>
      <c r="AC81" s="2510"/>
      <c r="AD81" s="2510"/>
      <c r="AE81" s="2510"/>
      <c r="AF81" s="2510"/>
      <c r="AG81" s="2510"/>
      <c r="AH81" s="2510"/>
      <c r="AI81" s="2510"/>
    </row>
    <row r="82" spans="1:35" s="2508" customFormat="1" ht="7.5" customHeight="1">
      <c r="A82" s="733"/>
      <c r="B82" s="734"/>
      <c r="C82" s="7"/>
      <c r="D82" s="7"/>
      <c r="E82" s="734"/>
      <c r="F82" s="734"/>
      <c r="G82" s="734"/>
      <c r="H82" s="735"/>
      <c r="I82" s="2515"/>
      <c r="J82" s="2509"/>
      <c r="K82" s="2509"/>
      <c r="L82" s="2509"/>
      <c r="M82" s="2509"/>
      <c r="N82" s="2509"/>
      <c r="O82" s="2509"/>
      <c r="P82" s="2509"/>
      <c r="Q82" s="2509"/>
      <c r="R82" s="2509"/>
      <c r="S82" s="2509"/>
      <c r="T82" s="2509"/>
      <c r="U82" s="2509"/>
      <c r="V82" s="2509"/>
      <c r="W82" s="2509"/>
      <c r="X82" s="2509"/>
      <c r="Y82" s="2509"/>
      <c r="Z82" s="2509"/>
      <c r="AA82" s="2510"/>
      <c r="AB82" s="2510"/>
      <c r="AC82" s="2510"/>
      <c r="AD82" s="2510"/>
      <c r="AE82" s="2510"/>
      <c r="AF82" s="2510"/>
      <c r="AG82" s="2510"/>
      <c r="AH82" s="2510"/>
      <c r="AI82" s="2510"/>
    </row>
    <row r="83" spans="1:35" s="2508" customFormat="1" ht="15" thickBot="1">
      <c r="A83" s="3165" t="s">
        <v>2273</v>
      </c>
      <c r="B83" s="3166"/>
      <c r="C83" s="3166"/>
      <c r="D83" s="3166"/>
      <c r="E83" s="3166"/>
      <c r="F83" s="3166"/>
      <c r="G83" s="3166"/>
      <c r="H83" s="3166"/>
      <c r="I83" s="2513"/>
      <c r="J83" s="2509"/>
      <c r="K83" s="2509"/>
      <c r="L83" s="2509"/>
      <c r="M83" s="2509"/>
      <c r="N83" s="2509"/>
      <c r="O83" s="2509"/>
      <c r="P83" s="2509"/>
      <c r="Q83" s="2509"/>
      <c r="R83" s="2509"/>
      <c r="S83" s="2509"/>
      <c r="T83" s="2509"/>
      <c r="U83" s="2509"/>
      <c r="V83" s="2509"/>
      <c r="W83" s="2509"/>
      <c r="X83" s="2509"/>
      <c r="Y83" s="2509"/>
      <c r="Z83" s="2509"/>
      <c r="AA83" s="2510"/>
      <c r="AB83" s="2510"/>
      <c r="AC83" s="2510"/>
      <c r="AD83" s="2510"/>
      <c r="AE83" s="2510"/>
      <c r="AF83" s="2510"/>
      <c r="AG83" s="2510"/>
      <c r="AH83" s="2510"/>
      <c r="AI83" s="2510"/>
    </row>
    <row r="84" spans="1:35" s="2508" customFormat="1" ht="14.25">
      <c r="A84" s="3144" t="s">
        <v>2236</v>
      </c>
      <c r="B84" s="3145"/>
      <c r="C84" s="1801"/>
      <c r="D84" s="1801" t="s">
        <v>2237</v>
      </c>
      <c r="E84" s="213" t="s">
        <v>2238</v>
      </c>
      <c r="F84" s="214"/>
      <c r="G84" s="214"/>
      <c r="H84" s="233"/>
      <c r="I84" s="2513"/>
      <c r="J84" s="2509"/>
      <c r="K84" s="2509"/>
      <c r="L84" s="2509"/>
      <c r="M84" s="2509"/>
      <c r="N84" s="2509"/>
      <c r="O84" s="2509"/>
      <c r="P84" s="2509"/>
      <c r="Q84" s="2509"/>
      <c r="R84" s="2509"/>
      <c r="S84" s="2509"/>
      <c r="T84" s="2509"/>
      <c r="U84" s="2509"/>
      <c r="V84" s="2509"/>
      <c r="W84" s="2509"/>
      <c r="X84" s="2509"/>
      <c r="Y84" s="2509"/>
      <c r="Z84" s="2509"/>
      <c r="AA84" s="2510"/>
      <c r="AB84" s="2510"/>
      <c r="AC84" s="2510"/>
      <c r="AD84" s="2510"/>
      <c r="AE84" s="2510"/>
      <c r="AF84" s="2510"/>
      <c r="AG84" s="2510"/>
      <c r="AH84" s="2510"/>
      <c r="AI84" s="2510"/>
    </row>
    <row r="85" spans="1:35" s="2508" customFormat="1" ht="14.25">
      <c r="A85" s="203" t="s">
        <v>775</v>
      </c>
      <c r="B85" s="204" t="s">
        <v>2256</v>
      </c>
      <c r="C85" s="207">
        <f ca="1">ROUND(D45/(1+'数据-取费表'!C42),0)</f>
        <v>70012</v>
      </c>
      <c r="D85" s="200" t="s">
        <v>32</v>
      </c>
      <c r="E85" s="1800"/>
      <c r="F85" s="1794"/>
      <c r="G85" s="1794"/>
      <c r="H85" s="234"/>
      <c r="I85" s="2513"/>
      <c r="J85" s="2509"/>
      <c r="K85" s="2509"/>
      <c r="L85" s="2509"/>
      <c r="M85" s="2509"/>
      <c r="N85" s="2509"/>
      <c r="O85" s="2509"/>
      <c r="P85" s="2509"/>
      <c r="Q85" s="2509"/>
      <c r="R85" s="2509"/>
      <c r="S85" s="2509"/>
      <c r="T85" s="2509"/>
      <c r="U85" s="2509"/>
      <c r="V85" s="2509"/>
      <c r="W85" s="2509"/>
      <c r="X85" s="2509"/>
      <c r="Y85" s="2509"/>
      <c r="Z85" s="2509"/>
      <c r="AA85" s="2510"/>
      <c r="AB85" s="2510"/>
      <c r="AC85" s="2510"/>
      <c r="AD85" s="2510"/>
      <c r="AE85" s="2510"/>
      <c r="AF85" s="2510"/>
      <c r="AG85" s="2510"/>
      <c r="AH85" s="2510"/>
      <c r="AI85" s="2510"/>
    </row>
    <row r="86" spans="1:35" s="2508" customFormat="1" ht="14.25">
      <c r="A86" s="203" t="s">
        <v>772</v>
      </c>
      <c r="B86" s="173" t="s">
        <v>2257</v>
      </c>
      <c r="C86" s="207">
        <f ca="1">IF(H88="仅含出让金",C87+C90+C91+C92+C93+C94,C87+C91+C92+C93+C94)</f>
        <v>420</v>
      </c>
      <c r="D86" s="235"/>
      <c r="E86" s="1800"/>
      <c r="F86" s="1794"/>
      <c r="G86" s="1794"/>
      <c r="H86" s="234"/>
      <c r="I86" s="2513"/>
      <c r="J86" s="2509"/>
      <c r="K86" s="2509"/>
      <c r="L86" s="2509"/>
      <c r="M86" s="2509"/>
      <c r="N86" s="2509"/>
      <c r="O86" s="2509"/>
      <c r="P86" s="2509"/>
      <c r="Q86" s="2509"/>
      <c r="R86" s="2509"/>
      <c r="S86" s="2509"/>
      <c r="T86" s="2509"/>
      <c r="U86" s="2509"/>
      <c r="V86" s="2509"/>
      <c r="W86" s="2509"/>
      <c r="X86" s="2509"/>
      <c r="Y86" s="2509"/>
      <c r="Z86" s="2509"/>
      <c r="AA86" s="2510"/>
      <c r="AB86" s="2510"/>
      <c r="AC86" s="2510"/>
      <c r="AD86" s="2510"/>
      <c r="AE86" s="2510"/>
      <c r="AF86" s="2510"/>
      <c r="AG86" s="2510"/>
      <c r="AH86" s="2510"/>
      <c r="AI86" s="2510"/>
    </row>
    <row r="87" spans="1:35" s="2508" customFormat="1" ht="14.25">
      <c r="A87" s="217" t="s">
        <v>770</v>
      </c>
      <c r="B87" s="198" t="s">
        <v>2274</v>
      </c>
      <c r="C87" s="225">
        <f>C88+C89</f>
        <v>0</v>
      </c>
      <c r="D87" s="226"/>
      <c r="E87" s="1796"/>
      <c r="F87" s="1797"/>
      <c r="G87" s="1797"/>
      <c r="H87" s="1799"/>
      <c r="I87" s="2513"/>
      <c r="J87" s="2509"/>
      <c r="K87" s="2509"/>
      <c r="L87" s="2509"/>
      <c r="M87" s="2509"/>
      <c r="N87" s="2509"/>
      <c r="O87" s="2509"/>
      <c r="P87" s="2509"/>
      <c r="Q87" s="2509"/>
      <c r="R87" s="2509"/>
      <c r="S87" s="2509"/>
      <c r="T87" s="2509"/>
      <c r="U87" s="2509"/>
      <c r="V87" s="2509"/>
      <c r="W87" s="2509"/>
      <c r="X87" s="2509"/>
      <c r="Y87" s="2509"/>
      <c r="Z87" s="2509"/>
      <c r="AA87" s="2510"/>
      <c r="AB87" s="2510"/>
      <c r="AC87" s="2510"/>
      <c r="AD87" s="2510"/>
      <c r="AE87" s="2510"/>
      <c r="AF87" s="2510"/>
      <c r="AG87" s="2510"/>
      <c r="AH87" s="2510"/>
      <c r="AI87" s="2510"/>
    </row>
    <row r="88" spans="1:35" s="2508" customFormat="1" ht="14.25">
      <c r="A88" s="217" t="s">
        <v>776</v>
      </c>
      <c r="B88" s="198" t="s">
        <v>2275</v>
      </c>
      <c r="C88" s="236"/>
      <c r="D88" s="226"/>
      <c r="E88" s="237" t="s">
        <v>2276</v>
      </c>
      <c r="F88" s="1797"/>
      <c r="G88" s="238" t="s">
        <v>2277</v>
      </c>
      <c r="H88" s="2518"/>
      <c r="I88" s="2513"/>
      <c r="J88" s="2509"/>
      <c r="K88" s="2509"/>
      <c r="L88" s="2509"/>
      <c r="M88" s="2509"/>
      <c r="N88" s="2509"/>
      <c r="O88" s="2509"/>
      <c r="P88" s="2509"/>
      <c r="Q88" s="2509"/>
      <c r="R88" s="2509"/>
      <c r="S88" s="2509"/>
      <c r="T88" s="2509"/>
      <c r="U88" s="2509"/>
      <c r="V88" s="2509"/>
      <c r="W88" s="2509"/>
      <c r="X88" s="2509"/>
      <c r="Y88" s="2509"/>
      <c r="Z88" s="2509"/>
      <c r="AA88" s="2510"/>
      <c r="AB88" s="2510"/>
      <c r="AC88" s="2510"/>
      <c r="AD88" s="2510"/>
      <c r="AE88" s="2510"/>
      <c r="AF88" s="2510"/>
      <c r="AG88" s="2510"/>
      <c r="AH88" s="2510"/>
      <c r="AI88" s="2510"/>
    </row>
    <row r="89" spans="1:35" s="2508" customFormat="1" ht="14.25">
      <c r="A89" s="217" t="s">
        <v>777</v>
      </c>
      <c r="B89" s="198" t="s">
        <v>2265</v>
      </c>
      <c r="C89" s="225">
        <f>ROUND(C88*D89,0)</f>
        <v>0</v>
      </c>
      <c r="D89" s="226">
        <f>'数据-取费表'!B48+'数据-取费表'!B49</f>
        <v>3.0499999999999999E-2</v>
      </c>
      <c r="E89" s="237" t="s">
        <v>2278</v>
      </c>
      <c r="F89" s="1797"/>
      <c r="G89" s="1797"/>
      <c r="H89" s="1799"/>
      <c r="I89" s="2513"/>
      <c r="J89" s="2509"/>
      <c r="K89" s="2509"/>
      <c r="L89" s="2509"/>
      <c r="M89" s="2509"/>
      <c r="N89" s="2509"/>
      <c r="O89" s="2509"/>
      <c r="P89" s="2509"/>
      <c r="Q89" s="2509"/>
      <c r="R89" s="2509"/>
      <c r="S89" s="2509"/>
      <c r="T89" s="2509"/>
      <c r="U89" s="2509"/>
      <c r="V89" s="2509"/>
      <c r="W89" s="2509"/>
      <c r="X89" s="2509"/>
      <c r="Y89" s="2509"/>
      <c r="Z89" s="2509"/>
      <c r="AA89" s="2510"/>
      <c r="AB89" s="2510"/>
      <c r="AC89" s="2510"/>
      <c r="AD89" s="2510"/>
      <c r="AE89" s="2510"/>
      <c r="AF89" s="2510"/>
      <c r="AG89" s="2510"/>
      <c r="AH89" s="2510"/>
      <c r="AI89" s="2510"/>
    </row>
    <row r="90" spans="1:35" s="2508" customFormat="1" ht="14.25">
      <c r="A90" s="217" t="s">
        <v>771</v>
      </c>
      <c r="B90" s="198" t="s">
        <v>2279</v>
      </c>
      <c r="C90" s="236"/>
      <c r="D90" s="226"/>
      <c r="E90" s="237" t="str">
        <f>IF(H88="-","土地取得成本中已包含该笔费用"," ")</f>
        <v xml:space="preserve"> </v>
      </c>
      <c r="F90" s="1797"/>
      <c r="G90" s="1797"/>
      <c r="H90" s="1799"/>
      <c r="I90" s="2513"/>
      <c r="J90" s="2509"/>
      <c r="K90" s="2509"/>
      <c r="L90" s="2509"/>
      <c r="M90" s="2509"/>
      <c r="N90" s="2509"/>
      <c r="O90" s="2509"/>
      <c r="P90" s="2509"/>
      <c r="Q90" s="2509"/>
      <c r="R90" s="2509"/>
      <c r="S90" s="2509"/>
      <c r="T90" s="2509"/>
      <c r="U90" s="2509"/>
      <c r="V90" s="2509"/>
      <c r="W90" s="2509"/>
      <c r="X90" s="2509"/>
      <c r="Y90" s="2509"/>
      <c r="Z90" s="2509"/>
      <c r="AA90" s="2510"/>
      <c r="AB90" s="2510"/>
      <c r="AC90" s="2510"/>
      <c r="AD90" s="2510"/>
      <c r="AE90" s="2510"/>
      <c r="AF90" s="2510"/>
      <c r="AG90" s="2510"/>
      <c r="AH90" s="2510"/>
      <c r="AI90" s="2510"/>
    </row>
    <row r="91" spans="1:35" s="2508" customFormat="1" ht="27.75" customHeight="1">
      <c r="A91" s="217" t="s">
        <v>2280</v>
      </c>
      <c r="B91" s="198" t="s">
        <v>2281</v>
      </c>
      <c r="C91" s="225">
        <f>IF(H91="——",成本法!C33,I91)</f>
        <v>0</v>
      </c>
      <c r="D91" s="226"/>
      <c r="E91" s="3125" t="s">
        <v>2282</v>
      </c>
      <c r="F91" s="3126"/>
      <c r="G91" s="3126"/>
      <c r="H91" s="2519" t="s">
        <v>2283</v>
      </c>
      <c r="I91" s="2520"/>
      <c r="J91" s="2509"/>
      <c r="K91" s="2509"/>
      <c r="L91" s="2509"/>
      <c r="M91" s="2509"/>
      <c r="N91" s="2509"/>
      <c r="O91" s="2509"/>
      <c r="P91" s="2509"/>
      <c r="Q91" s="2509"/>
      <c r="R91" s="2509"/>
      <c r="S91" s="2509"/>
      <c r="T91" s="2509"/>
      <c r="U91" s="2509"/>
      <c r="V91" s="2509"/>
      <c r="W91" s="2509"/>
      <c r="X91" s="2509"/>
      <c r="Y91" s="2509"/>
      <c r="Z91" s="2509"/>
      <c r="AA91" s="2510"/>
      <c r="AB91" s="2510"/>
      <c r="AC91" s="2510"/>
      <c r="AD91" s="2510"/>
      <c r="AE91" s="2510"/>
      <c r="AF91" s="2510"/>
      <c r="AG91" s="2510"/>
      <c r="AH91" s="2510"/>
      <c r="AI91" s="2510"/>
    </row>
    <row r="92" spans="1:35" s="2508" customFormat="1" ht="25.5" customHeight="1">
      <c r="A92" s="217" t="s">
        <v>2284</v>
      </c>
      <c r="B92" s="198" t="s">
        <v>2285</v>
      </c>
      <c r="C92" s="225">
        <f>ROUND((C87+C90+C91)*D92,0)</f>
        <v>0</v>
      </c>
      <c r="D92" s="226">
        <v>0.1</v>
      </c>
      <c r="E92" s="3125" t="s">
        <v>2286</v>
      </c>
      <c r="F92" s="3126"/>
      <c r="G92" s="3126"/>
      <c r="H92" s="3135"/>
      <c r="I92" s="2513"/>
      <c r="J92" s="2509"/>
      <c r="K92" s="2509"/>
      <c r="L92" s="2509"/>
      <c r="M92" s="2509"/>
      <c r="N92" s="2509"/>
      <c r="O92" s="2509"/>
      <c r="P92" s="2509"/>
      <c r="Q92" s="2509"/>
      <c r="R92" s="2509"/>
      <c r="S92" s="2509"/>
      <c r="T92" s="2509"/>
      <c r="U92" s="2509"/>
      <c r="V92" s="2509"/>
      <c r="W92" s="2509"/>
      <c r="X92" s="2509"/>
      <c r="Y92" s="2509"/>
      <c r="Z92" s="2509"/>
      <c r="AA92" s="2510"/>
      <c r="AB92" s="2510"/>
      <c r="AC92" s="2510"/>
      <c r="AD92" s="2510"/>
      <c r="AE92" s="2510"/>
      <c r="AF92" s="2510"/>
      <c r="AG92" s="2510"/>
      <c r="AH92" s="2510"/>
      <c r="AI92" s="2510"/>
    </row>
    <row r="93" spans="1:35" s="2508" customFormat="1" ht="25.5" customHeight="1">
      <c r="A93" s="217" t="s">
        <v>2287</v>
      </c>
      <c r="B93" s="198" t="s">
        <v>2268</v>
      </c>
      <c r="C93" s="225">
        <f ca="1">ROUND(D45*D93/(1+'数据-取费表'!C42),0)</f>
        <v>420</v>
      </c>
      <c r="D93" s="226">
        <f>'数据-取费表'!B43</f>
        <v>6.000000000000001E-3</v>
      </c>
      <c r="E93" s="3125" t="s">
        <v>2269</v>
      </c>
      <c r="F93" s="3126"/>
      <c r="G93" s="3126"/>
      <c r="H93" s="3135"/>
      <c r="I93" s="2513"/>
      <c r="J93" s="2509"/>
      <c r="K93" s="2509"/>
      <c r="L93" s="2509"/>
      <c r="M93" s="2509"/>
      <c r="N93" s="2509"/>
      <c r="O93" s="2509"/>
      <c r="P93" s="2509"/>
      <c r="Q93" s="2509"/>
      <c r="R93" s="2509"/>
      <c r="S93" s="2509"/>
      <c r="T93" s="2509"/>
      <c r="U93" s="2509"/>
      <c r="V93" s="2509"/>
      <c r="W93" s="2509"/>
      <c r="X93" s="2509"/>
      <c r="Y93" s="2509"/>
      <c r="Z93" s="2509"/>
      <c r="AA93" s="2510"/>
      <c r="AB93" s="2510"/>
      <c r="AC93" s="2510"/>
      <c r="AD93" s="2510"/>
      <c r="AE93" s="2510"/>
      <c r="AF93" s="2510"/>
      <c r="AG93" s="2510"/>
      <c r="AH93" s="2510"/>
      <c r="AI93" s="2510"/>
    </row>
    <row r="94" spans="1:35" s="2508" customFormat="1" ht="36.75" customHeight="1">
      <c r="A94" s="217" t="s">
        <v>2288</v>
      </c>
      <c r="B94" s="198" t="s">
        <v>2289</v>
      </c>
      <c r="C94" s="236">
        <f>ROUND((C87+C90+C91)*D94,0)</f>
        <v>0</v>
      </c>
      <c r="D94" s="226">
        <v>0.2</v>
      </c>
      <c r="E94" s="3136" t="s">
        <v>2290</v>
      </c>
      <c r="F94" s="3137"/>
      <c r="G94" s="3137"/>
      <c r="H94" s="3138"/>
      <c r="I94" s="2513"/>
      <c r="J94" s="2509"/>
      <c r="K94" s="2509"/>
      <c r="L94" s="2509"/>
      <c r="M94" s="2509"/>
      <c r="N94" s="2509"/>
      <c r="O94" s="2509"/>
      <c r="P94" s="2509"/>
      <c r="Q94" s="2509"/>
      <c r="R94" s="2509"/>
      <c r="S94" s="2509"/>
      <c r="T94" s="2509"/>
      <c r="U94" s="2509"/>
      <c r="V94" s="2509"/>
      <c r="W94" s="2509"/>
      <c r="X94" s="2509"/>
      <c r="Y94" s="2509"/>
      <c r="Z94" s="2509"/>
      <c r="AA94" s="2510"/>
      <c r="AB94" s="2510"/>
      <c r="AC94" s="2510"/>
      <c r="AD94" s="2510"/>
      <c r="AE94" s="2510"/>
      <c r="AF94" s="2510"/>
      <c r="AG94" s="2510"/>
      <c r="AH94" s="2510"/>
      <c r="AI94" s="2510"/>
    </row>
    <row r="95" spans="1:35" s="2508" customFormat="1" ht="14.25">
      <c r="A95" s="2516" t="s">
        <v>779</v>
      </c>
      <c r="B95" s="204" t="s">
        <v>2270</v>
      </c>
      <c r="C95" s="207">
        <f ca="1">ROUND(C85-C86,0)</f>
        <v>69592</v>
      </c>
      <c r="D95" s="200" t="s">
        <v>32</v>
      </c>
      <c r="E95" s="1800"/>
      <c r="F95" s="1794"/>
      <c r="G95" s="1794"/>
      <c r="H95" s="234"/>
      <c r="I95" s="2513"/>
      <c r="J95" s="2509"/>
      <c r="K95" s="2509"/>
      <c r="L95" s="2509"/>
      <c r="M95" s="2509"/>
      <c r="N95" s="2509"/>
      <c r="O95" s="2509"/>
      <c r="P95" s="2509"/>
      <c r="Q95" s="2509"/>
      <c r="R95" s="2509"/>
      <c r="S95" s="2509"/>
      <c r="T95" s="2509"/>
      <c r="U95" s="2509"/>
      <c r="V95" s="2509"/>
      <c r="W95" s="2509"/>
      <c r="X95" s="2509"/>
      <c r="Y95" s="2509"/>
      <c r="Z95" s="2509"/>
      <c r="AA95" s="2510"/>
      <c r="AB95" s="2510"/>
      <c r="AC95" s="2510"/>
      <c r="AD95" s="2510"/>
      <c r="AE95" s="2510"/>
      <c r="AF95" s="2510"/>
      <c r="AG95" s="2510"/>
      <c r="AH95" s="2510"/>
      <c r="AI95" s="2510"/>
    </row>
    <row r="96" spans="1:35" s="2508" customFormat="1" ht="24">
      <c r="A96" s="2516" t="s">
        <v>780</v>
      </c>
      <c r="B96" s="204" t="s">
        <v>2271</v>
      </c>
      <c r="C96" s="227">
        <f ca="1">IF(C95&lt;=0,0,C95/C86)</f>
        <v>165.6952380952381</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13"/>
      <c r="J96" s="2509"/>
      <c r="K96" s="2509"/>
      <c r="L96" s="2509"/>
      <c r="M96" s="2509"/>
      <c r="N96" s="2509"/>
      <c r="O96" s="2509"/>
      <c r="P96" s="2509"/>
      <c r="Q96" s="2509"/>
      <c r="R96" s="2509"/>
      <c r="S96" s="2509"/>
      <c r="T96" s="2509"/>
      <c r="U96" s="2509"/>
      <c r="V96" s="2509"/>
      <c r="W96" s="2509"/>
      <c r="X96" s="2509"/>
      <c r="Y96" s="2509"/>
      <c r="Z96" s="2509"/>
      <c r="AA96" s="2510"/>
      <c r="AB96" s="2510"/>
      <c r="AC96" s="2510"/>
      <c r="AD96" s="2510"/>
      <c r="AE96" s="2510"/>
      <c r="AF96" s="2510"/>
      <c r="AG96" s="2510"/>
      <c r="AH96" s="2510"/>
      <c r="AI96" s="2510"/>
    </row>
    <row r="97" spans="1:35" s="2508" customFormat="1" ht="24.75" thickBot="1">
      <c r="A97" s="2517" t="s">
        <v>781</v>
      </c>
      <c r="B97" s="209" t="s">
        <v>2272</v>
      </c>
      <c r="C97" s="228">
        <f ca="1">ROUND(IF(C95&lt;=0,0,IF(C96&gt;=200%,C95*60%-C86*35%,IF(C96&gt;=100%,C95*50%-C86*15%,IF(C96&gt;=50%,C95*40%-C86*5%,IF(C96&lt;50%,C95*30%,0))))),0)</f>
        <v>41608</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3"/>
      <c r="J97" s="2509"/>
      <c r="K97" s="2509"/>
      <c r="L97" s="2509"/>
      <c r="M97" s="2509"/>
      <c r="N97" s="2509"/>
      <c r="O97" s="2509"/>
      <c r="P97" s="2509"/>
      <c r="Q97" s="2509"/>
      <c r="R97" s="2509"/>
      <c r="S97" s="2509"/>
      <c r="T97" s="2509"/>
      <c r="U97" s="2509"/>
      <c r="V97" s="2509"/>
      <c r="W97" s="2509"/>
      <c r="X97" s="2509"/>
      <c r="Y97" s="2509"/>
      <c r="Z97" s="2509"/>
      <c r="AA97" s="2510"/>
      <c r="AB97" s="2510"/>
      <c r="AC97" s="2510"/>
      <c r="AD97" s="2510"/>
      <c r="AE97" s="2510"/>
      <c r="AF97" s="2510"/>
      <c r="AG97" s="2510"/>
      <c r="AH97" s="2510"/>
      <c r="AI97" s="2510"/>
    </row>
    <row r="98" spans="1:35" ht="21.75" customHeight="1">
      <c r="A98" s="2497"/>
      <c r="B98" s="2419"/>
      <c r="C98" s="2419"/>
      <c r="D98" s="2419"/>
      <c r="E98" s="2166"/>
      <c r="F98" s="2166"/>
      <c r="G98" s="2166"/>
      <c r="H98" s="2165"/>
      <c r="I98" s="138"/>
    </row>
    <row r="99" spans="1:35" ht="21.75" customHeight="1" thickBot="1">
      <c r="A99" s="2475" t="s">
        <v>2291</v>
      </c>
      <c r="B99" s="2419"/>
      <c r="C99" s="2419"/>
      <c r="D99" s="2419"/>
      <c r="E99" s="2166"/>
      <c r="F99" s="2166"/>
      <c r="G99" s="2166"/>
      <c r="H99" s="2165"/>
      <c r="I99" s="138"/>
    </row>
    <row r="100" spans="1:35" ht="18.75" customHeight="1">
      <c r="A100" s="3110" t="s">
        <v>2292</v>
      </c>
      <c r="B100" s="3111"/>
      <c r="C100" s="3111"/>
      <c r="D100" s="3127"/>
      <c r="E100" s="3111" t="s">
        <v>2293</v>
      </c>
      <c r="F100" s="3111"/>
      <c r="G100" s="3111"/>
      <c r="H100" s="3127"/>
      <c r="I100" s="138"/>
    </row>
    <row r="101" spans="1:35" ht="18.75" customHeight="1">
      <c r="A101" s="3189" t="s">
        <v>2294</v>
      </c>
      <c r="B101" s="3190"/>
      <c r="C101" s="736" t="str">
        <f>C4</f>
        <v>成本法</v>
      </c>
      <c r="D101" s="737" t="str">
        <f>D4</f>
        <v>收益法</v>
      </c>
      <c r="E101" s="3203" t="s">
        <v>2295</v>
      </c>
      <c r="F101" s="3157"/>
      <c r="G101" s="2521" t="s">
        <v>2296</v>
      </c>
      <c r="H101" s="1045">
        <f ca="1">H118</f>
        <v>73513</v>
      </c>
      <c r="I101" s="138"/>
    </row>
    <row r="102" spans="1:35" ht="18.75" customHeight="1">
      <c r="A102" s="3159" t="s">
        <v>2297</v>
      </c>
      <c r="B102" s="2521" t="s">
        <v>2296</v>
      </c>
      <c r="C102" s="736">
        <f ca="1">C19</f>
        <v>40149</v>
      </c>
      <c r="D102" s="737">
        <f ca="1">D19</f>
        <v>100810</v>
      </c>
      <c r="E102" s="3203"/>
      <c r="F102" s="3157"/>
      <c r="G102" s="2521" t="s">
        <v>2298</v>
      </c>
      <c r="H102" s="371">
        <f ca="1">I118</f>
        <v>27025</v>
      </c>
      <c r="I102" s="138"/>
    </row>
    <row r="103" spans="1:35" ht="42.75" customHeight="1">
      <c r="A103" s="3159"/>
      <c r="B103" s="2521" t="s">
        <v>2298</v>
      </c>
      <c r="C103" s="738">
        <f ca="1">C20</f>
        <v>14759</v>
      </c>
      <c r="D103" s="739">
        <f ca="1">D20</f>
        <v>37059</v>
      </c>
      <c r="E103" s="3198" t="s">
        <v>2299</v>
      </c>
      <c r="F103" s="3199"/>
      <c r="G103" s="2522" t="s">
        <v>2300</v>
      </c>
      <c r="H103" s="1045">
        <f>IF(D36="正常操作",H104+H105+H106,H105+H106)</f>
        <v>0</v>
      </c>
      <c r="I103" s="138"/>
    </row>
    <row r="104" spans="1:35" ht="18.75" customHeight="1">
      <c r="A104" s="3159" t="s">
        <v>2301</v>
      </c>
      <c r="B104" s="2523" t="s">
        <v>2296</v>
      </c>
      <c r="C104" s="740">
        <f ca="1">H118</f>
        <v>73513</v>
      </c>
      <c r="D104" s="741"/>
      <c r="E104" s="2267" t="s">
        <v>2302</v>
      </c>
      <c r="F104" s="2258"/>
      <c r="G104" s="2522" t="s">
        <v>2300</v>
      </c>
      <c r="H104" s="1046">
        <f>IF(D36="同一抵押权人同一抵押物续贷",C36&amp;"（未扣减，详见特别提示）",C36)</f>
        <v>0</v>
      </c>
      <c r="I104" s="138"/>
    </row>
    <row r="105" spans="1:35" ht="18.75" customHeight="1" thickBot="1">
      <c r="A105" s="3160"/>
      <c r="B105" s="2524" t="s">
        <v>2298</v>
      </c>
      <c r="C105" s="742">
        <f ca="1">I118</f>
        <v>27025</v>
      </c>
      <c r="D105" s="743"/>
      <c r="E105" s="2267" t="s">
        <v>2303</v>
      </c>
      <c r="F105" s="2258"/>
      <c r="G105" s="2522" t="s">
        <v>2300</v>
      </c>
      <c r="H105" s="1046">
        <f>C37</f>
        <v>0</v>
      </c>
      <c r="I105" s="138"/>
    </row>
    <row r="106" spans="1:35" ht="18.75" customHeight="1">
      <c r="A106" s="2419" t="s">
        <v>2304</v>
      </c>
      <c r="B106" s="2419"/>
      <c r="C106" s="2419"/>
      <c r="D106" s="2419"/>
      <c r="E106" s="2525" t="s">
        <v>2305</v>
      </c>
      <c r="F106" s="2258"/>
      <c r="G106" s="2522" t="s">
        <v>2300</v>
      </c>
      <c r="H106" s="1046">
        <f>C38</f>
        <v>0</v>
      </c>
      <c r="I106" s="138"/>
    </row>
    <row r="107" spans="1:35" ht="18.75" customHeight="1">
      <c r="A107" s="138"/>
      <c r="B107" s="138"/>
      <c r="C107" s="138"/>
      <c r="D107" s="138"/>
      <c r="E107" s="3156" t="str">
        <f>IF(项目基本情况!E8="已注销","——","3.房地产抵押价值")</f>
        <v>3.房地产抵押价值</v>
      </c>
      <c r="F107" s="3157"/>
      <c r="G107" s="2521" t="s">
        <v>2296</v>
      </c>
      <c r="H107" s="1045">
        <f ca="1">IF(E107="——","——",H101-H103)</f>
        <v>73513</v>
      </c>
      <c r="I107" s="138"/>
    </row>
    <row r="108" spans="1:35" ht="18.75" customHeight="1">
      <c r="A108" s="138"/>
      <c r="B108" s="138"/>
      <c r="C108" s="138"/>
      <c r="D108" s="138"/>
      <c r="E108" s="3156"/>
      <c r="F108" s="3157"/>
      <c r="G108" s="2521" t="s">
        <v>2298</v>
      </c>
      <c r="H108" s="371">
        <f ca="1">ROUND(H107*10000/'数据-汇总表'!E3,0)</f>
        <v>27025</v>
      </c>
      <c r="I108" s="138"/>
    </row>
    <row r="109" spans="1:35" ht="18.75" customHeight="1">
      <c r="A109" s="138"/>
      <c r="B109" s="138"/>
      <c r="C109" s="138"/>
      <c r="D109" s="138"/>
      <c r="E109" s="3156" t="str">
        <f>IF(项目基本情况!E8="已注销及未注销","4.抵押担保权已注销时的房地产抵押价值",IF(项目基本情况!E8="已注销","3.抵押担保权已注销时的房地产抵押价值","——"))</f>
        <v>——</v>
      </c>
      <c r="F109" s="3157"/>
      <c r="G109" s="2521" t="s">
        <v>2296</v>
      </c>
      <c r="H109" s="348" t="str">
        <f>IF(E109="——","——",H101-H105-H106)</f>
        <v>——</v>
      </c>
      <c r="I109" s="138"/>
    </row>
    <row r="110" spans="1:35" ht="18.75" customHeight="1">
      <c r="A110" s="138"/>
      <c r="B110" s="138"/>
      <c r="C110" s="138"/>
      <c r="D110" s="138"/>
      <c r="E110" s="3156"/>
      <c r="F110" s="3157"/>
      <c r="G110" s="2521" t="s">
        <v>2298</v>
      </c>
      <c r="H110" s="371" t="str">
        <f>IF(H109="——","——",ROUND(H109*10000/'数据-汇总表'!E3,0))</f>
        <v>——</v>
      </c>
      <c r="I110" s="138"/>
    </row>
    <row r="111" spans="1:35" ht="18.75" customHeight="1">
      <c r="A111" s="138"/>
      <c r="B111" s="138"/>
      <c r="C111" s="138"/>
      <c r="D111" s="138"/>
      <c r="E111" s="3191" t="str">
        <f>IF(项目基本情况!E9="抵押净值",IF(OR(项目基本情况!E8="已注销",项目基本情况!E8="房地产抵押价值"),"4.抵押净值","5.抵押净值"),"——")</f>
        <v>——</v>
      </c>
      <c r="F111" s="3192"/>
      <c r="G111" s="2521" t="s">
        <v>2296</v>
      </c>
      <c r="H111" s="1045" t="str">
        <f>IF(E111="——","——",N59)</f>
        <v>——</v>
      </c>
      <c r="I111" s="138"/>
    </row>
    <row r="112" spans="1:35" ht="18.75" customHeight="1" thickBot="1">
      <c r="A112" s="138"/>
      <c r="B112" s="138"/>
      <c r="C112" s="138"/>
      <c r="D112" s="138"/>
      <c r="E112" s="3193"/>
      <c r="F112" s="3194"/>
      <c r="G112" s="2526" t="s">
        <v>2298</v>
      </c>
      <c r="H112" s="790" t="str">
        <f>IF(E111="——","——",N61)</f>
        <v>——</v>
      </c>
      <c r="I112" s="138"/>
    </row>
    <row r="113" spans="1:11" ht="18.75" customHeight="1">
      <c r="A113" s="138"/>
      <c r="B113" s="138"/>
      <c r="C113" s="138"/>
      <c r="D113" s="138"/>
      <c r="E113" s="3161" t="s">
        <v>2304</v>
      </c>
      <c r="F113" s="3161"/>
      <c r="G113" s="3161"/>
      <c r="H113" s="3161"/>
      <c r="I113" s="138"/>
    </row>
    <row r="114" spans="1:11" ht="3.75" customHeight="1">
      <c r="A114" s="2419"/>
      <c r="B114" s="2419"/>
      <c r="C114" s="2419"/>
      <c r="D114" s="2419"/>
      <c r="E114" s="2497"/>
      <c r="F114" s="2497"/>
      <c r="G114" s="2497"/>
      <c r="H114" s="2497"/>
      <c r="I114" s="2419"/>
    </row>
    <row r="115" spans="1:11" ht="18.75" customHeight="1">
      <c r="A115" s="3174" t="s">
        <v>2306</v>
      </c>
      <c r="B115" s="3175"/>
      <c r="C115" s="3175"/>
      <c r="D115" s="3175"/>
      <c r="E115" s="3175"/>
      <c r="F115" s="3175"/>
      <c r="G115" s="3175"/>
      <c r="H115" s="3175"/>
      <c r="I115" s="3176"/>
    </row>
    <row r="116" spans="1:11" ht="27" customHeight="1">
      <c r="A116" s="3042" t="s">
        <v>2307</v>
      </c>
      <c r="B116" s="3162" t="s">
        <v>3190</v>
      </c>
      <c r="C116" s="3162" t="s">
        <v>3191</v>
      </c>
      <c r="D116" s="3178" t="s">
        <v>2308</v>
      </c>
      <c r="E116" s="3179"/>
      <c r="F116" s="3170" t="s">
        <v>3192</v>
      </c>
      <c r="G116" s="3170"/>
      <c r="H116" s="3042" t="s">
        <v>2309</v>
      </c>
      <c r="I116" s="3042"/>
    </row>
    <row r="117" spans="1:11" ht="18.75" customHeight="1">
      <c r="A117" s="3042"/>
      <c r="B117" s="3163"/>
      <c r="C117" s="3163"/>
      <c r="D117" s="1795" t="s">
        <v>2310</v>
      </c>
      <c r="E117" s="1795" t="s">
        <v>2311</v>
      </c>
      <c r="F117" s="1795" t="s">
        <v>2310</v>
      </c>
      <c r="G117" s="1795" t="s">
        <v>2312</v>
      </c>
      <c r="H117" s="1795" t="s">
        <v>2310</v>
      </c>
      <c r="I117" s="1795" t="s">
        <v>2312</v>
      </c>
    </row>
    <row r="118" spans="1:11" ht="24.75" customHeight="1">
      <c r="A118" s="2527" t="str">
        <f>项目基本情况!S2</f>
        <v>北京市朝阳区建国门外郎家园6号“郎园Vintage”项目房地产</v>
      </c>
      <c r="B118" s="1795">
        <f>M18</f>
        <v>27202.3</v>
      </c>
      <c r="C118" s="1795">
        <f>M19</f>
        <v>18455.759999999998</v>
      </c>
      <c r="D118" s="1795">
        <f ca="1">ROUND(IF(D32="总价",C34,E118*B118/10000),0)</f>
        <v>58810</v>
      </c>
      <c r="E118" s="1795">
        <f ca="1">ROUND(IF(C33="自定义",IF(D32="楼面单价",C34,D118*10000/B118),I118-G118),0)</f>
        <v>21620</v>
      </c>
      <c r="F118" s="1795">
        <f ca="1">ROUND(IF(D32="总价",C35,G118*B118/10000),0)</f>
        <v>14703</v>
      </c>
      <c r="G118" s="1795">
        <f ca="1">ROUND(IF(D32="楼面单价",C35,F118*10000/B118),0)</f>
        <v>5405</v>
      </c>
      <c r="H118" s="1795">
        <f ca="1">ROUND(IF(D32="总价",C32,I118*B118/10000),0)</f>
        <v>73513</v>
      </c>
      <c r="I118" s="1795">
        <f ca="1">ROUND(IF(D32="楼面单价",C32,H118*10000/B118),0)</f>
        <v>27025</v>
      </c>
    </row>
    <row r="119" spans="1:11" ht="18.75" customHeight="1">
      <c r="A119" s="3042" t="s">
        <v>2313</v>
      </c>
      <c r="B119" s="3042"/>
      <c r="C119" s="3042"/>
      <c r="D119" s="3167" t="str">
        <f ca="1">NUMBERSTRING(INT(D118*10000),2)&amp;"元整"</f>
        <v>伍亿捌仟捌佰壹拾万元整</v>
      </c>
      <c r="E119" s="3169"/>
      <c r="F119" s="3167" t="str">
        <f ca="1">NUMBERSTRING(INT(F118*10000),2)&amp;"元整"</f>
        <v>壹亿肆仟柒佰零叁万元整</v>
      </c>
      <c r="G119" s="3169"/>
      <c r="H119" s="3167" t="str">
        <f ca="1">NUMBERSTRING(INT(H118*10000),2)&amp;"元整"</f>
        <v>柒亿叁仟伍佰壹拾叁万元整</v>
      </c>
      <c r="I119" s="3169"/>
    </row>
    <row r="120" spans="1:11" ht="18.75" customHeight="1">
      <c r="A120" s="3195" t="str">
        <f>IF(项目基本情况!B9="房地产市场价值","",MID(E103,3,LEN(E103)-2))</f>
        <v>估价师知悉的法定优先受偿款</v>
      </c>
      <c r="B120" s="3196"/>
      <c r="C120" s="3197"/>
      <c r="D120" s="3195">
        <f>H103</f>
        <v>0</v>
      </c>
      <c r="E120" s="3196"/>
      <c r="F120" s="3196"/>
      <c r="G120" s="3196"/>
      <c r="H120" s="3196"/>
      <c r="I120" s="3197"/>
      <c r="K120" s="2424" t="str">
        <f>IF(D120=0,"故，本次评估不存在"&amp;A120,"故，本次评估"&amp;A120&amp;"为人民币"&amp;D120&amp;"万元整。")</f>
        <v>故，本次评估不存在估价师知悉的法定优先受偿款</v>
      </c>
    </row>
    <row r="121" spans="1:11" ht="18.75" customHeight="1">
      <c r="A121" s="3171" t="s">
        <v>2313</v>
      </c>
      <c r="B121" s="3172"/>
      <c r="C121" s="3173"/>
      <c r="D121" s="3167" t="str">
        <f>IF(D120=0,"零元整",NUMBERSTRING(INT(D120*10000),2)&amp;"元整")</f>
        <v>零元整</v>
      </c>
      <c r="E121" s="3168"/>
      <c r="F121" s="3168"/>
      <c r="G121" s="3168"/>
      <c r="H121" s="3168"/>
      <c r="I121" s="3169"/>
    </row>
    <row r="122" spans="1:11" ht="18.75" customHeight="1">
      <c r="A122" s="3158" t="str">
        <f>IF(项目基本情况!B9="房地产市场价值","",MID(E107,3,LEN(E107)-2))</f>
        <v>房地产抵押价值</v>
      </c>
      <c r="B122" s="3158"/>
      <c r="C122" s="3158"/>
      <c r="D122" s="3195">
        <f ca="1">H107</f>
        <v>73513</v>
      </c>
      <c r="E122" s="3196"/>
      <c r="F122" s="3196"/>
      <c r="G122" s="3196"/>
      <c r="H122" s="3196"/>
      <c r="I122" s="3197"/>
    </row>
    <row r="123" spans="1:11" ht="18.75" customHeight="1">
      <c r="A123" s="3042" t="s">
        <v>2313</v>
      </c>
      <c r="B123" s="3042"/>
      <c r="C123" s="3042"/>
      <c r="D123" s="3167" t="str">
        <f ca="1">NUMBERSTRING(INT(D122*10000),2)&amp;"元整"</f>
        <v>柒亿叁仟伍佰壹拾叁万元整</v>
      </c>
      <c r="E123" s="3168"/>
      <c r="F123" s="3168"/>
      <c r="G123" s="3168"/>
      <c r="H123" s="3168"/>
      <c r="I123" s="3169"/>
    </row>
    <row r="124" spans="1:11" ht="18.75" customHeight="1">
      <c r="A124" s="3158" t="str">
        <f>IF(项目基本情况!B9="房地产市场价值","",MID(E109,3,LEN(E109)-2))</f>
        <v/>
      </c>
      <c r="B124" s="3158"/>
      <c r="C124" s="3158"/>
      <c r="D124" s="3195" t="str">
        <f>H109</f>
        <v>——</v>
      </c>
      <c r="E124" s="3196"/>
      <c r="F124" s="3196"/>
      <c r="G124" s="3196"/>
      <c r="H124" s="3196"/>
      <c r="I124" s="3197"/>
    </row>
    <row r="125" spans="1:11" ht="18.75" customHeight="1">
      <c r="A125" s="3042" t="s">
        <v>2313</v>
      </c>
      <c r="B125" s="3042"/>
      <c r="C125" s="3042"/>
      <c r="D125" s="3167" t="e">
        <f>NUMBERSTRING(INT(D124*10000),2)&amp;"元整"</f>
        <v>#VALUE!</v>
      </c>
      <c r="E125" s="3168"/>
      <c r="F125" s="3168"/>
      <c r="G125" s="3168"/>
      <c r="H125" s="3168"/>
      <c r="I125" s="3169"/>
    </row>
    <row r="126" spans="1:11" ht="18.75" customHeight="1">
      <c r="A126" s="3158" t="str">
        <f>IF(项目基本情况!B9="房地产市场价值","",MID(E111,3,LEN(E111)-2))</f>
        <v/>
      </c>
      <c r="B126" s="3158"/>
      <c r="C126" s="3158"/>
      <c r="D126" s="3195" t="str">
        <f>H111</f>
        <v>——</v>
      </c>
      <c r="E126" s="3196"/>
      <c r="F126" s="3196"/>
      <c r="G126" s="3196"/>
      <c r="H126" s="3196"/>
      <c r="I126" s="3197"/>
    </row>
    <row r="127" spans="1:11" ht="18.75" customHeight="1">
      <c r="A127" s="3042" t="s">
        <v>2313</v>
      </c>
      <c r="B127" s="3042"/>
      <c r="C127" s="3042"/>
      <c r="D127" s="3167" t="e">
        <f>NUMBERSTRING(INT(D126*10000),2)&amp;"元整"</f>
        <v>#VALUE!</v>
      </c>
      <c r="E127" s="3168"/>
      <c r="F127" s="3168"/>
      <c r="G127" s="3168"/>
      <c r="H127" s="3168"/>
      <c r="I127" s="3169"/>
    </row>
    <row r="128" spans="1:11" ht="21.75" customHeight="1">
      <c r="A128" s="3177" t="s">
        <v>2314</v>
      </c>
      <c r="B128" s="3177"/>
      <c r="C128" s="3177"/>
      <c r="D128" s="3177"/>
      <c r="E128" s="3177"/>
      <c r="F128" s="3177"/>
      <c r="G128" s="3177"/>
      <c r="H128" s="3177"/>
      <c r="I128" s="3177"/>
    </row>
    <row r="129" spans="1:35" ht="21.75" customHeight="1">
      <c r="A129" s="2528" t="s">
        <v>2315</v>
      </c>
      <c r="B129" s="2529"/>
      <c r="C129" s="2530" t="s">
        <v>2316</v>
      </c>
      <c r="D129" s="2531"/>
      <c r="E129" s="2531"/>
      <c r="F129" s="2531"/>
      <c r="G129" s="2531"/>
      <c r="H129" s="2532"/>
      <c r="I129" s="2533"/>
    </row>
    <row r="130" spans="1:35" ht="21.75" customHeight="1">
      <c r="A130" s="2534">
        <v>1</v>
      </c>
      <c r="B130" s="2535"/>
      <c r="C130" s="2535"/>
      <c r="D130" s="2536"/>
      <c r="E130" s="2536"/>
      <c r="F130" s="2536"/>
      <c r="G130" s="2536"/>
      <c r="H130" s="2537"/>
      <c r="I130" s="2538"/>
    </row>
    <row r="131" spans="1:35" ht="21.75" customHeight="1">
      <c r="A131" s="2534">
        <v>2</v>
      </c>
      <c r="B131" s="2535"/>
      <c r="C131" s="2535"/>
      <c r="D131" s="2536"/>
      <c r="E131" s="2536"/>
      <c r="F131" s="2536"/>
      <c r="G131" s="2536"/>
      <c r="H131" s="2537"/>
      <c r="I131" s="2538"/>
    </row>
    <row r="132" spans="1:35" ht="21.75" customHeight="1">
      <c r="A132" s="2534">
        <v>3</v>
      </c>
      <c r="B132" s="2535"/>
      <c r="C132" s="2535"/>
      <c r="D132" s="2536"/>
      <c r="E132" s="2536"/>
      <c r="F132" s="2536"/>
      <c r="G132" s="2536"/>
      <c r="H132" s="2537"/>
      <c r="I132" s="2538"/>
    </row>
    <row r="133" spans="1:35" ht="21.75" customHeight="1">
      <c r="A133" s="2539"/>
      <c r="B133" s="2540"/>
      <c r="C133" s="2540"/>
      <c r="D133" s="2541"/>
      <c r="E133" s="2541"/>
      <c r="F133" s="2541"/>
      <c r="G133" s="2541"/>
      <c r="H133" s="2542"/>
      <c r="I133" s="2543"/>
    </row>
    <row r="134" spans="1:35" ht="21.75" customHeight="1">
      <c r="A134" s="2535"/>
      <c r="B134" s="2535"/>
      <c r="C134" s="2535"/>
      <c r="D134" s="2536"/>
      <c r="E134" s="2536"/>
      <c r="F134" s="2536"/>
      <c r="G134" s="2536"/>
      <c r="H134" s="2537"/>
      <c r="I134" s="795"/>
    </row>
    <row r="135" spans="1:35" ht="21.75" customHeight="1">
      <c r="A135" s="795"/>
      <c r="B135" s="795"/>
      <c r="C135" s="795"/>
      <c r="D135" s="795"/>
      <c r="E135" s="795"/>
      <c r="F135" s="2544" t="s">
        <v>2317</v>
      </c>
      <c r="G135" s="2545"/>
      <c r="H135" s="2545"/>
      <c r="I135" s="2546" t="s">
        <v>2318</v>
      </c>
    </row>
    <row r="136" spans="1:35" ht="21.75" customHeight="1">
      <c r="A136" s="795"/>
      <c r="B136" s="2547" t="s">
        <v>2319</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5"/>
      <c r="C138" s="2545"/>
      <c r="D138" s="2545"/>
      <c r="E138" s="2545"/>
      <c r="F138" s="2545"/>
      <c r="G138" s="2545"/>
      <c r="H138" s="2545"/>
      <c r="I138" s="2546" t="s">
        <v>2320</v>
      </c>
    </row>
    <row r="139" spans="1:35" ht="21.75" customHeight="1">
      <c r="A139" s="795"/>
      <c r="B139" s="2547" t="s">
        <v>2321</v>
      </c>
      <c r="C139" s="795"/>
      <c r="D139" s="795"/>
      <c r="E139" s="795"/>
      <c r="F139" s="795"/>
      <c r="G139" s="795"/>
      <c r="H139" s="795"/>
      <c r="I139" s="795"/>
    </row>
    <row r="140" spans="1:35" ht="21.75" customHeight="1">
      <c r="A140" s="795"/>
      <c r="B140" s="2547"/>
      <c r="C140" s="795"/>
      <c r="D140" s="795"/>
      <c r="E140" s="795"/>
      <c r="F140" s="795"/>
      <c r="G140" s="795"/>
      <c r="H140" s="795"/>
      <c r="I140" s="795"/>
    </row>
    <row r="141" spans="1:35" ht="21.75" customHeight="1">
      <c r="A141" s="795"/>
      <c r="B141" s="2545"/>
      <c r="C141" s="2545"/>
      <c r="D141" s="2545"/>
      <c r="E141" s="2545"/>
      <c r="F141" s="2545"/>
      <c r="G141" s="2545"/>
      <c r="H141" s="2545"/>
      <c r="I141" s="2546" t="s">
        <v>2320</v>
      </c>
    </row>
    <row r="142" spans="1:35" ht="21.75" customHeight="1">
      <c r="A142" s="795"/>
      <c r="B142" s="2547"/>
      <c r="C142" s="2548"/>
      <c r="D142" s="2549"/>
      <c r="E142" s="2549"/>
      <c r="F142" s="2341"/>
      <c r="G142" s="795"/>
      <c r="H142" s="795"/>
      <c r="I142" s="795"/>
    </row>
    <row r="143" spans="1:35" s="139" customFormat="1" ht="21.75" customHeight="1">
      <c r="A143" s="795"/>
      <c r="B143" s="2547"/>
      <c r="C143" s="2548"/>
      <c r="D143" s="2549"/>
      <c r="E143" s="2549"/>
      <c r="F143" s="2341"/>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4"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4"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4"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4"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4"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4"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4"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4"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4"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4"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4"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4"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4"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4"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4"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4"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4"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4"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4"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4"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4"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4"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4"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4"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4"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4"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4"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4"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4"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4"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4"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4"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4"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4"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4"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4"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4"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4"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4"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4"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4"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4"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4"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4"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4"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4"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4"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4"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4"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4"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4"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4"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4"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4"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4"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4"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4"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4"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4"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4"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4"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4"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4"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4"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4"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4"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4"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4"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4"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4"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4"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4"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4"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4"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4"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4"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4"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4"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4"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4"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4"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4"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4"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4"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4"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4"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4"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4"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4"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4"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4"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4"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4"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4"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4"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4"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4"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4"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4"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4"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4"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4"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4"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4"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10"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19" workbookViewId="0">
      <selection activeCell="A4" sqref="A4"/>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2322</v>
      </c>
      <c r="B1" s="1937"/>
      <c r="C1" s="242"/>
      <c r="D1" s="242"/>
      <c r="E1" s="242"/>
      <c r="F1" s="242"/>
      <c r="G1" s="1379">
        <f>MATCH(B1,'数据-取费表'!A6:A16,0)+5</f>
        <v>7</v>
      </c>
    </row>
    <row r="2" spans="1:9" s="244" customFormat="1" ht="18" customHeight="1">
      <c r="A2" s="245" t="s">
        <v>2323</v>
      </c>
      <c r="B2" s="246">
        <f ca="1">IF(D2="——",C52,C52-E2)</f>
        <v>40149</v>
      </c>
      <c r="C2" s="243" t="s">
        <v>2324</v>
      </c>
      <c r="D2" s="2550" t="s">
        <v>70</v>
      </c>
      <c r="E2" s="1440" t="e">
        <f ca="1">SUMIF(INDIRECT("'"&amp;G2&amp;"'"&amp;"!A:A"),"承租人权益价值",INDIRECT("'"&amp;G2&amp;"'"&amp;"!c:c"))</f>
        <v>#REF!</v>
      </c>
      <c r="F2" s="2551" t="s">
        <v>2324</v>
      </c>
      <c r="G2" s="2552"/>
    </row>
    <row r="3" spans="1:9" s="244" customFormat="1" ht="18" customHeight="1" thickBot="1">
      <c r="A3" s="247" t="s">
        <v>2325</v>
      </c>
      <c r="B3" s="248">
        <f ca="1">ROUND(B2*10000/(IF(B1="",'数据-汇总表'!E3,INDIRECT("'数据-取费表'!k"&amp;$G$1))),0)</f>
        <v>14759</v>
      </c>
      <c r="C3" s="243" t="s">
        <v>2326</v>
      </c>
      <c r="D3" s="243"/>
      <c r="E3" s="243"/>
      <c r="F3" s="243"/>
      <c r="G3" s="243"/>
    </row>
    <row r="4" spans="1:9" s="252" customFormat="1" ht="15.75">
      <c r="A4" s="249" t="s">
        <v>2327</v>
      </c>
      <c r="B4" s="250"/>
      <c r="C4" s="250"/>
      <c r="D4" s="250"/>
      <c r="E4" s="250"/>
      <c r="F4" s="250"/>
      <c r="G4" s="251"/>
    </row>
    <row r="5" spans="1:9" s="258" customFormat="1" ht="13.5" customHeight="1">
      <c r="A5" s="299" t="s">
        <v>2328</v>
      </c>
      <c r="B5" s="254" t="s">
        <v>2329</v>
      </c>
      <c r="C5" s="255">
        <f ca="1">C6+C7+C8</f>
        <v>20806</v>
      </c>
      <c r="D5" s="255" t="s">
        <v>2330</v>
      </c>
      <c r="E5" s="256" t="s">
        <v>2331</v>
      </c>
      <c r="F5" s="256" t="s">
        <v>2332</v>
      </c>
      <c r="G5" s="257"/>
    </row>
    <row r="6" spans="1:9" s="258" customFormat="1" ht="13.5" customHeight="1">
      <c r="A6" s="949" t="s">
        <v>2333</v>
      </c>
      <c r="B6" s="259" t="s">
        <v>2334</v>
      </c>
      <c r="C6" s="260">
        <f ca="1">基准地价修正!B2</f>
        <v>19662</v>
      </c>
      <c r="D6" s="261"/>
      <c r="E6" s="262"/>
      <c r="F6" s="262"/>
      <c r="G6" s="263"/>
    </row>
    <row r="7" spans="1:9" s="258" customFormat="1" ht="13.5" customHeight="1">
      <c r="A7" s="949" t="s">
        <v>2335</v>
      </c>
      <c r="B7" s="259" t="s">
        <v>2336</v>
      </c>
      <c r="C7" s="264">
        <f ca="1">ROUND(C6*F7,0)</f>
        <v>600</v>
      </c>
      <c r="D7" s="264"/>
      <c r="E7" s="262"/>
      <c r="F7" s="265">
        <f>'数据-取费表'!B48+'数据-取费表'!B49</f>
        <v>3.0499999999999999E-2</v>
      </c>
      <c r="G7" s="263"/>
    </row>
    <row r="8" spans="1:9" s="267" customFormat="1">
      <c r="A8" s="949" t="s">
        <v>2337</v>
      </c>
      <c r="B8" s="259" t="s">
        <v>2338</v>
      </c>
      <c r="C8" s="264">
        <f>IF(G8="已包含在土地购买价格中","0",IF(B1="",'数据-取费表'!B29,IF(G9="全部缴纳",C9+C10,H9)))</f>
        <v>544</v>
      </c>
      <c r="D8" s="266"/>
      <c r="E8" s="264"/>
      <c r="F8" s="265"/>
      <c r="G8" s="2553" t="s">
        <v>3181</v>
      </c>
    </row>
    <row r="9" spans="1:9" s="258" customFormat="1" ht="13.5" customHeight="1">
      <c r="A9" s="950" t="s">
        <v>800</v>
      </c>
      <c r="B9" s="268" t="s">
        <v>2339</v>
      </c>
      <c r="C9" s="269">
        <f ca="1">ROUND(D9*E9/10000,0)</f>
        <v>0</v>
      </c>
      <c r="D9" s="1032">
        <f ca="1">IF(B1="",'数据-汇总表'!E5,IF(INDIRECT("'数据-取费表'!c"&amp;$G$1)="住宅",INDIRECT("'数据-取费表'!k"&amp;$G$1),0))</f>
        <v>0</v>
      </c>
      <c r="E9" s="269">
        <f>'数据-取费表'!B27</f>
        <v>160</v>
      </c>
      <c r="F9" s="265"/>
      <c r="G9" s="2554"/>
      <c r="H9" s="1390"/>
      <c r="I9" s="2555" t="s">
        <v>2340</v>
      </c>
    </row>
    <row r="10" spans="1:9" s="258" customFormat="1" ht="13.5" customHeight="1">
      <c r="A10" s="950" t="s">
        <v>801</v>
      </c>
      <c r="B10" s="268" t="s">
        <v>2341</v>
      </c>
      <c r="C10" s="269">
        <f ca="1">ROUND(D10*E10/10000,0)</f>
        <v>544</v>
      </c>
      <c r="D10" s="1032">
        <f ca="1">IF(B1="",'数据-汇总表'!E6,IF(INDIRECT("'数据-取费表'!c"&amp;$G$1)="住宅",INDIRECT("'数据-取费表'!s"&amp;$G$1),INDIRECT("'数据-取费表'!k"&amp;$G$1)+INDIRECT("'数据-取费表'!s"&amp;$G$1)))</f>
        <v>27202.3</v>
      </c>
      <c r="E10" s="269">
        <f>'数据-取费表'!B28</f>
        <v>200</v>
      </c>
      <c r="F10" s="265"/>
      <c r="G10" s="270"/>
    </row>
    <row r="11" spans="1:9" s="258" customFormat="1" ht="13.5" hidden="1" customHeight="1">
      <c r="A11" s="271" t="s">
        <v>7</v>
      </c>
      <c r="B11" s="259" t="s">
        <v>2342</v>
      </c>
      <c r="C11" s="255"/>
      <c r="D11" s="1034"/>
      <c r="E11" s="262"/>
      <c r="F11" s="262"/>
      <c r="G11" s="263"/>
    </row>
    <row r="12" spans="1:9" s="258" customFormat="1" ht="13.5" hidden="1" customHeight="1">
      <c r="A12" s="271" t="s">
        <v>8</v>
      </c>
      <c r="B12" s="259" t="s">
        <v>2343</v>
      </c>
      <c r="C12" s="255">
        <v>0</v>
      </c>
      <c r="D12" s="1034"/>
      <c r="E12" s="272"/>
      <c r="F12" s="265">
        <v>3.0499999999999999E-2</v>
      </c>
      <c r="G12" s="263"/>
    </row>
    <row r="13" spans="1:9" s="258" customFormat="1" ht="13.5" hidden="1" customHeight="1">
      <c r="A13" s="271" t="s">
        <v>9</v>
      </c>
      <c r="B13" s="259" t="s">
        <v>2344</v>
      </c>
      <c r="C13" s="255"/>
      <c r="D13" s="1034"/>
      <c r="E13" s="262"/>
      <c r="F13" s="262"/>
      <c r="G13" s="263"/>
    </row>
    <row r="14" spans="1:9" s="258" customFormat="1" ht="13.5" hidden="1" customHeight="1">
      <c r="A14" s="271" t="s">
        <v>10</v>
      </c>
      <c r="B14" s="259" t="s">
        <v>2345</v>
      </c>
      <c r="C14" s="255"/>
      <c r="D14" s="1034"/>
      <c r="E14" s="262"/>
      <c r="F14" s="262"/>
      <c r="G14" s="263" t="s">
        <v>2346</v>
      </c>
    </row>
    <row r="15" spans="1:9" s="258" customFormat="1" ht="13.5" hidden="1" customHeight="1">
      <c r="A15" s="271" t="s">
        <v>11</v>
      </c>
      <c r="B15" s="259" t="s">
        <v>2347</v>
      </c>
      <c r="C15" s="264"/>
      <c r="D15" s="1034"/>
      <c r="E15" s="262"/>
      <c r="F15" s="262"/>
      <c r="G15" s="263" t="s">
        <v>2348</v>
      </c>
    </row>
    <row r="16" spans="1:9" s="258" customFormat="1" ht="13.5" hidden="1" customHeight="1">
      <c r="A16" s="271" t="s">
        <v>12</v>
      </c>
      <c r="B16" s="259" t="s">
        <v>2345</v>
      </c>
      <c r="C16" s="264"/>
      <c r="D16" s="1034"/>
      <c r="E16" s="262"/>
      <c r="F16" s="262"/>
      <c r="G16" s="263"/>
    </row>
    <row r="17" spans="1:7" s="258" customFormat="1" ht="13.5" hidden="1" customHeight="1">
      <c r="A17" s="271" t="s">
        <v>13</v>
      </c>
      <c r="B17" s="259" t="s">
        <v>2349</v>
      </c>
      <c r="C17" s="273"/>
      <c r="D17" s="1035"/>
      <c r="E17" s="273"/>
      <c r="F17" s="273"/>
      <c r="G17" s="263" t="s">
        <v>2348</v>
      </c>
    </row>
    <row r="18" spans="1:7" s="258" customFormat="1" ht="13.5" hidden="1" customHeight="1">
      <c r="A18" s="271" t="s">
        <v>14</v>
      </c>
      <c r="B18" s="259" t="s">
        <v>2350</v>
      </c>
      <c r="C18" s="264">
        <v>0</v>
      </c>
      <c r="D18" s="1034"/>
      <c r="E18" s="262"/>
      <c r="F18" s="265">
        <v>3.0499999999999999E-2</v>
      </c>
      <c r="G18" s="263" t="s">
        <v>2351</v>
      </c>
    </row>
    <row r="19" spans="1:7" s="267" customFormat="1" ht="13.5" customHeight="1">
      <c r="A19" s="299" t="s">
        <v>2352</v>
      </c>
      <c r="B19" s="254" t="s">
        <v>2353</v>
      </c>
      <c r="C19" s="255" t="str">
        <f>IF(G19="已包含在土地取得成本中","0",ROUND(D19*E19/10000,0))</f>
        <v>0</v>
      </c>
      <c r="D19" s="1036">
        <f ca="1">D9+D10</f>
        <v>27202.3</v>
      </c>
      <c r="E19" s="255">
        <f>'数据-取费表'!B31</f>
        <v>200</v>
      </c>
      <c r="F19" s="275"/>
      <c r="G19" s="2553" t="s">
        <v>3182</v>
      </c>
    </row>
    <row r="20" spans="1:7" s="258" customFormat="1" ht="13.5" customHeight="1">
      <c r="A20" s="299" t="s">
        <v>2354</v>
      </c>
      <c r="B20" s="254" t="s">
        <v>2355</v>
      </c>
      <c r="C20" s="276">
        <f ca="1">ROUND((C5+C19)*F20,0)</f>
        <v>416</v>
      </c>
      <c r="D20" s="276"/>
      <c r="E20" s="276"/>
      <c r="F20" s="277">
        <f>'数据-取费表'!B37</f>
        <v>0.02</v>
      </c>
      <c r="G20" s="278" t="s">
        <v>2356</v>
      </c>
    </row>
    <row r="21" spans="1:7" s="258" customFormat="1" ht="13.5" customHeight="1">
      <c r="A21" s="299" t="s">
        <v>2357</v>
      </c>
      <c r="B21" s="254" t="s">
        <v>2358</v>
      </c>
      <c r="C21" s="279">
        <f>F21</f>
        <v>0.03</v>
      </c>
      <c r="D21" s="280" t="s">
        <v>2359</v>
      </c>
      <c r="E21" s="276"/>
      <c r="F21" s="277">
        <f>'数据-取费表'!B38</f>
        <v>0.03</v>
      </c>
      <c r="G21" s="278" t="s">
        <v>2360</v>
      </c>
    </row>
    <row r="22" spans="1:7" s="258" customFormat="1" ht="13.5" customHeight="1">
      <c r="A22" s="299" t="s">
        <v>2361</v>
      </c>
      <c r="B22" s="254" t="s">
        <v>2362</v>
      </c>
      <c r="C22" s="1354">
        <f ca="1">ROUND(SUM(C23:C25),0)</f>
        <v>1515</v>
      </c>
      <c r="D22" s="279">
        <f ca="1">C26</f>
        <v>1.1000000000000001E-3</v>
      </c>
      <c r="E22" s="280" t="s">
        <v>2359</v>
      </c>
      <c r="F22" s="281">
        <f ca="1">'数据-取费表'!B40</f>
        <v>4.7500000000000001E-2</v>
      </c>
      <c r="G22" s="278" t="str">
        <f>IF('数据-取费表'!B22&lt;=1,"单利计息","复利计息")</f>
        <v>复利计息</v>
      </c>
    </row>
    <row r="23" spans="1:7" s="258" customFormat="1" ht="13.5" customHeight="1">
      <c r="A23" s="951" t="s">
        <v>2363</v>
      </c>
      <c r="B23" s="259" t="s">
        <v>2364</v>
      </c>
      <c r="C23" s="1355">
        <f ca="1">ROUND(IF('数据-取费表'!B22&lt;=1,C5*F22*'数据-取费表'!B23,C5*(POWER((1+F22),'数据-取费表'!B23)-1)),0)</f>
        <v>1500</v>
      </c>
      <c r="D23" s="282"/>
      <c r="E23" s="282"/>
      <c r="F23" s="283"/>
      <c r="G23" s="284" t="s">
        <v>2365</v>
      </c>
    </row>
    <row r="24" spans="1:7" s="258" customFormat="1" ht="13.5" customHeight="1">
      <c r="A24" s="951" t="s">
        <v>2366</v>
      </c>
      <c r="B24" s="259" t="s">
        <v>2367</v>
      </c>
      <c r="C24" s="1355">
        <f ca="1">ROUND(IF('数据-取费表'!B22&lt;=1,C19*F22*('数据-取费表'!B19/2+'数据-取费表'!B21),C19*(POWER((1+F22),('数据-取费表'!B19/2+'数据-取费表'!B21))-1)),0)</f>
        <v>0</v>
      </c>
      <c r="D24" s="282"/>
      <c r="E24" s="282"/>
      <c r="F24" s="283"/>
      <c r="G24" s="284" t="s">
        <v>2368</v>
      </c>
    </row>
    <row r="25" spans="1:7" s="258" customFormat="1" ht="24">
      <c r="A25" s="951" t="s">
        <v>2369</v>
      </c>
      <c r="B25" s="259" t="s">
        <v>2370</v>
      </c>
      <c r="C25" s="1355">
        <f ca="1">ROUND(IF('数据-取费表'!B22&lt;=1,C20*F22*'数据-取费表'!B23/2,C20*(POWER((1+F22),'数据-取费表'!B23/2)-1)),0)</f>
        <v>15</v>
      </c>
      <c r="D25" s="282"/>
      <c r="E25" s="285"/>
      <c r="F25" s="283"/>
      <c r="G25" s="286" t="s">
        <v>2371</v>
      </c>
    </row>
    <row r="26" spans="1:7" s="258" customFormat="1">
      <c r="A26" s="951" t="s">
        <v>795</v>
      </c>
      <c r="B26" s="259" t="s">
        <v>2372</v>
      </c>
      <c r="C26" s="282">
        <f ca="1">ROUND(IF('数据-取费表'!B22&lt;=1,F21*F22*'数据-取费表'!B23/2,F21*(POWER((1+F22),'数据-取费表'!B23/2)-1)),4)</f>
        <v>1.1000000000000001E-3</v>
      </c>
      <c r="D26" s="282"/>
      <c r="E26" s="285"/>
      <c r="F26" s="283"/>
      <c r="G26" s="287"/>
    </row>
    <row r="27" spans="1:7" s="258" customFormat="1" ht="24.75">
      <c r="A27" s="299" t="s">
        <v>2373</v>
      </c>
      <c r="B27" s="288" t="s">
        <v>2374</v>
      </c>
      <c r="C27" s="289">
        <f ca="1">C28</f>
        <v>6367</v>
      </c>
      <c r="D27" s="279">
        <f ca="1">C29</f>
        <v>8.9999999999999993E-3</v>
      </c>
      <c r="E27" s="280" t="s">
        <v>2375</v>
      </c>
      <c r="F27" s="290">
        <f ca="1">IF(B1="",'数据-取费表'!Q16,INDIRECT("'数据-取费表'!q"&amp;$G$1))</f>
        <v>0.3</v>
      </c>
      <c r="G27" s="291" t="s">
        <v>2376</v>
      </c>
    </row>
    <row r="28" spans="1:7" s="258" customFormat="1" ht="13.5" customHeight="1">
      <c r="A28" s="951" t="s">
        <v>791</v>
      </c>
      <c r="B28" s="292" t="s">
        <v>2377</v>
      </c>
      <c r="C28" s="293">
        <f ca="1">ROUND((C5+C19+C20)*F27*'数据-取费表'!B21/'数据-取费表'!B20,0)</f>
        <v>6367</v>
      </c>
      <c r="D28" s="279"/>
      <c r="E28" s="280"/>
      <c r="F28" s="290"/>
      <c r="G28" s="291"/>
    </row>
    <row r="29" spans="1:7" s="258" customFormat="1" ht="13.5" customHeight="1">
      <c r="A29" s="951" t="s">
        <v>792</v>
      </c>
      <c r="B29" s="292" t="s">
        <v>2378</v>
      </c>
      <c r="C29" s="282">
        <f ca="1">ROUND(C21*F27*'数据-取费表'!B21/'数据-取费表'!B20,4)</f>
        <v>8.9999999999999993E-3</v>
      </c>
      <c r="D29" s="279"/>
      <c r="E29" s="280"/>
      <c r="F29" s="290"/>
      <c r="G29" s="291"/>
    </row>
    <row r="30" spans="1:7" s="258" customFormat="1" ht="13.5" customHeight="1">
      <c r="A30" s="299" t="s">
        <v>2379</v>
      </c>
      <c r="B30" s="254" t="s">
        <v>2380</v>
      </c>
      <c r="C30" s="279">
        <f>ROUND(F30/(1+'数据-取费表'!C42),4)</f>
        <v>5.33E-2</v>
      </c>
      <c r="D30" s="280" t="s">
        <v>2375</v>
      </c>
      <c r="E30" s="285"/>
      <c r="F30" s="281">
        <f>'数据-取费表'!B41</f>
        <v>5.6000000000000001E-2</v>
      </c>
      <c r="G30" s="278" t="s">
        <v>2381</v>
      </c>
    </row>
    <row r="31" spans="1:7" ht="16.5" customHeight="1">
      <c r="A31" s="253">
        <v>1</v>
      </c>
      <c r="B31" s="254" t="s">
        <v>2382</v>
      </c>
      <c r="C31" s="255">
        <f ca="1">ROUND((C5+C19+C20+C22+C27)/(1-C21-D22-D27-C30),0)</f>
        <v>32102</v>
      </c>
      <c r="D31" s="274"/>
      <c r="E31" s="255"/>
      <c r="F31" s="294"/>
      <c r="G31" s="278" t="s">
        <v>2383</v>
      </c>
    </row>
    <row r="32" spans="1:7" s="252" customFormat="1" ht="15.75">
      <c r="A32" s="296" t="s">
        <v>2384</v>
      </c>
      <c r="B32" s="297"/>
      <c r="C32" s="297"/>
      <c r="D32" s="297"/>
      <c r="E32" s="297"/>
      <c r="F32" s="297"/>
      <c r="G32" s="298"/>
    </row>
    <row r="33" spans="1:7" s="258" customFormat="1" ht="13.5" customHeight="1">
      <c r="A33" s="299" t="s">
        <v>782</v>
      </c>
      <c r="B33" s="254" t="s">
        <v>2385</v>
      </c>
      <c r="C33" s="300">
        <f ca="1">SUM(C34:C38)</f>
        <v>7651</v>
      </c>
      <c r="D33" s="276"/>
      <c r="E33" s="256"/>
      <c r="F33" s="285"/>
      <c r="G33" s="278"/>
    </row>
    <row r="34" spans="1:7" s="302" customFormat="1" ht="13.5" customHeight="1">
      <c r="A34" s="951" t="s">
        <v>791</v>
      </c>
      <c r="B34" s="259" t="s">
        <v>2386</v>
      </c>
      <c r="C34" s="264">
        <f ca="1">IF(B1="",IF(F34=100%,'数据-取费表'!M16,'数据-取费表'!O16),IF(F34=100%,INDIRECT("'数据-取费表'!m"&amp;$G$1)+INDIRECT("'数据-取费表'!t"&amp;$G$1),INDIRECT("'数据-取费表'!o"&amp;$G$1)+INDIRECT("'数据-取费表'!aq"&amp;$G$1)))</f>
        <v>6801</v>
      </c>
      <c r="D34" s="261"/>
      <c r="E34" s="264"/>
      <c r="F34" s="301">
        <f ca="1">IF('数据-取费表'!B24=0,1,IF(B1="",'数据-取费表'!N16,INDIRECT("'数据-取费表'!n"&amp;$G$1)))</f>
        <v>1</v>
      </c>
      <c r="G34" s="263" t="s">
        <v>2387</v>
      </c>
    </row>
    <row r="35" spans="1:7" ht="13.5" customHeight="1">
      <c r="A35" s="951" t="s">
        <v>796</v>
      </c>
      <c r="B35" s="259" t="s">
        <v>2388</v>
      </c>
      <c r="C35" s="264">
        <f ca="1">ROUND(C34*F35,0)</f>
        <v>204</v>
      </c>
      <c r="D35" s="264"/>
      <c r="E35" s="264"/>
      <c r="F35" s="303">
        <f>'数据-取费表'!B33</f>
        <v>0.03</v>
      </c>
      <c r="G35" s="263" t="s">
        <v>2389</v>
      </c>
    </row>
    <row r="36" spans="1:7" ht="24">
      <c r="A36" s="951" t="s">
        <v>797</v>
      </c>
      <c r="B36" s="259" t="s">
        <v>2390</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2391</v>
      </c>
    </row>
    <row r="37" spans="1:7" s="302" customFormat="1" ht="13.5" customHeight="1">
      <c r="A37" s="951" t="s">
        <v>798</v>
      </c>
      <c r="B37" s="259" t="s">
        <v>2392</v>
      </c>
      <c r="C37" s="293">
        <f ca="1">ROUND(E37*D37*F34/10000,0)</f>
        <v>544</v>
      </c>
      <c r="D37" s="261">
        <f ca="1">D19</f>
        <v>27202.3</v>
      </c>
      <c r="E37" s="293">
        <f>'数据-取费表'!B35</f>
        <v>200</v>
      </c>
      <c r="F37" s="303"/>
      <c r="G37" s="305" t="s">
        <v>2393</v>
      </c>
    </row>
    <row r="38" spans="1:7" ht="13.5" customHeight="1">
      <c r="A38" s="951" t="s">
        <v>799</v>
      </c>
      <c r="B38" s="259" t="s">
        <v>2394</v>
      </c>
      <c r="C38" s="264">
        <f ca="1">ROUND(C34*F38,0)</f>
        <v>102</v>
      </c>
      <c r="D38" s="264"/>
      <c r="E38" s="264"/>
      <c r="F38" s="303">
        <f>'数据-取费表'!B36</f>
        <v>1.4999999999999999E-2</v>
      </c>
      <c r="G38" s="263" t="s">
        <v>2389</v>
      </c>
    </row>
    <row r="39" spans="1:7" s="258" customFormat="1" ht="13.5" customHeight="1">
      <c r="A39" s="299" t="s">
        <v>2395</v>
      </c>
      <c r="B39" s="254" t="s">
        <v>2396</v>
      </c>
      <c r="C39" s="276">
        <f ca="1">ROUND(C33*F20,0)</f>
        <v>153</v>
      </c>
      <c r="D39" s="276"/>
      <c r="E39" s="276"/>
      <c r="F39" s="277"/>
      <c r="G39" s="278" t="s">
        <v>2397</v>
      </c>
    </row>
    <row r="40" spans="1:7" s="258" customFormat="1" ht="13.5" customHeight="1">
      <c r="A40" s="299" t="s">
        <v>2398</v>
      </c>
      <c r="B40" s="254" t="s">
        <v>2399</v>
      </c>
      <c r="C40" s="1728">
        <f>F21</f>
        <v>0.03</v>
      </c>
      <c r="D40" s="280" t="s">
        <v>2400</v>
      </c>
      <c r="E40" s="276"/>
      <c r="F40" s="277"/>
      <c r="G40" s="278" t="s">
        <v>2401</v>
      </c>
    </row>
    <row r="41" spans="1:7" s="258" customFormat="1" ht="13.5" customHeight="1">
      <c r="A41" s="299" t="s">
        <v>2402</v>
      </c>
      <c r="B41" s="254" t="s">
        <v>2403</v>
      </c>
      <c r="C41" s="276">
        <f ca="1">ROUND(SUM(C42:C43),0)</f>
        <v>276</v>
      </c>
      <c r="D41" s="279">
        <f ca="1">C44</f>
        <v>1.1000000000000001E-3</v>
      </c>
      <c r="E41" s="280" t="s">
        <v>2400</v>
      </c>
      <c r="F41" s="281"/>
      <c r="G41" s="278" t="str">
        <f>IF('数据-取费表'!B22&lt;=1,"单利计息","复利计息")</f>
        <v>复利计息</v>
      </c>
    </row>
    <row r="42" spans="1:7" ht="13.5" customHeight="1">
      <c r="A42" s="951" t="s">
        <v>791</v>
      </c>
      <c r="B42" s="259" t="s">
        <v>2404</v>
      </c>
      <c r="C42" s="282">
        <f ca="1">ROUND(IF('数据-取费表'!B22&lt;=1,C33*F22*'数据-取费表'!B21/2,C33*(POWER((1+F22),'数据-取费表'!B21/2)-1)),0)</f>
        <v>271</v>
      </c>
      <c r="D42" s="282"/>
      <c r="E42" s="282"/>
      <c r="F42" s="283"/>
      <c r="G42" s="3209" t="s">
        <v>2405</v>
      </c>
    </row>
    <row r="43" spans="1:7" ht="13.5" customHeight="1">
      <c r="A43" s="951" t="s">
        <v>792</v>
      </c>
      <c r="B43" s="259" t="s">
        <v>2406</v>
      </c>
      <c r="C43" s="282">
        <f ca="1">ROUND(IF('数据-取费表'!B22&lt;=1,C39*F22*'数据-取费表'!B21/2,C39*(POWER((1+F22),'数据-取费表'!B21/2)-1)),0)</f>
        <v>5</v>
      </c>
      <c r="D43" s="282"/>
      <c r="E43" s="282"/>
      <c r="F43" s="283"/>
      <c r="G43" s="3210"/>
    </row>
    <row r="44" spans="1:7" ht="13.5" customHeight="1">
      <c r="A44" s="951" t="s">
        <v>793</v>
      </c>
      <c r="B44" s="259" t="s">
        <v>2407</v>
      </c>
      <c r="C44" s="282">
        <f ca="1">ROUND(IF('数据-取费表'!B22&lt;=1,C40*F22*'数据-取费表'!B21/2,C40*(POWER((1+F22),'数据-取费表'!B21/2)-1)),4)</f>
        <v>1.1000000000000001E-3</v>
      </c>
      <c r="D44" s="282"/>
      <c r="E44" s="282"/>
      <c r="F44" s="283"/>
      <c r="G44" s="3211"/>
    </row>
    <row r="45" spans="1:7" s="258" customFormat="1" ht="13.5" customHeight="1">
      <c r="A45" s="299" t="s">
        <v>2408</v>
      </c>
      <c r="B45" s="288" t="s">
        <v>2374</v>
      </c>
      <c r="C45" s="289">
        <f ca="1">C46</f>
        <v>2341</v>
      </c>
      <c r="D45" s="279">
        <f ca="1">C47</f>
        <v>8.9999999999999993E-3</v>
      </c>
      <c r="E45" s="280" t="s">
        <v>2400</v>
      </c>
      <c r="F45" s="290"/>
      <c r="G45" s="291" t="s">
        <v>2409</v>
      </c>
    </row>
    <row r="46" spans="1:7" s="258" customFormat="1" ht="13.5" customHeight="1">
      <c r="A46" s="951" t="s">
        <v>791</v>
      </c>
      <c r="B46" s="292" t="s">
        <v>2410</v>
      </c>
      <c r="C46" s="293">
        <f ca="1">ROUND((C33+C39)*F27,0)</f>
        <v>2341</v>
      </c>
      <c r="D46" s="307"/>
      <c r="E46" s="280"/>
      <c r="F46" s="290"/>
      <c r="G46" s="291"/>
    </row>
    <row r="47" spans="1:7" s="258" customFormat="1" ht="13.5" customHeight="1">
      <c r="A47" s="951" t="s">
        <v>792</v>
      </c>
      <c r="B47" s="292" t="s">
        <v>2411</v>
      </c>
      <c r="C47" s="282">
        <f ca="1">ROUND(C40*F27,4)</f>
        <v>8.9999999999999993E-3</v>
      </c>
      <c r="D47" s="307"/>
      <c r="E47" s="280"/>
      <c r="F47" s="290"/>
      <c r="G47" s="291"/>
    </row>
    <row r="48" spans="1:7" s="258" customFormat="1" ht="13.5" customHeight="1">
      <c r="A48" s="299" t="s">
        <v>2373</v>
      </c>
      <c r="B48" s="254" t="s">
        <v>2412</v>
      </c>
      <c r="C48" s="1728">
        <f>ROUND(F30/(1+'数据-取费表'!C42),4)</f>
        <v>5.33E-2</v>
      </c>
      <c r="D48" s="280" t="s">
        <v>2400</v>
      </c>
      <c r="E48" s="276"/>
      <c r="F48" s="281"/>
      <c r="G48" s="278" t="s">
        <v>2413</v>
      </c>
    </row>
    <row r="49" spans="1:7" ht="16.5" customHeight="1">
      <c r="A49" s="299" t="s">
        <v>2379</v>
      </c>
      <c r="B49" s="254" t="s">
        <v>2414</v>
      </c>
      <c r="C49" s="276">
        <f ca="1">ROUND((C33+C39+C41+C45)/(1-C40-D41-D45-C48),0)</f>
        <v>11495</v>
      </c>
      <c r="D49" s="276"/>
      <c r="E49" s="276"/>
      <c r="F49" s="308"/>
      <c r="G49" s="278" t="s">
        <v>2415</v>
      </c>
    </row>
    <row r="50" spans="1:7" s="302" customFormat="1" ht="24">
      <c r="A50" s="299" t="s">
        <v>2416</v>
      </c>
      <c r="B50" s="254" t="s">
        <v>2417</v>
      </c>
      <c r="C50" s="276"/>
      <c r="D50" s="276"/>
      <c r="E50" s="276"/>
      <c r="F50" s="308">
        <f>IF('数据-取费表'!B24=0,'数据-取费表'!N16,1)</f>
        <v>0.7</v>
      </c>
      <c r="G50" s="291" t="s">
        <v>2418</v>
      </c>
    </row>
    <row r="51" spans="1:7" ht="16.5" customHeight="1">
      <c r="A51" s="299" t="s">
        <v>2419</v>
      </c>
      <c r="B51" s="254" t="s">
        <v>2420</v>
      </c>
      <c r="C51" s="276">
        <f ca="1">ROUND(C49*F50,0)</f>
        <v>8047</v>
      </c>
      <c r="D51" s="276"/>
      <c r="E51" s="276"/>
      <c r="F51" s="308"/>
      <c r="G51" s="278" t="s">
        <v>2421</v>
      </c>
    </row>
    <row r="52" spans="1:7" s="252" customFormat="1" ht="16.5" thickBot="1">
      <c r="A52" s="309" t="s">
        <v>2422</v>
      </c>
      <c r="B52" s="310"/>
      <c r="C52" s="311">
        <f ca="1">C31+C51</f>
        <v>40149</v>
      </c>
      <c r="D52" s="310"/>
      <c r="E52" s="310"/>
      <c r="F52" s="310"/>
      <c r="G52" s="312"/>
    </row>
    <row r="55" spans="1:7" ht="15">
      <c r="B55" s="314" t="s">
        <v>2423</v>
      </c>
      <c r="C55" s="315"/>
    </row>
    <row r="56" spans="1:7">
      <c r="B56" s="317" t="s">
        <v>1508</v>
      </c>
      <c r="C56" s="319">
        <f ca="1">1-C57</f>
        <v>0.8</v>
      </c>
    </row>
    <row r="57" spans="1:7">
      <c r="B57" s="317" t="s">
        <v>1509</v>
      </c>
      <c r="C57" s="318">
        <f ca="1">ROUND(C51/C52,3)</f>
        <v>0.2</v>
      </c>
    </row>
  </sheetData>
  <sheetProtection password="C66D" sheet="1" objects="1" scenarios="1" formatCells="0"/>
  <mergeCells count="1">
    <mergeCell ref="G42:G44"/>
  </mergeCells>
  <phoneticPr fontId="145"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D35" sqref="D35"/>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2322</v>
      </c>
      <c r="B1" s="1937"/>
      <c r="C1" s="2556" t="s">
        <v>2424</v>
      </c>
      <c r="D1" s="242"/>
      <c r="E1" s="242"/>
      <c r="F1" s="242"/>
      <c r="G1" s="1379">
        <f>MATCH(B1,'数据-取费表'!A6:A16,0)+5</f>
        <v>7</v>
      </c>
      <c r="H1" s="1282" t="str">
        <f>IF(ISERROR(FIND("住宅",B1)),"非住宅","住宅")</f>
        <v>非住宅</v>
      </c>
    </row>
    <row r="2" spans="1:8" s="244" customFormat="1" ht="18" customHeight="1">
      <c r="A2" s="245" t="s">
        <v>2323</v>
      </c>
      <c r="B2" s="246">
        <f ca="1">ROUND(IF(D2="——",C52/10000,C52/10000-E2),0)</f>
        <v>9725</v>
      </c>
      <c r="C2" s="243" t="s">
        <v>2324</v>
      </c>
      <c r="D2" s="2550" t="s">
        <v>70</v>
      </c>
      <c r="E2" s="1440" t="e">
        <f ca="1">SUMIF(INDIRECT("'"&amp;G2&amp;"'"&amp;"!A:A"),"承租人权益价值",INDIRECT("'"&amp;G2&amp;"'"&amp;"!c:c"))</f>
        <v>#REF!</v>
      </c>
      <c r="F2" s="2551" t="s">
        <v>2324</v>
      </c>
      <c r="G2" s="2552"/>
    </row>
    <row r="3" spans="1:8" s="244" customFormat="1" ht="18" customHeight="1" thickBot="1">
      <c r="A3" s="247" t="s">
        <v>2325</v>
      </c>
      <c r="B3" s="248">
        <f ca="1">ROUND(B2*10000/(IF(B1="",'数据-汇总表'!E3,INDIRECT("'数据-取费表'!k"&amp;$G$1))),0)</f>
        <v>3575</v>
      </c>
      <c r="C3" s="243" t="s">
        <v>2326</v>
      </c>
      <c r="D3" s="243"/>
      <c r="E3" s="243"/>
      <c r="F3" s="243"/>
      <c r="G3" s="243"/>
    </row>
    <row r="4" spans="1:8" s="252" customFormat="1" ht="15.75">
      <c r="A4" s="249" t="s">
        <v>2327</v>
      </c>
      <c r="B4" s="250"/>
      <c r="C4" s="250"/>
      <c r="D4" s="250"/>
      <c r="E4" s="250"/>
      <c r="F4" s="250"/>
      <c r="G4" s="251"/>
    </row>
    <row r="5" spans="1:8" s="258" customFormat="1" ht="13.5" customHeight="1">
      <c r="A5" s="299" t="s">
        <v>2328</v>
      </c>
      <c r="B5" s="254" t="s">
        <v>2329</v>
      </c>
      <c r="C5" s="255">
        <f ca="1">C6+C7+C8</f>
        <v>5440460</v>
      </c>
      <c r="D5" s="255" t="s">
        <v>2330</v>
      </c>
      <c r="E5" s="256" t="s">
        <v>2331</v>
      </c>
      <c r="F5" s="256" t="s">
        <v>2332</v>
      </c>
      <c r="G5" s="257"/>
    </row>
    <row r="6" spans="1:8" s="258" customFormat="1" ht="13.5" customHeight="1">
      <c r="A6" s="949" t="s">
        <v>2333</v>
      </c>
      <c r="B6" s="259" t="s">
        <v>2334</v>
      </c>
      <c r="C6" s="260"/>
      <c r="D6" s="261"/>
      <c r="E6" s="262"/>
      <c r="F6" s="262"/>
      <c r="G6" s="263"/>
    </row>
    <row r="7" spans="1:8" s="258" customFormat="1" ht="13.5" customHeight="1">
      <c r="A7" s="949" t="s">
        <v>2335</v>
      </c>
      <c r="B7" s="259" t="s">
        <v>2336</v>
      </c>
      <c r="C7" s="264">
        <f>ROUND(C6*F7,0)</f>
        <v>0</v>
      </c>
      <c r="D7" s="264"/>
      <c r="E7" s="262"/>
      <c r="F7" s="265">
        <f>'数据-取费表'!B48+'数据-取费表'!B49</f>
        <v>3.0499999999999999E-2</v>
      </c>
      <c r="G7" s="263"/>
    </row>
    <row r="8" spans="1:8" s="267" customFormat="1">
      <c r="A8" s="949" t="s">
        <v>2337</v>
      </c>
      <c r="B8" s="259" t="s">
        <v>2338</v>
      </c>
      <c r="C8" s="264">
        <f ca="1">IF(G8="已包含在土地购买价格中",0,C9+C10)</f>
        <v>5440460</v>
      </c>
      <c r="D8" s="266"/>
      <c r="E8" s="264"/>
      <c r="F8" s="265"/>
      <c r="G8" s="2553"/>
    </row>
    <row r="9" spans="1:8" s="258" customFormat="1" ht="13.5" customHeight="1">
      <c r="A9" s="950" t="s">
        <v>800</v>
      </c>
      <c r="B9" s="268" t="s">
        <v>2339</v>
      </c>
      <c r="C9" s="269">
        <f ca="1">ROUND(D9*E9,0)</f>
        <v>0</v>
      </c>
      <c r="D9" s="1032">
        <f ca="1">IF(B1="",'数据-汇总表'!E5,IF(INDIRECT("'数据-取费表'!c"&amp;$G$1)="住宅",INDIRECT("'数据-取费表'!k"&amp;$G$1),0))</f>
        <v>0</v>
      </c>
      <c r="E9" s="269">
        <f>'数据-取费表'!B27</f>
        <v>160</v>
      </c>
      <c r="F9" s="265"/>
      <c r="G9" s="270"/>
    </row>
    <row r="10" spans="1:8" s="258" customFormat="1" ht="13.5" customHeight="1">
      <c r="A10" s="950" t="s">
        <v>801</v>
      </c>
      <c r="B10" s="268" t="s">
        <v>2341</v>
      </c>
      <c r="C10" s="269">
        <f ca="1">ROUND(D10*E10,0)</f>
        <v>5440460</v>
      </c>
      <c r="D10" s="1032">
        <f ca="1">IF(B1="",'数据-汇总表'!E6,IF(INDIRECT("'数据-取费表'!c"&amp;$G$1)="住宅",INDIRECT("'数据-取费表'!s"&amp;$G$1),INDIRECT("'数据-取费表'!k"&amp;$G$1)+INDIRECT("'数据-取费表'!s"&amp;$G$1)))</f>
        <v>27202.3</v>
      </c>
      <c r="E10" s="269">
        <f>'数据-取费表'!B28</f>
        <v>200</v>
      </c>
      <c r="F10" s="265"/>
      <c r="G10" s="270"/>
    </row>
    <row r="11" spans="1:8" s="258" customFormat="1" ht="13.5" hidden="1" customHeight="1">
      <c r="A11" s="271" t="s">
        <v>7</v>
      </c>
      <c r="B11" s="259" t="s">
        <v>2342</v>
      </c>
      <c r="C11" s="255"/>
      <c r="D11" s="1034"/>
      <c r="E11" s="262"/>
      <c r="F11" s="262"/>
      <c r="G11" s="263"/>
    </row>
    <row r="12" spans="1:8" s="258" customFormat="1" ht="13.5" hidden="1" customHeight="1">
      <c r="A12" s="271" t="s">
        <v>8</v>
      </c>
      <c r="B12" s="259" t="s">
        <v>2425</v>
      </c>
      <c r="C12" s="255">
        <v>0</v>
      </c>
      <c r="D12" s="1034"/>
      <c r="E12" s="272"/>
      <c r="F12" s="265">
        <v>3.0499999999999999E-2</v>
      </c>
      <c r="G12" s="263"/>
    </row>
    <row r="13" spans="1:8" s="258" customFormat="1" ht="13.5" hidden="1" customHeight="1">
      <c r="A13" s="271" t="s">
        <v>9</v>
      </c>
      <c r="B13" s="259" t="s">
        <v>2426</v>
      </c>
      <c r="C13" s="255"/>
      <c r="D13" s="1034"/>
      <c r="E13" s="262"/>
      <c r="F13" s="262"/>
      <c r="G13" s="263"/>
    </row>
    <row r="14" spans="1:8" s="258" customFormat="1" ht="13.5" hidden="1" customHeight="1">
      <c r="A14" s="271" t="s">
        <v>10</v>
      </c>
      <c r="B14" s="259" t="s">
        <v>2338</v>
      </c>
      <c r="C14" s="255"/>
      <c r="D14" s="1034"/>
      <c r="E14" s="262"/>
      <c r="F14" s="262"/>
      <c r="G14" s="263" t="s">
        <v>2427</v>
      </c>
    </row>
    <row r="15" spans="1:8" s="258" customFormat="1" ht="13.5" hidden="1" customHeight="1">
      <c r="A15" s="271" t="s">
        <v>11</v>
      </c>
      <c r="B15" s="259" t="s">
        <v>2428</v>
      </c>
      <c r="C15" s="264"/>
      <c r="D15" s="1034"/>
      <c r="E15" s="262"/>
      <c r="F15" s="262"/>
      <c r="G15" s="263" t="s">
        <v>2429</v>
      </c>
    </row>
    <row r="16" spans="1:8" s="258" customFormat="1" ht="13.5" hidden="1" customHeight="1">
      <c r="A16" s="271" t="s">
        <v>12</v>
      </c>
      <c r="B16" s="259" t="s">
        <v>2338</v>
      </c>
      <c r="C16" s="264"/>
      <c r="D16" s="1034"/>
      <c r="E16" s="262"/>
      <c r="F16" s="262"/>
      <c r="G16" s="263"/>
    </row>
    <row r="17" spans="1:7" s="258" customFormat="1" ht="13.5" hidden="1" customHeight="1">
      <c r="A17" s="271" t="s">
        <v>13</v>
      </c>
      <c r="B17" s="259" t="s">
        <v>2430</v>
      </c>
      <c r="C17" s="273"/>
      <c r="D17" s="1035"/>
      <c r="E17" s="273"/>
      <c r="F17" s="273"/>
      <c r="G17" s="263" t="s">
        <v>2429</v>
      </c>
    </row>
    <row r="18" spans="1:7" s="258" customFormat="1" ht="13.5" hidden="1" customHeight="1">
      <c r="A18" s="271" t="s">
        <v>14</v>
      </c>
      <c r="B18" s="259" t="s">
        <v>2431</v>
      </c>
      <c r="C18" s="264">
        <v>0</v>
      </c>
      <c r="D18" s="1034"/>
      <c r="E18" s="262"/>
      <c r="F18" s="265">
        <v>3.0499999999999999E-2</v>
      </c>
      <c r="G18" s="263" t="s">
        <v>2432</v>
      </c>
    </row>
    <row r="19" spans="1:7" s="267" customFormat="1" ht="13.5" customHeight="1">
      <c r="A19" s="299" t="s">
        <v>2433</v>
      </c>
      <c r="B19" s="254" t="s">
        <v>2434</v>
      </c>
      <c r="C19" s="255">
        <f ca="1">IF(G19="已包含在土地取得成本中","0",ROUND(D19*E19,0))</f>
        <v>5440460</v>
      </c>
      <c r="D19" s="1036">
        <f ca="1">D9+D10</f>
        <v>27202.3</v>
      </c>
      <c r="E19" s="255">
        <f>'数据-取费表'!B31</f>
        <v>200</v>
      </c>
      <c r="F19" s="275"/>
      <c r="G19" s="2553"/>
    </row>
    <row r="20" spans="1:7" s="258" customFormat="1" ht="13.5" customHeight="1">
      <c r="A20" s="299" t="s">
        <v>2435</v>
      </c>
      <c r="B20" s="254" t="s">
        <v>2436</v>
      </c>
      <c r="C20" s="276">
        <f ca="1">ROUND((C5+C19)*F20,0)</f>
        <v>217618</v>
      </c>
      <c r="D20" s="276"/>
      <c r="E20" s="276"/>
      <c r="F20" s="277">
        <f>'数据-取费表'!B37</f>
        <v>0.02</v>
      </c>
      <c r="G20" s="278" t="s">
        <v>2437</v>
      </c>
    </row>
    <row r="21" spans="1:7" s="258" customFormat="1" ht="13.5" customHeight="1">
      <c r="A21" s="299" t="s">
        <v>2438</v>
      </c>
      <c r="B21" s="254" t="s">
        <v>2439</v>
      </c>
      <c r="C21" s="279">
        <f>F21</f>
        <v>0.03</v>
      </c>
      <c r="D21" s="280" t="s">
        <v>2440</v>
      </c>
      <c r="E21" s="276"/>
      <c r="F21" s="277">
        <f>'数据-取费表'!B38</f>
        <v>0.03</v>
      </c>
      <c r="G21" s="278" t="s">
        <v>2441</v>
      </c>
    </row>
    <row r="22" spans="1:7" s="258" customFormat="1" ht="13.5" customHeight="1">
      <c r="A22" s="299" t="s">
        <v>2442</v>
      </c>
      <c r="B22" s="254" t="s">
        <v>2443</v>
      </c>
      <c r="C22" s="1380">
        <f ca="1">ROUND(SUM(C23:C25),0)</f>
        <v>792107</v>
      </c>
      <c r="D22" s="279">
        <f ca="1">C26</f>
        <v>1.1000000000000001E-3</v>
      </c>
      <c r="E22" s="280" t="s">
        <v>2440</v>
      </c>
      <c r="F22" s="281">
        <f ca="1">'数据-取费表'!B40</f>
        <v>4.7500000000000001E-2</v>
      </c>
      <c r="G22" s="278" t="str">
        <f>IF('数据-取费表'!B22&lt;=1,"单利计息","复利计息")</f>
        <v>复利计息</v>
      </c>
    </row>
    <row r="23" spans="1:7" s="258" customFormat="1" ht="13.5" customHeight="1">
      <c r="A23" s="951" t="s">
        <v>2333</v>
      </c>
      <c r="B23" s="259" t="s">
        <v>2444</v>
      </c>
      <c r="C23" s="1381">
        <f ca="1">ROUND(IF('数据-取费表'!B22&lt;=1,C5*F22*'数据-取费表'!B22,C5*(POWER((1+F22),'数据-取费表'!B22)-1)),0)</f>
        <v>392200</v>
      </c>
      <c r="D23" s="282"/>
      <c r="E23" s="282"/>
      <c r="F23" s="283"/>
      <c r="G23" s="284" t="s">
        <v>2445</v>
      </c>
    </row>
    <row r="24" spans="1:7" s="258" customFormat="1" ht="13.5" customHeight="1">
      <c r="A24" s="951" t="s">
        <v>2335</v>
      </c>
      <c r="B24" s="259" t="s">
        <v>2446</v>
      </c>
      <c r="C24" s="1381">
        <f ca="1">ROUND(IF('数据-取费表'!B22&lt;=1,C19*F22*('数据-取费表'!B19/2+'数据-取费表'!B20),C19*(POWER((1+F22),('数据-取费表'!B19/2+'数据-取费表'!B20))-1)),0)</f>
        <v>392200</v>
      </c>
      <c r="D24" s="282"/>
      <c r="E24" s="282"/>
      <c r="F24" s="283"/>
      <c r="G24" s="284" t="s">
        <v>2447</v>
      </c>
    </row>
    <row r="25" spans="1:7" s="258" customFormat="1" ht="24">
      <c r="A25" s="951" t="s">
        <v>2337</v>
      </c>
      <c r="B25" s="259" t="s">
        <v>2448</v>
      </c>
      <c r="C25" s="1381">
        <f ca="1">ROUND(IF('数据-取费表'!B22&lt;=1,C20*F22*'数据-取费表'!B22/2,C20*(POWER((1+F22),'数据-取费表'!B22/2)-1)),0)</f>
        <v>7707</v>
      </c>
      <c r="D25" s="282"/>
      <c r="E25" s="285"/>
      <c r="F25" s="283"/>
      <c r="G25" s="286" t="s">
        <v>2449</v>
      </c>
    </row>
    <row r="26" spans="1:7" s="258" customFormat="1">
      <c r="A26" s="951" t="s">
        <v>795</v>
      </c>
      <c r="B26" s="259" t="s">
        <v>2372</v>
      </c>
      <c r="C26" s="282">
        <f ca="1">ROUND(IF('数据-取费表'!B22&lt;=1,F21*F22*'数据-取费表'!B22/2,F21*(POWER((1+F22),'数据-取费表'!B22/2)-1)),4)</f>
        <v>1.1000000000000001E-3</v>
      </c>
      <c r="D26" s="282"/>
      <c r="E26" s="285"/>
      <c r="F26" s="283"/>
      <c r="G26" s="287"/>
    </row>
    <row r="27" spans="1:7" s="258" customFormat="1" ht="24.75">
      <c r="A27" s="299" t="s">
        <v>2373</v>
      </c>
      <c r="B27" s="288" t="s">
        <v>2374</v>
      </c>
      <c r="C27" s="289">
        <f ca="1">C28</f>
        <v>3329561</v>
      </c>
      <c r="D27" s="279">
        <f ca="1">C29</f>
        <v>8.9999999999999993E-3</v>
      </c>
      <c r="E27" s="280" t="s">
        <v>2375</v>
      </c>
      <c r="F27" s="290">
        <f ca="1">IF(B1="",'数据-取费表'!Q16,INDIRECT("'数据-取费表'!q"&amp;$G$1))</f>
        <v>0.3</v>
      </c>
      <c r="G27" s="291" t="s">
        <v>2376</v>
      </c>
    </row>
    <row r="28" spans="1:7" s="258" customFormat="1" ht="13.5" customHeight="1">
      <c r="A28" s="951" t="s">
        <v>791</v>
      </c>
      <c r="B28" s="292" t="s">
        <v>2377</v>
      </c>
      <c r="C28" s="293">
        <f ca="1">ROUND((C5+C19+C20)*F27,0)</f>
        <v>3329561</v>
      </c>
      <c r="D28" s="279"/>
      <c r="E28" s="280"/>
      <c r="F28" s="290"/>
      <c r="G28" s="291"/>
    </row>
    <row r="29" spans="1:7" s="258" customFormat="1" ht="13.5" customHeight="1">
      <c r="A29" s="951" t="s">
        <v>792</v>
      </c>
      <c r="B29" s="292" t="s">
        <v>2378</v>
      </c>
      <c r="C29" s="282">
        <f ca="1">ROUND(C21*F27,4)</f>
        <v>8.9999999999999993E-3</v>
      </c>
      <c r="D29" s="279"/>
      <c r="E29" s="280"/>
      <c r="F29" s="290"/>
      <c r="G29" s="291"/>
    </row>
    <row r="30" spans="1:7" s="258" customFormat="1" ht="13.5" customHeight="1">
      <c r="A30" s="299" t="s">
        <v>2379</v>
      </c>
      <c r="B30" s="254" t="s">
        <v>2380</v>
      </c>
      <c r="C30" s="279">
        <f>ROUND(F30/(1+'数据-取费表'!C42),4)</f>
        <v>5.33E-2</v>
      </c>
      <c r="D30" s="280" t="s">
        <v>2375</v>
      </c>
      <c r="E30" s="285"/>
      <c r="F30" s="281">
        <f>'数据-取费表'!B41</f>
        <v>5.6000000000000001E-2</v>
      </c>
      <c r="G30" s="278" t="s">
        <v>2381</v>
      </c>
    </row>
    <row r="31" spans="1:7" ht="16.5" customHeight="1">
      <c r="A31" s="253">
        <v>1</v>
      </c>
      <c r="B31" s="254" t="s">
        <v>2382</v>
      </c>
      <c r="C31" s="255">
        <f ca="1">ROUND((C5+C19+C20+C22+C27)/(1-C21-D22-D27-C30),0)</f>
        <v>16788226</v>
      </c>
      <c r="D31" s="274"/>
      <c r="E31" s="255"/>
      <c r="F31" s="294"/>
      <c r="G31" s="278" t="s">
        <v>2383</v>
      </c>
    </row>
    <row r="32" spans="1:7" s="252" customFormat="1" ht="15.75">
      <c r="A32" s="296" t="s">
        <v>2450</v>
      </c>
      <c r="B32" s="297"/>
      <c r="C32" s="297"/>
      <c r="D32" s="297"/>
      <c r="E32" s="297"/>
      <c r="F32" s="297"/>
      <c r="G32" s="298"/>
    </row>
    <row r="33" spans="1:7" s="258" customFormat="1" ht="13.5" customHeight="1">
      <c r="A33" s="299" t="s">
        <v>782</v>
      </c>
      <c r="B33" s="254" t="s">
        <v>2451</v>
      </c>
      <c r="C33" s="300">
        <f ca="1">SUM(C34:C38)</f>
        <v>76506469</v>
      </c>
      <c r="D33" s="276"/>
      <c r="E33" s="256"/>
      <c r="F33" s="285"/>
      <c r="G33" s="278"/>
    </row>
    <row r="34" spans="1:7" s="302" customFormat="1" ht="13.5" customHeight="1">
      <c r="A34" s="951" t="s">
        <v>791</v>
      </c>
      <c r="B34" s="259" t="s">
        <v>2386</v>
      </c>
      <c r="C34" s="264">
        <f ca="1">ROUND(IF(B1="",SUMPRODUCT('数据-取费表'!K6:K14,'数据-取费表'!L6:L14),INDIRECT("'数据-取费表'!l"&amp;$G$1)*INDIRECT("'数据-取费表'!k"&amp;$G$1)+'数据-取费表'!L14*INDIRECT("'数据-取费表'!S"&amp;$G$1)),0)</f>
        <v>68005750</v>
      </c>
      <c r="D34" s="261"/>
      <c r="E34" s="264"/>
      <c r="F34" s="301"/>
      <c r="G34" s="263"/>
    </row>
    <row r="35" spans="1:7" ht="13.5" customHeight="1">
      <c r="A35" s="951" t="s">
        <v>796</v>
      </c>
      <c r="B35" s="259" t="s">
        <v>2388</v>
      </c>
      <c r="C35" s="264">
        <f ca="1">ROUND(C34*F35,0)</f>
        <v>2040173</v>
      </c>
      <c r="D35" s="264"/>
      <c r="E35" s="264"/>
      <c r="F35" s="303">
        <f>'数据-取费表'!B33</f>
        <v>0.03</v>
      </c>
      <c r="G35" s="263" t="s">
        <v>2389</v>
      </c>
    </row>
    <row r="36" spans="1:7" ht="24">
      <c r="A36" s="951" t="s">
        <v>797</v>
      </c>
      <c r="B36" s="259" t="s">
        <v>2390</v>
      </c>
      <c r="C36" s="264">
        <f ca="1">ROUND(IF(B1="",SUM('数据-取费表'!AP6:AP13)*F36,IF(INDIRECT("'数据-取费表'!c"&amp;$G$1)="住宅",INDIRECT("'数据-取费表'!k"&amp;$G$1)*INDIRECT("'数据-取费表'!l"&amp;$G$1)*F36,0)),0)</f>
        <v>0</v>
      </c>
      <c r="D36" s="264"/>
      <c r="E36" s="264"/>
      <c r="F36" s="303">
        <f>'数据-取费表'!B34</f>
        <v>0</v>
      </c>
      <c r="G36" s="304" t="s">
        <v>2391</v>
      </c>
    </row>
    <row r="37" spans="1:7" s="302" customFormat="1" ht="13.5" customHeight="1">
      <c r="A37" s="951" t="s">
        <v>798</v>
      </c>
      <c r="B37" s="259" t="s">
        <v>2392</v>
      </c>
      <c r="C37" s="293">
        <f ca="1">ROUND(E37*D37,0)</f>
        <v>5440460</v>
      </c>
      <c r="D37" s="261">
        <f ca="1">D19</f>
        <v>27202.3</v>
      </c>
      <c r="E37" s="293">
        <f>'数据-取费表'!B35</f>
        <v>200</v>
      </c>
      <c r="F37" s="303"/>
      <c r="G37" s="305"/>
    </row>
    <row r="38" spans="1:7" ht="13.5" customHeight="1">
      <c r="A38" s="951" t="s">
        <v>799</v>
      </c>
      <c r="B38" s="259" t="s">
        <v>2394</v>
      </c>
      <c r="C38" s="264">
        <f ca="1">ROUND(C34*F38,0)</f>
        <v>1020086</v>
      </c>
      <c r="D38" s="264"/>
      <c r="E38" s="264"/>
      <c r="F38" s="303">
        <f>'数据-取费表'!B36</f>
        <v>1.4999999999999999E-2</v>
      </c>
      <c r="G38" s="263" t="s">
        <v>2389</v>
      </c>
    </row>
    <row r="39" spans="1:7" s="258" customFormat="1" ht="13.5" customHeight="1">
      <c r="A39" s="299" t="s">
        <v>2395</v>
      </c>
      <c r="B39" s="254" t="s">
        <v>2396</v>
      </c>
      <c r="C39" s="276">
        <f ca="1">ROUND(C33*F20,0)</f>
        <v>1530129</v>
      </c>
      <c r="D39" s="276"/>
      <c r="E39" s="276"/>
      <c r="F39" s="277"/>
      <c r="G39" s="278" t="s">
        <v>2397</v>
      </c>
    </row>
    <row r="40" spans="1:7" s="258" customFormat="1" ht="13.5" customHeight="1">
      <c r="A40" s="299" t="s">
        <v>2398</v>
      </c>
      <c r="B40" s="254" t="s">
        <v>2399</v>
      </c>
      <c r="C40" s="1728">
        <f>F21</f>
        <v>0.03</v>
      </c>
      <c r="D40" s="280" t="s">
        <v>2400</v>
      </c>
      <c r="E40" s="276"/>
      <c r="F40" s="277"/>
      <c r="G40" s="278" t="s">
        <v>2401</v>
      </c>
    </row>
    <row r="41" spans="1:7" s="258" customFormat="1" ht="13.5" customHeight="1">
      <c r="A41" s="299" t="s">
        <v>2402</v>
      </c>
      <c r="B41" s="254" t="s">
        <v>2403</v>
      </c>
      <c r="C41" s="276">
        <f ca="1">ROUND(SUM(C42:C43),0)</f>
        <v>2763865</v>
      </c>
      <c r="D41" s="279">
        <f ca="1">C44</f>
        <v>1.1000000000000001E-3</v>
      </c>
      <c r="E41" s="280" t="s">
        <v>2400</v>
      </c>
      <c r="F41" s="281"/>
      <c r="G41" s="278" t="str">
        <f>IF('数据-取费表'!B22&lt;=1,"单利计息","复利计息")</f>
        <v>复利计息</v>
      </c>
    </row>
    <row r="42" spans="1:7" ht="13.5" customHeight="1">
      <c r="A42" s="951" t="s">
        <v>791</v>
      </c>
      <c r="B42" s="259" t="s">
        <v>2404</v>
      </c>
      <c r="C42" s="282">
        <f ca="1">ROUND(IF('数据-取费表'!B22&lt;=1,C33*F22*'数据-取费表'!B20/2,C33*(POWER((1+F22),'数据-取费表'!B20/2)-1)),0)</f>
        <v>2709672</v>
      </c>
      <c r="D42" s="282"/>
      <c r="E42" s="282"/>
      <c r="F42" s="283"/>
      <c r="G42" s="3209" t="s">
        <v>2452</v>
      </c>
    </row>
    <row r="43" spans="1:7" ht="13.5" customHeight="1">
      <c r="A43" s="951" t="s">
        <v>792</v>
      </c>
      <c r="B43" s="259" t="s">
        <v>2406</v>
      </c>
      <c r="C43" s="282">
        <f ca="1">ROUND(IF('数据-取费表'!B22&lt;=1,C39*F22*'数据-取费表'!B20/2,C39*(POWER((1+F22),'数据-取费表'!B20/2)-1)),0)</f>
        <v>54193</v>
      </c>
      <c r="D43" s="282"/>
      <c r="E43" s="282"/>
      <c r="F43" s="283"/>
      <c r="G43" s="3210"/>
    </row>
    <row r="44" spans="1:7" ht="13.5" customHeight="1">
      <c r="A44" s="951" t="s">
        <v>793</v>
      </c>
      <c r="B44" s="259" t="s">
        <v>2407</v>
      </c>
      <c r="C44" s="282">
        <f ca="1">ROUND(IF('数据-取费表'!B22&lt;=1,C40*F22*'数据-取费表'!B20/2,C40*(POWER((1+F22),'数据-取费表'!B20/2)-1)),4)</f>
        <v>1.1000000000000001E-3</v>
      </c>
      <c r="D44" s="282"/>
      <c r="E44" s="282"/>
      <c r="F44" s="283"/>
      <c r="G44" s="3211"/>
    </row>
    <row r="45" spans="1:7" s="258" customFormat="1" ht="13.5" customHeight="1">
      <c r="A45" s="299" t="s">
        <v>2408</v>
      </c>
      <c r="B45" s="288" t="s">
        <v>2374</v>
      </c>
      <c r="C45" s="289">
        <f ca="1">C46</f>
        <v>23410979</v>
      </c>
      <c r="D45" s="279">
        <f ca="1">C47</f>
        <v>8.9999999999999993E-3</v>
      </c>
      <c r="E45" s="280" t="s">
        <v>2400</v>
      </c>
      <c r="F45" s="290"/>
      <c r="G45" s="291" t="s">
        <v>2409</v>
      </c>
    </row>
    <row r="46" spans="1:7" s="258" customFormat="1" ht="13.5" customHeight="1">
      <c r="A46" s="951" t="s">
        <v>791</v>
      </c>
      <c r="B46" s="292" t="s">
        <v>2410</v>
      </c>
      <c r="C46" s="293">
        <f ca="1">ROUND((C33+C39)*F27,0)</f>
        <v>23410979</v>
      </c>
      <c r="D46" s="307"/>
      <c r="E46" s="280"/>
      <c r="F46" s="290"/>
      <c r="G46" s="291"/>
    </row>
    <row r="47" spans="1:7" s="258" customFormat="1" ht="13.5" customHeight="1">
      <c r="A47" s="951" t="s">
        <v>792</v>
      </c>
      <c r="B47" s="292" t="s">
        <v>2411</v>
      </c>
      <c r="C47" s="282">
        <f ca="1">ROUND(C40*F27,4)</f>
        <v>8.9999999999999993E-3</v>
      </c>
      <c r="D47" s="307"/>
      <c r="E47" s="280"/>
      <c r="F47" s="290"/>
      <c r="G47" s="291"/>
    </row>
    <row r="48" spans="1:7" s="258" customFormat="1" ht="13.5" customHeight="1">
      <c r="A48" s="299" t="s">
        <v>2373</v>
      </c>
      <c r="B48" s="254" t="s">
        <v>2412</v>
      </c>
      <c r="C48" s="306">
        <f>ROUND(F30/(1+'数据-取费表'!C42),4)</f>
        <v>5.33E-2</v>
      </c>
      <c r="D48" s="280" t="s">
        <v>2400</v>
      </c>
      <c r="E48" s="276"/>
      <c r="F48" s="281"/>
      <c r="G48" s="278" t="s">
        <v>2413</v>
      </c>
    </row>
    <row r="49" spans="1:7" ht="16.5" customHeight="1">
      <c r="A49" s="299" t="s">
        <v>2379</v>
      </c>
      <c r="B49" s="254" t="s">
        <v>2453</v>
      </c>
      <c r="C49" s="276">
        <f ca="1">ROUND((C33+C39+C41+C45)/(1-C40-D41-D45-C48),0)</f>
        <v>114947542</v>
      </c>
      <c r="D49" s="276"/>
      <c r="E49" s="276"/>
      <c r="F49" s="308"/>
      <c r="G49" s="278" t="s">
        <v>2415</v>
      </c>
    </row>
    <row r="50" spans="1:7" s="302" customFormat="1">
      <c r="A50" s="299" t="s">
        <v>2416</v>
      </c>
      <c r="B50" s="254" t="s">
        <v>2417</v>
      </c>
      <c r="C50" s="276"/>
      <c r="D50" s="276"/>
      <c r="E50" s="276"/>
      <c r="F50" s="308">
        <f>IF('数据-取费表'!B24=0,'数据-取费表'!N16,1)</f>
        <v>0.7</v>
      </c>
      <c r="G50" s="291"/>
    </row>
    <row r="51" spans="1:7" ht="16.5" customHeight="1">
      <c r="A51" s="299" t="s">
        <v>2419</v>
      </c>
      <c r="B51" s="254" t="s">
        <v>2454</v>
      </c>
      <c r="C51" s="276">
        <f ca="1">ROUND(C49*F50,0)</f>
        <v>80463279</v>
      </c>
      <c r="D51" s="276"/>
      <c r="E51" s="276"/>
      <c r="F51" s="308"/>
      <c r="G51" s="278" t="s">
        <v>2421</v>
      </c>
    </row>
    <row r="52" spans="1:7" s="252" customFormat="1" ht="16.5" thickBot="1">
      <c r="A52" s="309" t="s">
        <v>2422</v>
      </c>
      <c r="B52" s="310"/>
      <c r="C52" s="311">
        <f ca="1">C31+C51</f>
        <v>97251505</v>
      </c>
      <c r="D52" s="310"/>
      <c r="E52" s="310"/>
      <c r="F52" s="310"/>
      <c r="G52" s="312"/>
    </row>
    <row r="55" spans="1:7" ht="15">
      <c r="B55" s="314" t="s">
        <v>2423</v>
      </c>
      <c r="C55" s="315"/>
    </row>
    <row r="56" spans="1:7">
      <c r="B56" s="317" t="s">
        <v>1508</v>
      </c>
      <c r="C56" s="319">
        <f ca="1">1-C57</f>
        <v>0.17300000000000004</v>
      </c>
    </row>
    <row r="57" spans="1:7">
      <c r="B57" s="317" t="s">
        <v>1509</v>
      </c>
      <c r="C57" s="318">
        <f ca="1">ROUND(C51/C52,3)</f>
        <v>0.82699999999999996</v>
      </c>
    </row>
  </sheetData>
  <sheetProtection password="C66D" sheet="1" objects="1" scenarios="1" formatCells="0"/>
  <mergeCells count="1">
    <mergeCell ref="G42:G44"/>
  </mergeCells>
  <phoneticPr fontId="145"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2455</v>
      </c>
      <c r="B1" s="1581"/>
      <c r="C1" s="1582"/>
      <c r="D1" s="1580"/>
      <c r="E1" s="320"/>
      <c r="F1" s="320"/>
      <c r="G1" s="1581"/>
      <c r="H1" s="320"/>
      <c r="I1" s="320"/>
      <c r="J1" s="320"/>
      <c r="K1" s="320">
        <f>MATCH(C1,'数据-取费表'!A6:A16,0)+5</f>
        <v>7</v>
      </c>
    </row>
    <row r="2" spans="1:33" ht="18" customHeight="1">
      <c r="A2" s="245" t="s">
        <v>2323</v>
      </c>
      <c r="B2" s="248">
        <f ca="1">C32</f>
        <v>0</v>
      </c>
      <c r="C2" s="320" t="s">
        <v>2456</v>
      </c>
      <c r="D2" s="320"/>
      <c r="E2" s="320"/>
      <c r="F2" s="320"/>
      <c r="G2" s="320"/>
      <c r="H2" s="320"/>
      <c r="I2" s="320"/>
      <c r="J2" s="320"/>
      <c r="K2" s="320"/>
    </row>
    <row r="3" spans="1:33" ht="18" customHeight="1" thickBot="1">
      <c r="A3" s="247" t="s">
        <v>2325</v>
      </c>
      <c r="B3" s="248">
        <f ca="1">ROUND(B2*10000/IF(C1="",'数据-汇总表'!E3,INDIRECT("'数据-取费表'!K"&amp;$K$1)),0)</f>
        <v>0</v>
      </c>
      <c r="C3" s="320" t="s">
        <v>2457</v>
      </c>
      <c r="D3" s="320"/>
      <c r="E3" s="320"/>
      <c r="F3" s="320"/>
      <c r="G3" s="320"/>
      <c r="H3" s="320"/>
      <c r="I3" s="320"/>
      <c r="J3" s="320"/>
      <c r="K3" s="320"/>
    </row>
    <row r="4" spans="1:33" s="956" customFormat="1" ht="16.5" customHeight="1">
      <c r="A4" s="953" t="s">
        <v>2458</v>
      </c>
      <c r="B4" s="954"/>
      <c r="C4" s="996">
        <f>SUM(C8:K8)</f>
        <v>0</v>
      </c>
      <c r="D4" s="954"/>
      <c r="E4" s="954"/>
      <c r="F4" s="954"/>
      <c r="G4" s="954"/>
      <c r="H4" s="954"/>
      <c r="I4" s="954"/>
      <c r="J4" s="954"/>
      <c r="K4" s="955"/>
    </row>
    <row r="5" spans="1:33" s="960" customFormat="1" ht="24.75">
      <c r="A5" s="957" t="s">
        <v>2459</v>
      </c>
      <c r="B5" s="958" t="s">
        <v>2460</v>
      </c>
      <c r="C5" s="2557" t="s">
        <v>2461</v>
      </c>
      <c r="D5" s="2557" t="s">
        <v>2462</v>
      </c>
      <c r="E5" s="2557" t="s">
        <v>2463</v>
      </c>
      <c r="F5" s="2557"/>
      <c r="G5" s="2557"/>
      <c r="H5" s="2557"/>
      <c r="I5" s="2557"/>
      <c r="J5" s="2557"/>
      <c r="K5" s="2557"/>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2464</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2465</v>
      </c>
      <c r="B7" s="140" t="s">
        <v>2466</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8" t="s">
        <v>2467</v>
      </c>
      <c r="B8" s="177" t="s">
        <v>2468</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2469</v>
      </c>
      <c r="B9" s="954"/>
      <c r="C9" s="954"/>
      <c r="D9" s="954"/>
      <c r="E9" s="954"/>
      <c r="F9" s="954"/>
      <c r="G9" s="954"/>
      <c r="H9" s="954"/>
      <c r="I9" s="954"/>
      <c r="J9" s="954"/>
      <c r="K9" s="955"/>
    </row>
    <row r="10" spans="1:33" s="970" customFormat="1" ht="13.5" customHeight="1">
      <c r="A10" s="957" t="s">
        <v>2470</v>
      </c>
      <c r="B10" s="8" t="s">
        <v>2471</v>
      </c>
      <c r="C10" s="966" t="s">
        <v>2472</v>
      </c>
      <c r="D10" s="967" t="s">
        <v>2473</v>
      </c>
      <c r="E10" s="967" t="s">
        <v>2474</v>
      </c>
      <c r="F10" s="967" t="s">
        <v>2475</v>
      </c>
      <c r="G10" s="8"/>
      <c r="H10" s="968"/>
      <c r="I10" s="968"/>
      <c r="J10" s="968"/>
      <c r="K10" s="969"/>
    </row>
    <row r="11" spans="1:33" s="975" customFormat="1" ht="13.5" customHeight="1">
      <c r="A11" s="971" t="s">
        <v>1330</v>
      </c>
      <c r="B11" s="972" t="s">
        <v>2476</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1331</v>
      </c>
      <c r="B12" s="972" t="s">
        <v>2477</v>
      </c>
      <c r="C12" s="24">
        <f ca="1">ROUND(C11*F12,0)</f>
        <v>0</v>
      </c>
      <c r="D12" s="973"/>
      <c r="E12" s="375"/>
      <c r="F12" s="976">
        <f>'数据-取费表'!B33</f>
        <v>0.03</v>
      </c>
      <c r="G12" s="8" t="s">
        <v>2478</v>
      </c>
      <c r="H12" s="968"/>
      <c r="I12" s="968"/>
      <c r="J12" s="968"/>
      <c r="K12" s="969"/>
    </row>
    <row r="13" spans="1:33" s="975" customFormat="1" ht="13.5" customHeight="1">
      <c r="A13" s="971" t="s">
        <v>1332</v>
      </c>
      <c r="B13" s="972" t="s">
        <v>2479</v>
      </c>
      <c r="C13" s="24">
        <f ca="1">ROUND(IF(C1="",SUMIF('数据-取费表'!C:C,"住宅",'数据-取费表'!P:P)*F13,IF(INDIRECT("'数据-取费表'!c"&amp;$K$1)="住宅",INDIRECT("'数据-取费表'!P"&amp;$K$1)*F13,0)),0)</f>
        <v>0</v>
      </c>
      <c r="D13" s="1033"/>
      <c r="E13" s="375"/>
      <c r="F13" s="976">
        <f>'数据-取费表'!B34</f>
        <v>0</v>
      </c>
      <c r="G13" s="8" t="s">
        <v>2480</v>
      </c>
      <c r="H13" s="968"/>
      <c r="I13" s="968"/>
      <c r="J13" s="968"/>
      <c r="K13" s="969"/>
    </row>
    <row r="14" spans="1:33" s="977" customFormat="1" ht="13.5" customHeight="1">
      <c r="A14" s="971" t="s">
        <v>1333</v>
      </c>
      <c r="B14" s="972" t="s">
        <v>2481</v>
      </c>
      <c r="C14" s="24">
        <f ca="1">ROUND(D14*E14*F11/10000,0)</f>
        <v>0</v>
      </c>
      <c r="D14" s="1033">
        <f ca="1">IF(C1="",'数据-汇总表'!E3,INDIRECT("'数据-取费表'!K"&amp;$K$1)+INDIRECT("'数据-取费表'!S"&amp;$K$1))</f>
        <v>27202.3</v>
      </c>
      <c r="E14" s="24">
        <f>'数据-取费表'!B35</f>
        <v>200</v>
      </c>
      <c r="F14" s="976"/>
      <c r="G14" s="8" t="s">
        <v>2482</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1334</v>
      </c>
      <c r="B15" s="972" t="s">
        <v>2483</v>
      </c>
      <c r="C15" s="983">
        <f ca="1">ROUND(C11*F15,0)</f>
        <v>0</v>
      </c>
      <c r="D15" s="978"/>
      <c r="E15" s="983"/>
      <c r="F15" s="984">
        <f>'数据-取费表'!B36</f>
        <v>1.4999999999999999E-2</v>
      </c>
      <c r="G15" s="140" t="s">
        <v>2484</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2485</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2486</v>
      </c>
      <c r="C17" s="24">
        <f ca="1">ROUND(D17*E17/10000,0)</f>
        <v>0</v>
      </c>
      <c r="D17" s="1033">
        <f ca="1">D14</f>
        <v>27202.3</v>
      </c>
      <c r="E17" s="24">
        <f>'数据-取费表'!B32</f>
        <v>0</v>
      </c>
      <c r="F17" s="978"/>
      <c r="G17" s="140" t="s">
        <v>2487</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1335</v>
      </c>
      <c r="B18" s="972" t="s">
        <v>2488</v>
      </c>
      <c r="C18" s="24">
        <f ca="1">C19+C20-IF(C1="",'数据-取费表'!B29,IF(G18="已全部缴纳",C19+C20,H18))</f>
        <v>0</v>
      </c>
      <c r="D18" s="1033"/>
      <c r="E18" s="24"/>
      <c r="F18" s="976"/>
      <c r="G18" s="2559"/>
      <c r="H18" s="1577"/>
      <c r="I18" s="2560" t="s">
        <v>2489</v>
      </c>
      <c r="J18" s="979"/>
      <c r="K18" s="980"/>
    </row>
    <row r="19" spans="1:33" s="975" customFormat="1" ht="13.5" customHeight="1">
      <c r="A19" s="971" t="s">
        <v>805</v>
      </c>
      <c r="B19" s="972" t="s">
        <v>2490</v>
      </c>
      <c r="C19" s="24">
        <f ca="1">ROUND(D19*E19/10000,0)</f>
        <v>0</v>
      </c>
      <c r="D19" s="1033">
        <f ca="1">IF(C1="",'数据-汇总表'!E5,IF(INDIRECT("'数据-取费表'!c"&amp;$K$1)="住宅",INDIRECT("'数据-取费表'!k"&amp;$K$1),0))</f>
        <v>0</v>
      </c>
      <c r="E19" s="24">
        <f>'数据-取费表'!B27</f>
        <v>160</v>
      </c>
      <c r="F19" s="976"/>
      <c r="G19" s="15"/>
      <c r="H19" s="1579"/>
      <c r="I19" s="981"/>
      <c r="J19" s="981"/>
      <c r="K19" s="982"/>
    </row>
    <row r="20" spans="1:33" s="975" customFormat="1" ht="13.5" customHeight="1">
      <c r="A20" s="971" t="s">
        <v>806</v>
      </c>
      <c r="B20" s="972" t="s">
        <v>2491</v>
      </c>
      <c r="C20" s="24">
        <f ca="1">ROUND(D20*E20/10000,0)</f>
        <v>544</v>
      </c>
      <c r="D20" s="1033">
        <f ca="1">IF(C1="",'数据-汇总表'!E6,IF(INDIRECT("'数据-取费表'!c"&amp;$K$1)="住宅",INDIRECT("'数据-取费表'!s"&amp;$K$1),INDIRECT("'数据-取费表'!k"&amp;$K$1)+INDIRECT("'数据-取费表'!s"&amp;$K$1)))</f>
        <v>27202.3</v>
      </c>
      <c r="E20" s="24">
        <f>'数据-取费表'!B28</f>
        <v>200</v>
      </c>
      <c r="F20" s="976"/>
      <c r="G20" s="15"/>
      <c r="H20" s="981"/>
      <c r="I20" s="981"/>
      <c r="J20" s="981"/>
      <c r="K20" s="982"/>
    </row>
    <row r="21" spans="1:33" s="975" customFormat="1" ht="13.5" customHeight="1">
      <c r="A21" s="961" t="s">
        <v>802</v>
      </c>
      <c r="B21" s="985" t="s">
        <v>2492</v>
      </c>
      <c r="C21" s="986">
        <f ca="1">C16+C17+C18</f>
        <v>0</v>
      </c>
      <c r="D21" s="987"/>
      <c r="E21" s="325"/>
      <c r="F21" s="325"/>
      <c r="G21" s="140" t="s">
        <v>2493</v>
      </c>
      <c r="H21" s="979"/>
      <c r="I21" s="979"/>
      <c r="J21" s="979"/>
      <c r="K21" s="980"/>
    </row>
    <row r="22" spans="1:33" s="975" customFormat="1" ht="13.5" customHeight="1">
      <c r="A22" s="961" t="s">
        <v>2465</v>
      </c>
      <c r="B22" s="985" t="s">
        <v>2494</v>
      </c>
      <c r="C22" s="986">
        <f ca="1">ROUND(C21*F22,0)</f>
        <v>0</v>
      </c>
      <c r="D22" s="325"/>
      <c r="E22" s="325"/>
      <c r="F22" s="988">
        <f>'数据-取费表'!B37</f>
        <v>0.02</v>
      </c>
      <c r="G22" s="8" t="s">
        <v>2495</v>
      </c>
      <c r="H22" s="968"/>
      <c r="I22" s="968"/>
      <c r="J22" s="968"/>
      <c r="K22" s="969"/>
    </row>
    <row r="23" spans="1:33" s="975" customFormat="1" ht="13.5" customHeight="1">
      <c r="A23" s="961" t="s">
        <v>2467</v>
      </c>
      <c r="B23" s="985" t="s">
        <v>2496</v>
      </c>
      <c r="C23" s="986">
        <f ca="1">ROUND(C4*F23*F11,0)</f>
        <v>0</v>
      </c>
      <c r="D23" s="325"/>
      <c r="E23" s="325"/>
      <c r="F23" s="988">
        <f>'数据-取费表'!B38</f>
        <v>0.03</v>
      </c>
      <c r="G23" s="8" t="s">
        <v>2497</v>
      </c>
      <c r="H23" s="968"/>
      <c r="I23" s="968"/>
      <c r="J23" s="968"/>
      <c r="K23" s="969"/>
    </row>
    <row r="24" spans="1:33" s="975" customFormat="1" ht="13.5" customHeight="1">
      <c r="A24" s="961" t="s">
        <v>2498</v>
      </c>
      <c r="B24" s="985" t="s">
        <v>2499</v>
      </c>
      <c r="C24" s="324">
        <f>ROUND(F24/(1+'数据-取费表'!C42),4)</f>
        <v>2.9000000000000001E-2</v>
      </c>
      <c r="D24" s="325" t="s">
        <v>15</v>
      </c>
      <c r="E24" s="325"/>
      <c r="F24" s="988">
        <f>'数据-取费表'!B48+'数据-取费表'!B49</f>
        <v>3.0499999999999999E-2</v>
      </c>
      <c r="G24" s="8" t="s">
        <v>2500</v>
      </c>
      <c r="H24" s="990"/>
      <c r="I24" s="990"/>
      <c r="J24" s="990"/>
      <c r="K24" s="991"/>
    </row>
    <row r="25" spans="1:33" s="975" customFormat="1" ht="13.5" customHeight="1">
      <c r="A25" s="961" t="s">
        <v>2501</v>
      </c>
      <c r="B25" s="987" t="s">
        <v>2502</v>
      </c>
      <c r="C25" s="1356">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2503</v>
      </c>
      <c r="C26" s="1357">
        <f ca="1">ROUND(IF('数据-取费表'!B22&lt;=1,(1+C24)*F25*'数据-取费表'!B24,(1+C24)*(POWER((1+F25),'数据-取费表'!B24)-1)),4)</f>
        <v>0</v>
      </c>
      <c r="D26" s="328"/>
      <c r="E26" s="329"/>
      <c r="F26" s="330"/>
      <c r="G26" s="2561"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2504</v>
      </c>
      <c r="C27" s="1358">
        <f ca="1">ROUND(IF('数据-取费表'!B22&lt;=1,(C21+C22+C23)*F25*'数据-取费表'!B24/2,(C21+C22+C23)*(POWER((1+F25),'数据-取费表'!B24/2)-1)),0)</f>
        <v>0</v>
      </c>
      <c r="D27" s="328"/>
      <c r="E27" s="329"/>
      <c r="F27" s="330"/>
      <c r="G27" s="2561" t="str">
        <f>IF('数据-取费表'!B22&lt;=1,"（1）-（3）项×年利率×建设期÷2","（1）-（3）项×((1+年利率)^(建设期÷2)-1)")</f>
        <v>（1）-（3）项×((1+年利率)^(建设期÷2)-1)</v>
      </c>
      <c r="H27" s="979"/>
      <c r="I27" s="979"/>
      <c r="J27" s="979"/>
      <c r="K27" s="980"/>
    </row>
    <row r="28" spans="1:33" s="333" customFormat="1" ht="13.5" customHeight="1">
      <c r="A28" s="961" t="s">
        <v>2505</v>
      </c>
      <c r="B28" s="2562" t="s">
        <v>2506</v>
      </c>
      <c r="C28" s="331">
        <f ca="1">C30</f>
        <v>0</v>
      </c>
      <c r="D28" s="324">
        <f ca="1">C29</f>
        <v>0</v>
      </c>
      <c r="E28" s="326" t="s">
        <v>15</v>
      </c>
      <c r="F28" s="332">
        <f ca="1">IF(C1="",'数据-取费表'!Q16,INDIRECT("'数据-取费表'!q"&amp;$K$1))</f>
        <v>0.3</v>
      </c>
      <c r="G28" s="989"/>
      <c r="H28" s="990"/>
      <c r="I28" s="990"/>
      <c r="J28" s="990"/>
      <c r="K28" s="991"/>
    </row>
    <row r="29" spans="1:33" s="335" customFormat="1" ht="13.5" customHeight="1">
      <c r="A29" s="971" t="s">
        <v>803</v>
      </c>
      <c r="B29" s="994" t="s">
        <v>2507</v>
      </c>
      <c r="C29" s="328">
        <f ca="1">ROUND((1+C24)*F28*'数据-取费表'!B24/'数据-取费表'!B20,4)</f>
        <v>0</v>
      </c>
      <c r="D29" s="328"/>
      <c r="E29" s="329"/>
      <c r="F29" s="334"/>
      <c r="G29" s="140" t="s">
        <v>2508</v>
      </c>
      <c r="H29" s="979"/>
      <c r="I29" s="979"/>
      <c r="J29" s="979"/>
      <c r="K29" s="980"/>
    </row>
    <row r="30" spans="1:33" s="335" customFormat="1" ht="13.5" customHeight="1">
      <c r="A30" s="971" t="s">
        <v>804</v>
      </c>
      <c r="B30" s="994" t="s">
        <v>2509</v>
      </c>
      <c r="C30" s="336">
        <f ca="1">ROUND((C21+C22+C23)*F28,0)</f>
        <v>0</v>
      </c>
      <c r="D30" s="328"/>
      <c r="E30" s="329"/>
      <c r="F30" s="334"/>
      <c r="G30" s="140"/>
      <c r="H30" s="979"/>
      <c r="I30" s="979"/>
      <c r="J30" s="979"/>
      <c r="K30" s="980"/>
    </row>
    <row r="31" spans="1:33" s="975" customFormat="1" ht="13.5" customHeight="1" thickBot="1">
      <c r="A31" s="2563" t="s">
        <v>2510</v>
      </c>
      <c r="B31" s="1005" t="s">
        <v>2511</v>
      </c>
      <c r="C31" s="1006">
        <f>ROUND(C4*F31/(1+'数据-取费表'!C42),0)</f>
        <v>0</v>
      </c>
      <c r="D31" s="1007"/>
      <c r="E31" s="1008"/>
      <c r="F31" s="1009">
        <f>'数据-取费表'!B41</f>
        <v>5.6000000000000001E-2</v>
      </c>
      <c r="G31" s="1010" t="s">
        <v>2512</v>
      </c>
      <c r="H31" s="1011"/>
      <c r="I31" s="1011"/>
      <c r="J31" s="1011"/>
      <c r="K31" s="1012"/>
    </row>
    <row r="32" spans="1:33" s="970" customFormat="1" ht="13.5" customHeight="1" thickBot="1">
      <c r="A32" s="1000" t="s">
        <v>2513</v>
      </c>
      <c r="B32" s="1001"/>
      <c r="C32" s="1002">
        <f ca="1">ROUND((C4-C21-C22-C23-C25-C28-C31)/(1+C24+D25+D28),0)</f>
        <v>0</v>
      </c>
      <c r="D32" s="1001"/>
      <c r="E32" s="1001"/>
      <c r="F32" s="1001"/>
      <c r="G32" s="1003" t="s">
        <v>2514</v>
      </c>
      <c r="H32" s="1001"/>
      <c r="I32" s="1001"/>
      <c r="J32" s="1001"/>
      <c r="K32" s="1004"/>
    </row>
    <row r="34" ht="12.75" customHeight="1"/>
  </sheetData>
  <sheetProtection password="C66D" sheet="1" objects="1" scenarios="1" formatCells="0" formatColumns="0" formatRows="0"/>
  <phoneticPr fontId="20"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D88" sqref="D88"/>
    </sheetView>
  </sheetViews>
  <sheetFormatPr defaultColWidth="12" defaultRowHeight="12.75"/>
  <cols>
    <col min="1" max="1" width="9.75" style="2791" customWidth="1"/>
    <col min="2" max="2" width="19.25" style="2897" customWidth="1"/>
    <col min="3" max="4" width="12" style="2723"/>
    <col min="5" max="5" width="14.625" style="2723" customWidth="1"/>
    <col min="6" max="8" width="12" style="2723"/>
    <col min="9" max="9" width="12.25" style="2723" bestFit="1" customWidth="1"/>
    <col min="10" max="10" width="12" style="2723"/>
    <col min="11" max="11" width="8.125" style="2786" customWidth="1"/>
    <col min="12" max="12" width="12" style="2723"/>
    <col min="13" max="13" width="8.5" style="2723" customWidth="1"/>
    <col min="14" max="14" width="9.75" style="2723" customWidth="1"/>
    <col min="15" max="25" width="12" style="2723"/>
    <col min="26" max="26" width="9.375" style="2791" customWidth="1"/>
    <col min="27" max="32" width="9.375" style="1372" customWidth="1"/>
    <col min="33" max="36" width="9.375" style="2791" customWidth="1"/>
    <col min="37" max="38" width="9.375" style="2723" customWidth="1"/>
    <col min="39" max="16384" width="12" style="2723"/>
  </cols>
  <sheetData>
    <row r="1" spans="1:36" ht="28.5">
      <c r="A1" s="240" t="s">
        <v>2800</v>
      </c>
      <c r="B1" s="241"/>
      <c r="C1" s="245" t="s">
        <v>2801</v>
      </c>
      <c r="D1" s="388">
        <f>SUM(D29:D30,D33:D39)</f>
        <v>27202.3</v>
      </c>
      <c r="E1" s="2720"/>
      <c r="F1" s="2720"/>
      <c r="G1" s="2720"/>
      <c r="H1" s="2720"/>
      <c r="I1" s="2720"/>
      <c r="J1" s="2720"/>
      <c r="K1" s="1370"/>
      <c r="L1" s="2721" t="s">
        <v>2802</v>
      </c>
      <c r="M1" s="1080">
        <f>SUMPRODUCT((区片价!B5:B9=I2)*(区片价!C3:F3=E2)*(区片价!C5:F9))</f>
        <v>0</v>
      </c>
      <c r="N1" s="1083">
        <f>SUMPRODUCT((因素修正幅度!B5:B9=I2)*(因素修正幅度!C3:F3=E2)*(因素修正幅度!C5:F9))</f>
        <v>0</v>
      </c>
      <c r="O1" s="2722"/>
      <c r="P1" s="2722"/>
      <c r="Q1" s="1370"/>
      <c r="R1" s="1602" t="s">
        <v>2803</v>
      </c>
      <c r="S1" s="1602" t="s">
        <v>2804</v>
      </c>
      <c r="T1" s="1602" t="s">
        <v>2805</v>
      </c>
      <c r="U1" s="1602" t="s">
        <v>2806</v>
      </c>
      <c r="V1" s="1602" t="s">
        <v>2807</v>
      </c>
      <c r="W1" s="1606"/>
      <c r="X1" s="1606"/>
      <c r="Y1" s="1606"/>
      <c r="Z1" s="1606"/>
      <c r="AA1" s="1606"/>
      <c r="AB1" s="1606"/>
      <c r="AC1" s="1607"/>
      <c r="AD1" s="1608"/>
      <c r="AE1" s="1608"/>
      <c r="AF1" s="1608"/>
      <c r="AG1" s="1608"/>
      <c r="AH1" s="1608"/>
      <c r="AI1" s="1608"/>
      <c r="AJ1" s="1609"/>
    </row>
    <row r="2" spans="1:36" ht="15.75">
      <c r="A2" s="245" t="s">
        <v>2808</v>
      </c>
      <c r="B2" s="248">
        <f ca="1">C26</f>
        <v>19662</v>
      </c>
      <c r="C2" s="2724" t="s">
        <v>2809</v>
      </c>
      <c r="D2" s="2725" t="s">
        <v>2810</v>
      </c>
      <c r="E2" s="2726" t="s">
        <v>6</v>
      </c>
      <c r="F2" s="2725" t="s">
        <v>2811</v>
      </c>
      <c r="G2" s="2727" t="str">
        <f>IF(E2="商业",项目基本情况!B37,IF(E2="办公",项目基本情况!C37,IF(E2="住宅",项目基本情况!D37,项目基本情况!E37)))</f>
        <v>三级</v>
      </c>
      <c r="H2" s="2725" t="s">
        <v>2812</v>
      </c>
      <c r="I2" s="2727" t="str">
        <f>IF(E2="商业",项目基本情况!B38,IF(E2="办公",项目基本情况!C38,IF(E2="住宅",项目基本情况!D38,项目基本情况!E38)))</f>
        <v>Ⅲ—08</v>
      </c>
      <c r="J2" s="2728"/>
      <c r="K2" s="1370"/>
      <c r="L2" s="2729" t="s">
        <v>2813</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1.8629</v>
      </c>
      <c r="T2" s="1602">
        <f ca="1">ROUND($C$5*$C$18*$C$19*$C$20*S2*$C$24,0)</f>
        <v>13355</v>
      </c>
      <c r="U2" s="1603"/>
      <c r="V2" s="1602">
        <f ca="1">ROUND(T2*U2/10000,0)</f>
        <v>0</v>
      </c>
      <c r="W2" s="1606"/>
      <c r="X2" s="1606"/>
      <c r="Y2" s="1606"/>
      <c r="Z2" s="1606"/>
      <c r="AA2" s="1606"/>
      <c r="AB2" s="1606"/>
      <c r="AC2" s="1607"/>
      <c r="AD2" s="1608"/>
      <c r="AE2" s="1608"/>
      <c r="AF2" s="1608"/>
      <c r="AG2" s="1608"/>
      <c r="AH2" s="1608"/>
      <c r="AI2" s="1608"/>
      <c r="AJ2" s="1609"/>
    </row>
    <row r="3" spans="1:36" ht="15.75">
      <c r="A3" s="247" t="s">
        <v>2814</v>
      </c>
      <c r="B3" s="248">
        <f ca="1">ROUND(B2*10000/D1,0)</f>
        <v>7228</v>
      </c>
      <c r="C3" s="2724" t="s">
        <v>2815</v>
      </c>
      <c r="D3" s="2725" t="s">
        <v>2816</v>
      </c>
      <c r="E3" s="2730" t="s">
        <v>3173</v>
      </c>
      <c r="F3" s="2731" t="s">
        <v>2817</v>
      </c>
      <c r="G3" s="916">
        <f>IF(F3="宗地容积率",'数据-汇总表'!I4,IF(F3="估价对象容积率",'数据-汇总表'!I6,'数据-汇总表'!I7))</f>
        <v>1.47</v>
      </c>
      <c r="H3" s="198" t="s">
        <v>2818</v>
      </c>
      <c r="I3" s="944"/>
      <c r="J3" s="2728" t="s">
        <v>2819</v>
      </c>
      <c r="K3" s="1370"/>
      <c r="L3" s="2729" t="s">
        <v>2820</v>
      </c>
      <c r="M3" s="1081">
        <f>SUMPRODUCT((区片价!B29:B48=I2)*(区片价!C3:F3=E2)*(区片价!C29:F48))</f>
        <v>6520</v>
      </c>
      <c r="N3" s="1083">
        <f>SUMPRODUCT((因素修正幅度!B29:B48=I2)*(因素修正幅度!C3:F3=E2)*(因素修正幅度!C29:F48))</f>
        <v>0.1</v>
      </c>
      <c r="O3" s="1370"/>
      <c r="P3" s="1370"/>
      <c r="Q3" s="1370"/>
      <c r="R3" s="1602">
        <v>2</v>
      </c>
      <c r="S3" s="1602">
        <f>ROUND(IF(G3&gt;1,IF(R3&lt;7,SUMPRODUCT((B93:B98=R3)*(C92:N92=G2)*(C93:N98)),SUMIF(C92:N92,G2,C100:N100)),IF(R3&lt;7,SUMPRODUCT((B102:B107=R3)*(C92:N92=G2)*(C102:N107)),SUMIF(C92:N92,G2,C109:N109))),4)</f>
        <v>1.3371999999999999</v>
      </c>
      <c r="T3" s="1602">
        <f t="shared" ref="T3:T16" ca="1" si="0">ROUND($C$5*$C$18*$C$19*$C$20*S3*$C$24,0)</f>
        <v>9586</v>
      </c>
      <c r="U3" s="1603"/>
      <c r="V3" s="1602">
        <f t="shared" ref="V3:V16" ca="1" si="1">ROUND(T3*U3/10000,0)</f>
        <v>0</v>
      </c>
      <c r="W3" s="1606"/>
      <c r="X3" s="1606"/>
      <c r="Y3" s="1606"/>
      <c r="Z3" s="1606"/>
      <c r="AA3" s="1606"/>
      <c r="AB3" s="1606"/>
      <c r="AC3" s="1607"/>
      <c r="AD3" s="1608"/>
      <c r="AE3" s="1608"/>
      <c r="AF3" s="1608"/>
      <c r="AG3" s="1608"/>
      <c r="AH3" s="1608"/>
      <c r="AI3" s="1608"/>
      <c r="AJ3" s="1609"/>
    </row>
    <row r="4" spans="1:36" ht="15.75">
      <c r="A4" s="3215"/>
      <c r="B4" s="3216"/>
      <c r="C4" s="3216"/>
      <c r="D4" s="3217"/>
      <c r="E4" s="3217"/>
      <c r="F4" s="3217"/>
      <c r="G4" s="3217"/>
      <c r="H4" s="3217"/>
      <c r="I4" s="3217"/>
      <c r="J4" s="3218"/>
      <c r="K4" s="1370"/>
      <c r="L4" s="2729" t="s">
        <v>2821</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1.0788</v>
      </c>
      <c r="T4" s="1602">
        <f t="shared" ca="1" si="0"/>
        <v>7734</v>
      </c>
      <c r="U4" s="1603"/>
      <c r="V4" s="1602">
        <f t="shared" ca="1" si="1"/>
        <v>0</v>
      </c>
      <c r="W4" s="1606"/>
      <c r="X4" s="1606"/>
      <c r="Y4" s="1606"/>
      <c r="Z4" s="1606"/>
      <c r="AA4" s="1606"/>
      <c r="AB4" s="1606"/>
      <c r="AC4" s="1607"/>
      <c r="AD4" s="1608"/>
      <c r="AE4" s="1608"/>
      <c r="AF4" s="1608"/>
      <c r="AG4" s="1608"/>
      <c r="AH4" s="1608"/>
      <c r="AI4" s="1608"/>
      <c r="AJ4" s="1609"/>
    </row>
    <row r="5" spans="1:36" s="2741" customFormat="1" ht="15.75" thickBot="1">
      <c r="A5" s="2732" t="s">
        <v>807</v>
      </c>
      <c r="B5" s="2733" t="s">
        <v>2822</v>
      </c>
      <c r="C5" s="917">
        <f>ROUND(IF(E2="商业",C6*C7+C16,(IF(E2="住宅",C6*C12+C16,C6+C16))),0)</f>
        <v>6520</v>
      </c>
      <c r="D5" s="1787">
        <f>ROUND(IF(F17="增加",C6+C16,C6-C16),0)</f>
        <v>6520</v>
      </c>
      <c r="E5" s="1787"/>
      <c r="F5" s="2734"/>
      <c r="G5" s="2735"/>
      <c r="H5" s="2735"/>
      <c r="I5" s="2735"/>
      <c r="J5" s="2736"/>
      <c r="K5" s="2737"/>
      <c r="L5" s="2729" t="s">
        <v>2823</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0.86560000000000004</v>
      </c>
      <c r="T5" s="1602">
        <f t="shared" ca="1" si="0"/>
        <v>6205</v>
      </c>
      <c r="U5" s="1603"/>
      <c r="V5" s="1602">
        <f t="shared" ca="1" si="1"/>
        <v>0</v>
      </c>
      <c r="W5" s="1606"/>
      <c r="X5" s="1606"/>
      <c r="Y5" s="1606"/>
      <c r="Z5" s="1606"/>
      <c r="AA5" s="1606"/>
      <c r="AB5" s="1606"/>
      <c r="AC5" s="2738"/>
      <c r="AD5" s="2739"/>
      <c r="AE5" s="2739"/>
      <c r="AF5" s="2739"/>
      <c r="AG5" s="2739"/>
      <c r="AH5" s="2739"/>
      <c r="AI5" s="2739"/>
      <c r="AJ5" s="2740"/>
    </row>
    <row r="6" spans="1:36" ht="15.75" hidden="1" thickBot="1">
      <c r="A6" s="2742" t="s">
        <v>2824</v>
      </c>
      <c r="B6" s="2743" t="s">
        <v>2825</v>
      </c>
      <c r="C6" s="918">
        <f>SUMIF(L1:L12,G2,M1:M12)</f>
        <v>6520</v>
      </c>
      <c r="D6" s="2744" t="s">
        <v>2826</v>
      </c>
      <c r="E6" s="2745"/>
      <c r="F6" s="2745"/>
      <c r="G6" s="2746"/>
      <c r="H6" s="2746"/>
      <c r="I6" s="2746"/>
      <c r="J6" s="2747"/>
      <c r="K6" s="1842"/>
      <c r="L6" s="2729" t="s">
        <v>2827</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0.73709999999999998</v>
      </c>
      <c r="T6" s="1602">
        <f t="shared" ca="1" si="0"/>
        <v>5284</v>
      </c>
      <c r="U6" s="1603"/>
      <c r="V6" s="1602">
        <f t="shared" ca="1" si="1"/>
        <v>0</v>
      </c>
      <c r="W6" s="1606"/>
      <c r="X6" s="1606"/>
      <c r="Y6" s="1606"/>
      <c r="Z6" s="1606"/>
      <c r="AA6" s="1606"/>
      <c r="AB6" s="1606"/>
      <c r="AC6" s="2738"/>
      <c r="AD6" s="2739"/>
      <c r="AE6" s="2739"/>
      <c r="AF6" s="2739"/>
      <c r="AG6" s="2739"/>
      <c r="AH6" s="2739"/>
      <c r="AI6" s="2739"/>
      <c r="AJ6" s="2740"/>
    </row>
    <row r="7" spans="1:36" ht="24" hidden="1">
      <c r="A7" s="3219" t="str">
        <f>IF(E2="商业",IF(C8="不临58条商业街","",2),"")</f>
        <v/>
      </c>
      <c r="B7" s="2748" t="s">
        <v>2828</v>
      </c>
      <c r="C7" s="919" t="e">
        <f>IF(C8="不临58条商业街",1,ROUND(1+(1.6*E8+1.2*E9+0.8*E10+0.4*E11)*C9,4))</f>
        <v>#DIV/0!</v>
      </c>
      <c r="D7" s="2749" t="s">
        <v>2829</v>
      </c>
      <c r="E7" s="945"/>
      <c r="F7" s="2750"/>
      <c r="G7" s="2751"/>
      <c r="H7" s="2751"/>
      <c r="I7" s="2751"/>
      <c r="J7" s="2752"/>
      <c r="K7" s="1842"/>
      <c r="L7" s="2729" t="s">
        <v>2830</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0.6482</v>
      </c>
      <c r="T7" s="1602">
        <f t="shared" ca="1" si="0"/>
        <v>4647</v>
      </c>
      <c r="U7" s="1603"/>
      <c r="V7" s="1602">
        <f t="shared" ca="1" si="1"/>
        <v>0</v>
      </c>
      <c r="W7" s="1816" t="s">
        <v>2831</v>
      </c>
      <c r="X7" s="1604" t="str">
        <f>G2</f>
        <v>三级</v>
      </c>
      <c r="Y7" s="1604" t="s">
        <v>2832</v>
      </c>
      <c r="Z7" s="1605">
        <f>G3</f>
        <v>1.47</v>
      </c>
      <c r="AA7" s="1606"/>
      <c r="AB7" s="1606"/>
      <c r="AC7" s="1607"/>
      <c r="AD7" s="1608"/>
      <c r="AE7" s="1608"/>
      <c r="AF7" s="1608"/>
      <c r="AG7" s="1608"/>
      <c r="AH7" s="1608"/>
      <c r="AI7" s="1608"/>
      <c r="AJ7" s="1609"/>
    </row>
    <row r="8" spans="1:36" ht="15" hidden="1">
      <c r="A8" s="3220"/>
      <c r="B8" s="198" t="s">
        <v>2833</v>
      </c>
      <c r="C8" s="2753"/>
      <c r="D8" s="920" t="s">
        <v>139</v>
      </c>
      <c r="E8" s="921" t="e">
        <f>ROUND(C11/E7,4)</f>
        <v>#DIV/0!</v>
      </c>
      <c r="F8" s="2754" t="s">
        <v>2834</v>
      </c>
      <c r="G8" s="2755"/>
      <c r="H8" s="2755"/>
      <c r="I8" s="2755"/>
      <c r="J8" s="2756"/>
      <c r="K8" s="1370"/>
      <c r="L8" s="2729" t="s">
        <v>2835</v>
      </c>
      <c r="M8" s="1081">
        <f>SUMPRODUCT((区片价!B206:B244=I2)*(区片价!C3:F3=E2)*(区片价!C206:F244))</f>
        <v>0</v>
      </c>
      <c r="N8" s="1083">
        <f>SUMPRODUCT((因素修正幅度!B206:B244=I2)*(因素修正幅度!C3:F3=E2)*(因素修正幅度!C206:F244))</f>
        <v>0</v>
      </c>
      <c r="O8" s="1370"/>
      <c r="P8" s="1370"/>
      <c r="Q8" s="1370"/>
      <c r="R8" s="1602">
        <v>7</v>
      </c>
      <c r="S8" s="1603"/>
      <c r="T8" s="1602">
        <f t="shared" ca="1" si="0"/>
        <v>0</v>
      </c>
      <c r="U8" s="1603"/>
      <c r="V8" s="1602">
        <f t="shared" ca="1" si="1"/>
        <v>0</v>
      </c>
      <c r="W8" s="3212" t="s">
        <v>2836</v>
      </c>
      <c r="X8" s="3213"/>
      <c r="Y8" s="1610" t="s">
        <v>2837</v>
      </c>
      <c r="Z8" s="1610" t="s">
        <v>2838</v>
      </c>
      <c r="AA8" s="1610" t="s">
        <v>2839</v>
      </c>
      <c r="AB8" s="1610" t="s">
        <v>2840</v>
      </c>
      <c r="AC8" s="1610" t="s">
        <v>2841</v>
      </c>
      <c r="AD8" s="1610" t="s">
        <v>2842</v>
      </c>
      <c r="AE8" s="1610" t="s">
        <v>2843</v>
      </c>
      <c r="AF8" s="1610" t="s">
        <v>2844</v>
      </c>
      <c r="AG8" s="1610" t="s">
        <v>2845</v>
      </c>
      <c r="AH8" s="1610" t="s">
        <v>2846</v>
      </c>
      <c r="AI8" s="1610" t="s">
        <v>2847</v>
      </c>
      <c r="AJ8" s="1610" t="s">
        <v>2848</v>
      </c>
    </row>
    <row r="9" spans="1:36" ht="15" hidden="1">
      <c r="A9" s="3220"/>
      <c r="B9" s="198" t="s">
        <v>2849</v>
      </c>
      <c r="C9" s="922">
        <f>SUMIF(修正!C59:C119,C8,修正!E59:E119)</f>
        <v>0</v>
      </c>
      <c r="D9" s="200" t="s">
        <v>140</v>
      </c>
      <c r="E9" s="200" t="e">
        <f>ROUND(C11/E7,4)</f>
        <v>#DIV/0!</v>
      </c>
      <c r="F9" s="2754" t="s">
        <v>2850</v>
      </c>
      <c r="G9" s="2755"/>
      <c r="H9" s="2755"/>
      <c r="I9" s="2755"/>
      <c r="J9" s="2756"/>
      <c r="K9" s="1370"/>
      <c r="L9" s="2729" t="s">
        <v>2851</v>
      </c>
      <c r="M9" s="1081">
        <f>SUMPRODUCT((区片价!B245:B289=I2)*(区片价!C3:F3=E2)*(区片价!C245:F289))</f>
        <v>0</v>
      </c>
      <c r="N9" s="1083">
        <f>SUMPRODUCT((因素修正幅度!B245:B289=I2)*(因素修正幅度!C3:F3=E2)*(因素修正幅度!C245:F289))</f>
        <v>0</v>
      </c>
      <c r="O9" s="1370"/>
      <c r="P9" s="1370"/>
      <c r="Q9" s="1370"/>
      <c r="R9" s="1602">
        <v>8</v>
      </c>
      <c r="S9" s="1603"/>
      <c r="T9" s="1602">
        <f t="shared" ca="1" si="0"/>
        <v>0</v>
      </c>
      <c r="U9" s="1603"/>
      <c r="V9" s="1602">
        <f t="shared" ca="1" si="1"/>
        <v>0</v>
      </c>
      <c r="W9" s="3214" t="s">
        <v>2852</v>
      </c>
      <c r="X9" s="1611" t="s">
        <v>2853</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hidden="1">
      <c r="A10" s="3220"/>
      <c r="B10" s="198" t="s">
        <v>2854</v>
      </c>
      <c r="C10" s="200">
        <f>SUMIF(修正!C59:C119,C8,修正!F59:F119)</f>
        <v>0</v>
      </c>
      <c r="D10" s="200" t="s">
        <v>141</v>
      </c>
      <c r="E10" s="200" t="e">
        <f>ROUND(C11/E7,4)</f>
        <v>#DIV/0!</v>
      </c>
      <c r="F10" s="2754" t="s">
        <v>2855</v>
      </c>
      <c r="G10" s="2755"/>
      <c r="H10" s="2755"/>
      <c r="I10" s="2755"/>
      <c r="J10" s="2756"/>
      <c r="K10" s="1370"/>
      <c r="L10" s="2729" t="s">
        <v>2856</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f t="shared" ca="1" si="0"/>
        <v>0</v>
      </c>
      <c r="U10" s="1603"/>
      <c r="V10" s="1602">
        <f t="shared" ca="1" si="1"/>
        <v>0</v>
      </c>
      <c r="W10" s="3214"/>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hidden="1" thickBot="1">
      <c r="A11" s="3220"/>
      <c r="B11" s="2757" t="s">
        <v>2857</v>
      </c>
      <c r="C11" s="923">
        <f>C10/4</f>
        <v>0</v>
      </c>
      <c r="D11" s="923" t="s">
        <v>142</v>
      </c>
      <c r="E11" s="923" t="e">
        <f>ROUND(C11/E7,4)</f>
        <v>#DIV/0!</v>
      </c>
      <c r="F11" s="2758" t="s">
        <v>2858</v>
      </c>
      <c r="G11" s="2759"/>
      <c r="H11" s="2759"/>
      <c r="I11" s="2759"/>
      <c r="J11" s="2760"/>
      <c r="K11" s="1370"/>
      <c r="L11" s="2729" t="s">
        <v>2859</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f t="shared" ca="1" si="0"/>
        <v>0</v>
      </c>
      <c r="U11" s="1603"/>
      <c r="V11" s="1602">
        <f t="shared" ca="1" si="1"/>
        <v>0</v>
      </c>
      <c r="W11" s="3214" t="s">
        <v>2860</v>
      </c>
      <c r="X11" s="1614" t="s">
        <v>2861</v>
      </c>
      <c r="Y11" s="1615">
        <f>$G$3</f>
        <v>1.47</v>
      </c>
      <c r="Z11" s="1615">
        <f t="shared" ref="Z11:AJ11" si="3">$G$3</f>
        <v>1.47</v>
      </c>
      <c r="AA11" s="1615">
        <f t="shared" si="3"/>
        <v>1.47</v>
      </c>
      <c r="AB11" s="1615">
        <f t="shared" si="3"/>
        <v>1.47</v>
      </c>
      <c r="AC11" s="1615">
        <f t="shared" si="3"/>
        <v>1.47</v>
      </c>
      <c r="AD11" s="1615">
        <f t="shared" si="3"/>
        <v>1.47</v>
      </c>
      <c r="AE11" s="1615">
        <f t="shared" si="3"/>
        <v>1.47</v>
      </c>
      <c r="AF11" s="1615">
        <f t="shared" si="3"/>
        <v>1.47</v>
      </c>
      <c r="AG11" s="1615">
        <f t="shared" si="3"/>
        <v>1.47</v>
      </c>
      <c r="AH11" s="1615">
        <f t="shared" si="3"/>
        <v>1.47</v>
      </c>
      <c r="AI11" s="1615">
        <f t="shared" si="3"/>
        <v>1.47</v>
      </c>
      <c r="AJ11" s="1615">
        <f t="shared" si="3"/>
        <v>1.47</v>
      </c>
    </row>
    <row r="12" spans="1:36" ht="25.5" hidden="1" thickBot="1">
      <c r="A12" s="3219" t="s">
        <v>2862</v>
      </c>
      <c r="B12" s="2761" t="s">
        <v>2863</v>
      </c>
      <c r="C12" s="919">
        <f>ROUND(C15*D15*E15*F15*G15*H15*I15*J15,4)</f>
        <v>1</v>
      </c>
      <c r="D12" s="2762" t="s">
        <v>2864</v>
      </c>
      <c r="E12" s="2763"/>
      <c r="F12" s="2763"/>
      <c r="G12" s="2764"/>
      <c r="H12" s="2764"/>
      <c r="I12" s="2764"/>
      <c r="J12" s="2765"/>
      <c r="K12" s="1370"/>
      <c r="L12" s="2766" t="s">
        <v>2865</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f t="shared" ca="1" si="0"/>
        <v>0</v>
      </c>
      <c r="U12" s="1603"/>
      <c r="V12" s="1602">
        <f t="shared" ca="1" si="1"/>
        <v>0</v>
      </c>
      <c r="W12" s="3214"/>
      <c r="X12" s="1616" t="s">
        <v>2866</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hidden="1">
      <c r="A13" s="3221"/>
      <c r="B13" s="2767" t="s">
        <v>2867</v>
      </c>
      <c r="C13" s="2768" t="s">
        <v>2868</v>
      </c>
      <c r="D13" s="1808" t="s">
        <v>2869</v>
      </c>
      <c r="E13" s="1808" t="s">
        <v>2870</v>
      </c>
      <c r="F13" s="30" t="s">
        <v>2871</v>
      </c>
      <c r="G13" s="2769" t="s">
        <v>2872</v>
      </c>
      <c r="H13" s="2769" t="s">
        <v>2872</v>
      </c>
      <c r="I13" s="2769" t="s">
        <v>2872</v>
      </c>
      <c r="J13" s="2770" t="s">
        <v>2872</v>
      </c>
      <c r="K13" s="1370"/>
      <c r="L13" s="1370"/>
      <c r="M13" s="1370"/>
      <c r="N13" s="1370"/>
      <c r="O13" s="1370"/>
      <c r="P13" s="1370"/>
      <c r="Q13" s="1370"/>
      <c r="R13" s="1602">
        <v>12</v>
      </c>
      <c r="S13" s="1603"/>
      <c r="T13" s="1602">
        <f t="shared" ca="1" si="0"/>
        <v>0</v>
      </c>
      <c r="U13" s="1603"/>
      <c r="V13" s="1602">
        <f t="shared" ca="1" si="1"/>
        <v>0</v>
      </c>
      <c r="W13" s="3214"/>
      <c r="X13" s="1616"/>
      <c r="Y13" s="1613">
        <f>(-0.163*(Y12^2)-0.59*Y12+7617)*(10^(-4))/Y11</f>
        <v>0.51816326530612244</v>
      </c>
      <c r="Z13" s="1613">
        <f t="shared" ref="Z13:AJ13" si="5">(-0.163*(Z12^2)-0.59*Z12+7617)*(10^(-4))/Z11</f>
        <v>0.51816326530612244</v>
      </c>
      <c r="AA13" s="1613">
        <f t="shared" si="5"/>
        <v>0.51816326530612244</v>
      </c>
      <c r="AB13" s="1613">
        <f t="shared" si="5"/>
        <v>0.51816326530612244</v>
      </c>
      <c r="AC13" s="1613">
        <f t="shared" si="5"/>
        <v>0.51816326530612244</v>
      </c>
      <c r="AD13" s="1613">
        <f t="shared" si="5"/>
        <v>0.51816326530612244</v>
      </c>
      <c r="AE13" s="1613">
        <f t="shared" si="5"/>
        <v>0.51816326530612244</v>
      </c>
      <c r="AF13" s="1613">
        <f t="shared" si="5"/>
        <v>0.51816326530612244</v>
      </c>
      <c r="AG13" s="1613">
        <f t="shared" si="5"/>
        <v>0.51816326530612244</v>
      </c>
      <c r="AH13" s="1613">
        <f t="shared" si="5"/>
        <v>0.51816326530612244</v>
      </c>
      <c r="AI13" s="1613">
        <f t="shared" si="5"/>
        <v>0.51816326530612244</v>
      </c>
      <c r="AJ13" s="1613">
        <f t="shared" si="5"/>
        <v>0.51816326530612244</v>
      </c>
    </row>
    <row r="14" spans="1:36" ht="15" hidden="1">
      <c r="A14" s="3221"/>
      <c r="B14" s="2771"/>
      <c r="C14" s="2772"/>
      <c r="D14" s="2773"/>
      <c r="E14" s="2773"/>
      <c r="F14" s="2774"/>
      <c r="G14" s="2775" t="s">
        <v>2873</v>
      </c>
      <c r="H14" s="2776"/>
      <c r="I14" s="2777"/>
      <c r="J14" s="2778"/>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5.75" hidden="1" thickBot="1">
      <c r="A15" s="3222"/>
      <c r="B15" s="2779" t="s">
        <v>2874</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6" customHeight="1">
      <c r="A16" s="3219" t="s">
        <v>2879</v>
      </c>
      <c r="B16" s="2748" t="s">
        <v>2880</v>
      </c>
      <c r="C16" s="2938">
        <f>ROUND(IF(F17="与级别开发程度一致",0,(G17-E17)/C17),0)</f>
        <v>0</v>
      </c>
      <c r="D16" s="3233" t="s">
        <v>2884</v>
      </c>
      <c r="E16" s="3234"/>
      <c r="F16" s="3233" t="s">
        <v>2881</v>
      </c>
      <c r="G16" s="3234"/>
      <c r="H16" s="2782" t="s">
        <v>3055</v>
      </c>
      <c r="I16" s="2782" t="s">
        <v>3056</v>
      </c>
      <c r="J16" s="2942" t="s">
        <v>3057</v>
      </c>
      <c r="K16" s="2782" t="s">
        <v>3058</v>
      </c>
      <c r="L16" s="2782" t="s">
        <v>3059</v>
      </c>
      <c r="M16" s="2782" t="s">
        <v>3061</v>
      </c>
      <c r="N16" s="2782" t="s">
        <v>3060</v>
      </c>
      <c r="O16" s="2783" t="s">
        <v>3174</v>
      </c>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26.25" thickBot="1">
      <c r="A17" s="3223"/>
      <c r="B17" s="2949" t="s">
        <v>2883</v>
      </c>
      <c r="C17" s="2950">
        <f>SUMPRODUCT((修正!A2:A5=E2)*(修正!B1:M1=G2)*(修正!B2:M5))</f>
        <v>1.5</v>
      </c>
      <c r="D17" s="229" t="str">
        <f>IF(OR(G2="八级",G2="九级",G2="十级",G2="十一级",G2="十二级"),"五通一平","七通一平")</f>
        <v>七通一平</v>
      </c>
      <c r="E17" s="2939">
        <f>SUMPRODUCT((修正!B1:M1=G2)*(修正!B15:M15))</f>
        <v>300</v>
      </c>
      <c r="F17" s="2940" t="s">
        <v>3175</v>
      </c>
      <c r="G17" s="2941">
        <f>SUM(H17:O17)</f>
        <v>300</v>
      </c>
      <c r="H17" s="2950">
        <f>SUMPRODUCT((七通一平=H16)*(修正!B1:M1=G2)*(修正!B6:M14))</f>
        <v>65</v>
      </c>
      <c r="I17" s="2950">
        <f>SUMPRODUCT((七通一平=I16)*(修正!B1:M1=G2)*(修正!B6:M14))</f>
        <v>55</v>
      </c>
      <c r="J17" s="2951">
        <f>SUMPRODUCT((七通一平=J16)*(修正!B1:M1=G2)*(修正!B6:M14))</f>
        <v>15</v>
      </c>
      <c r="K17" s="2950">
        <f>SUMPRODUCT((七通一平=K16)*(修正!B1:M1=G2)*(修正!B6:M14))</f>
        <v>25</v>
      </c>
      <c r="L17" s="2950">
        <f>SUMPRODUCT((七通一平=L16)*(修正!B1:M1=G2)*(修正!B6:M14))</f>
        <v>35</v>
      </c>
      <c r="M17" s="2950">
        <f>SUMPRODUCT((七通一平=M16)*(修正!B1:M1=G2)*(修正!B6:M14))</f>
        <v>50</v>
      </c>
      <c r="N17" s="2950">
        <f>SUMPRODUCT((七通一平=N16)*(修正!B1:M1=G2)*(修正!B6:M14))</f>
        <v>40</v>
      </c>
      <c r="O17" s="2952">
        <f>SUMPRODUCT((七通一平=O16)*(修正!B1:M1=G2)*(修正!B6:M14))</f>
        <v>15</v>
      </c>
      <c r="Q17" s="1370"/>
      <c r="R17" s="1370"/>
      <c r="S17" s="1370"/>
      <c r="T17" s="1370"/>
      <c r="U17" s="1370"/>
      <c r="V17" s="1370"/>
      <c r="W17" s="1370"/>
      <c r="X17" s="1370"/>
      <c r="Y17" s="1370"/>
      <c r="Z17" s="1371"/>
      <c r="AE17" s="2786"/>
      <c r="AF17" s="2786"/>
      <c r="AG17" s="2723"/>
      <c r="AH17" s="2723"/>
      <c r="AI17" s="2723"/>
      <c r="AJ17" s="2723"/>
    </row>
    <row r="18" spans="1:37" s="2741" customFormat="1" ht="15.75" thickBot="1">
      <c r="A18" s="2943" t="s">
        <v>808</v>
      </c>
      <c r="B18" s="2944" t="s">
        <v>2886</v>
      </c>
      <c r="C18" s="2945">
        <f>SUMIF(修正!C18:C39,E3,修正!E18:E39)</f>
        <v>1</v>
      </c>
      <c r="D18" s="2946"/>
      <c r="E18" s="2947"/>
      <c r="F18" s="2947"/>
      <c r="G18" s="2947"/>
      <c r="H18" s="2947"/>
      <c r="I18" s="2947"/>
      <c r="J18" s="2948"/>
      <c r="K18" s="1377"/>
      <c r="O18" s="1375"/>
      <c r="P18" s="1375"/>
      <c r="Q18" s="1376"/>
      <c r="R18" s="1376"/>
      <c r="S18" s="1376"/>
      <c r="T18" s="1371"/>
      <c r="U18" s="1371"/>
      <c r="V18" s="1371"/>
      <c r="W18" s="1370"/>
      <c r="X18" s="1370"/>
      <c r="Y18" s="1370"/>
      <c r="Z18" s="1377"/>
      <c r="AA18" s="1378"/>
      <c r="AB18" s="1378"/>
      <c r="AC18" s="1378"/>
      <c r="AD18" s="1378"/>
      <c r="AE18" s="1372"/>
      <c r="AF18" s="1372"/>
      <c r="AG18" s="2791"/>
      <c r="AH18" s="2791"/>
      <c r="AI18" s="2791"/>
    </row>
    <row r="19" spans="1:37" s="2741" customFormat="1" ht="29.25" thickBot="1">
      <c r="A19" s="2787" t="s">
        <v>809</v>
      </c>
      <c r="B19" s="2788" t="s">
        <v>2887</v>
      </c>
      <c r="C19" s="924">
        <f>ROUND(IF(H19="按公示增长率计算",SUMPRODUCT((地价!A3:A26=YEAR(G19)&amp;"-"&amp;ROUNDUP(MONTH(G19)/3,0))*(地价!X2:AB2=E2)*(地价!X3:AB26)),IF(H19="地价指数",M20/M19,(1+I19)^O19)),4)</f>
        <v>1.3405</v>
      </c>
      <c r="D19" s="2792" t="s">
        <v>2888</v>
      </c>
      <c r="E19" s="925">
        <v>41640</v>
      </c>
      <c r="F19" s="2792" t="s">
        <v>2889</v>
      </c>
      <c r="G19" s="926">
        <f>'数据-取费表'!B2</f>
        <v>43592</v>
      </c>
      <c r="H19" s="2793" t="s">
        <v>3180</v>
      </c>
      <c r="I19" s="927" t="str">
        <f>IF(H19="季度增幅（自定义）",SUMIF(N21:N24,E2,O21:O24),"")</f>
        <v/>
      </c>
      <c r="J19" s="2790"/>
      <c r="K19" s="1377"/>
      <c r="L19" s="2794" t="s">
        <v>2890</v>
      </c>
      <c r="M19" s="1734">
        <f>ROUND(SUMIF(地价!B2:F2,E2,地价!B26:F26),0)</f>
        <v>230</v>
      </c>
      <c r="N19" s="2795" t="s">
        <v>2891</v>
      </c>
      <c r="O19" s="928">
        <f>ROUNDDOWN(DATEDIF(E19,G19,"M")/3,0)</f>
        <v>21</v>
      </c>
      <c r="P19" s="1374"/>
      <c r="Q19" s="1376"/>
      <c r="R19" s="1376"/>
      <c r="S19" s="1376"/>
      <c r="T19" s="1371"/>
      <c r="U19" s="1371"/>
      <c r="V19" s="1371"/>
      <c r="W19" s="1370"/>
      <c r="X19" s="1370"/>
      <c r="Y19" s="1370"/>
      <c r="Z19" s="1377"/>
      <c r="AA19" s="1378"/>
      <c r="AB19" s="1378"/>
      <c r="AC19" s="1378"/>
      <c r="AD19" s="1378"/>
      <c r="AE19" s="1378"/>
      <c r="AF19" s="2796"/>
      <c r="AG19" s="2797"/>
      <c r="AH19" s="2791"/>
      <c r="AI19" s="2798"/>
      <c r="AJ19" s="2798"/>
      <c r="AK19" s="2798"/>
    </row>
    <row r="20" spans="1:37" s="2741" customFormat="1" ht="27.75" thickBot="1">
      <c r="A20" s="2799" t="s">
        <v>810</v>
      </c>
      <c r="B20" s="2800" t="s">
        <v>2892</v>
      </c>
      <c r="C20" s="929">
        <f ca="1">ROUND(POWER(1+G20,J20-I20)*(POWER(1+G20,I20)-1)/(POWER(1+G20,J20)-1),4)</f>
        <v>0.80689999999999995</v>
      </c>
      <c r="D20" s="2801" t="s">
        <v>2893</v>
      </c>
      <c r="E20" s="1768">
        <f ca="1">存贷款利率!D4/100</f>
        <v>4.3499999999999997E-2</v>
      </c>
      <c r="F20" s="2801" t="s">
        <v>2885</v>
      </c>
      <c r="G20" s="934">
        <f ca="1">SUMIF(M26:P26,E2,M28:P28)</f>
        <v>4.8000000000000001E-2</v>
      </c>
      <c r="H20" s="2801" t="s">
        <v>2894</v>
      </c>
      <c r="I20" s="935">
        <f>SUMIF('数据-取费表'!C6:C15,E2,'数据-取费表'!F6:F15)/COUNTIF('数据-取费表'!C6:C15,E2)</f>
        <v>27.89</v>
      </c>
      <c r="J20" s="936">
        <f>IF(E2="住宅",70,IF(E2="商业",40,50))</f>
        <v>50</v>
      </c>
      <c r="K20" s="1377"/>
      <c r="L20" s="2802" t="s">
        <v>2895</v>
      </c>
      <c r="M20" s="1735">
        <f>ROUND(SUMPRODUCT((地价!A4:A26=YEAR(G19)&amp;"-"&amp;ROUNDUP(MONTH(G19)/3,0))*(地价!B2:F2=E2)*(地价!B4:F26)),0)</f>
        <v>308</v>
      </c>
      <c r="N20" s="2803" t="s">
        <v>2896</v>
      </c>
      <c r="O20" s="2804" t="s">
        <v>2897</v>
      </c>
      <c r="P20" s="2805" t="s">
        <v>2898</v>
      </c>
      <c r="R20" s="1376"/>
      <c r="S20" s="1376"/>
      <c r="T20" s="1371"/>
      <c r="U20" s="1371"/>
      <c r="V20" s="1371"/>
      <c r="W20" s="1370"/>
      <c r="X20" s="1370"/>
      <c r="Y20" s="1370"/>
      <c r="Z20" s="1377"/>
      <c r="AA20" s="1378"/>
      <c r="AB20" s="1378"/>
      <c r="AC20" s="1378"/>
      <c r="AD20" s="1378"/>
      <c r="AE20" s="1378"/>
      <c r="AF20" s="1378"/>
    </row>
    <row r="21" spans="1:37" s="2741" customFormat="1" ht="15">
      <c r="A21" s="2806" t="s">
        <v>811</v>
      </c>
      <c r="B21" s="2807" t="s">
        <v>3176</v>
      </c>
      <c r="C21" s="937">
        <f>IF(B21="容积率修正",IF(G3&lt;=10,D22,J22),C23)</f>
        <v>1.0082</v>
      </c>
      <c r="D21" s="2808"/>
      <c r="E21" s="2808"/>
      <c r="F21" s="2808"/>
      <c r="G21" s="2808"/>
      <c r="H21" s="2808"/>
      <c r="I21" s="2808"/>
      <c r="J21" s="2809"/>
      <c r="K21" s="1377"/>
      <c r="N21" s="2810" t="s">
        <v>2899</v>
      </c>
      <c r="O21" s="1561"/>
      <c r="P21" s="1562">
        <f>SUMPRODUCT((地价!A3:A26=YEAR(G19)&amp;"-"&amp;ROUNDUP(MONTH(G19)/3,0))*(地价!AD2:AH2=N21)*(地价!AD3:AH26))</f>
        <v>1.46E-2</v>
      </c>
      <c r="R21" s="1376"/>
      <c r="S21" s="1376"/>
      <c r="T21" s="1371"/>
      <c r="U21" s="1371"/>
      <c r="V21" s="1371"/>
      <c r="W21" s="1370"/>
      <c r="X21" s="1370"/>
      <c r="Y21" s="1370"/>
      <c r="Z21" s="1377"/>
      <c r="AA21" s="1378"/>
      <c r="AB21" s="1378"/>
      <c r="AC21" s="1378"/>
      <c r="AD21" s="1378"/>
      <c r="AE21" s="1378"/>
      <c r="AF21" s="1378"/>
    </row>
    <row r="22" spans="1:37" s="2741" customFormat="1" ht="14.25">
      <c r="A22" s="2667" t="s">
        <v>2900</v>
      </c>
      <c r="B22" s="2811" t="s">
        <v>2901</v>
      </c>
      <c r="C22" s="1810" t="s">
        <v>2902</v>
      </c>
      <c r="D22" s="1810">
        <f>IF(E22=G22,F22,IF(G3&lt;=10,ROUND(F22+(H22-F22)*(G3-E22)/(G22-E22),4),"——"))</f>
        <v>1.0082</v>
      </c>
      <c r="E22" s="916">
        <f>ROUNDDOWN(G3,1)</f>
        <v>1.4</v>
      </c>
      <c r="F22" s="181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1.0271999999999999</v>
      </c>
      <c r="G22" s="916">
        <f>ROUNDUP(G3,1)</f>
        <v>1.5</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10" t="s">
        <v>155</v>
      </c>
      <c r="J22" s="938" t="str">
        <f>IF(G3&gt;10,D113,"——")</f>
        <v>——</v>
      </c>
      <c r="K22" s="1377"/>
      <c r="N22" s="2810" t="s">
        <v>2903</v>
      </c>
      <c r="O22" s="1561"/>
      <c r="P22" s="1562">
        <f>SUMPRODUCT((地价!A3:A26=YEAR(G19)&amp;"-"&amp;ROUNDUP(MONTH(G19)/3,0))*(地价!AD2:AH2=N22)*(地价!AD3:AH26))</f>
        <v>1.46E-2</v>
      </c>
      <c r="R22" s="1376"/>
      <c r="S22" s="1376"/>
      <c r="T22" s="1371"/>
      <c r="U22" s="1371"/>
      <c r="V22" s="1371"/>
      <c r="W22" s="1370"/>
      <c r="X22" s="1370"/>
      <c r="Y22" s="1370"/>
      <c r="Z22" s="1377"/>
      <c r="AA22" s="1378"/>
      <c r="AB22" s="1378"/>
      <c r="AC22" s="1378"/>
      <c r="AD22" s="1378"/>
      <c r="AE22" s="1378"/>
      <c r="AF22" s="1378"/>
    </row>
    <row r="23" spans="1:37" ht="27.75" thickBot="1">
      <c r="A23" s="2667" t="s">
        <v>2904</v>
      </c>
      <c r="B23" s="2812" t="s">
        <v>2905</v>
      </c>
      <c r="C23" s="1013">
        <f>ROUND(IF(G3&gt;1,IF(I3&lt;7,SUMPRODUCT((B93:B98=I3)*(C92:N92=G2)*(C93:N98)),SUMIF(C92:N92,G2,C100:N100)),IF(I3&lt;7,SUMPRODUCT((B102:B107=I3)*(C92:N92=G2)*(C102:N107)),SUMIF(C92:N92,G2,C109:N109))),4)</f>
        <v>0</v>
      </c>
      <c r="D23" s="2776"/>
      <c r="E23" s="2776"/>
      <c r="F23" s="2813"/>
      <c r="G23" s="2814"/>
      <c r="H23" s="2815"/>
      <c r="I23" s="2816"/>
      <c r="J23" s="2817"/>
      <c r="K23" s="1370"/>
      <c r="N23" s="2810" t="s">
        <v>2906</v>
      </c>
      <c r="O23" s="1561"/>
      <c r="P23" s="1562">
        <f>SUMPRODUCT((地价!A3:A26=YEAR(G19)&amp;"-"&amp;ROUNDUP(MONTH(G19)/3,0))*(地价!AD2:AH2=N23)*(地价!AD3:AH26))</f>
        <v>2.2599999999999999E-2</v>
      </c>
      <c r="R23" s="1376"/>
      <c r="S23" s="1376"/>
      <c r="T23" s="1371"/>
      <c r="U23" s="1371"/>
      <c r="V23" s="1371"/>
      <c r="W23" s="1370"/>
      <c r="X23" s="1370"/>
      <c r="Y23" s="1370"/>
      <c r="Z23" s="1377"/>
      <c r="AA23" s="1378"/>
      <c r="AB23" s="1378"/>
      <c r="AC23" s="1378"/>
      <c r="AD23" s="1378"/>
      <c r="AK23" s="2791"/>
    </row>
    <row r="24" spans="1:37" s="2741" customFormat="1" ht="15.75" thickBot="1">
      <c r="A24" s="2799" t="s">
        <v>812</v>
      </c>
      <c r="B24" s="2788" t="s">
        <v>2907</v>
      </c>
      <c r="C24" s="924">
        <f>SUMIF(A45:A88,E2,B45:B88)</f>
        <v>1.0165</v>
      </c>
      <c r="D24" s="2789"/>
      <c r="E24" s="2818"/>
      <c r="F24" s="2818"/>
      <c r="G24" s="2818"/>
      <c r="H24" s="2818"/>
      <c r="I24" s="2818"/>
      <c r="J24" s="2819"/>
      <c r="K24" s="1377"/>
      <c r="N24" s="2820" t="s">
        <v>2908</v>
      </c>
      <c r="O24" s="1563"/>
      <c r="P24" s="1564">
        <f>SUMPRODUCT((地价!A3:A26=YEAR(G19)&amp;"-"&amp;ROUNDUP(MONTH(G19)/3,0))*(地价!AD2:AH2=N24)*(地价!AD3:AH26))</f>
        <v>1.4E-2</v>
      </c>
      <c r="R24" s="1376"/>
      <c r="S24" s="1376"/>
      <c r="T24" s="1371"/>
      <c r="U24" s="1371"/>
      <c r="V24" s="1371"/>
      <c r="W24" s="1370"/>
      <c r="X24" s="1370"/>
      <c r="Y24" s="1370"/>
      <c r="Z24" s="1377"/>
      <c r="AA24" s="1378"/>
      <c r="AB24" s="1378"/>
      <c r="AC24" s="1378"/>
      <c r="AD24" s="1378"/>
      <c r="AE24" s="1378"/>
      <c r="AF24" s="1378"/>
    </row>
    <row r="25" spans="1:37" ht="15.75" thickBot="1">
      <c r="A25" s="2799" t="s">
        <v>813</v>
      </c>
      <c r="B25" s="2821" t="s">
        <v>2909</v>
      </c>
      <c r="C25" s="930"/>
      <c r="D25" s="2751"/>
      <c r="E25" s="2751"/>
      <c r="F25" s="2822"/>
      <c r="G25" s="2751"/>
      <c r="H25" s="2751"/>
      <c r="I25" s="2751"/>
      <c r="J25" s="2752"/>
      <c r="K25" s="1370"/>
      <c r="N25" s="2823" t="s">
        <v>2910</v>
      </c>
      <c r="O25" s="1565"/>
      <c r="P25" s="1564">
        <f>SUMPRODUCT((地价!A3:A26=YEAR(G19)&amp;"-"&amp;ROUNDUP(MONTH(G19)/3,0))*(地价!AD2:AH2=N25)*(地价!AD3:AH26))</f>
        <v>2.06E-2</v>
      </c>
      <c r="R25" s="1376"/>
      <c r="S25" s="1376"/>
      <c r="T25" s="1371"/>
      <c r="U25" s="1371"/>
      <c r="V25" s="1371"/>
      <c r="W25" s="1370"/>
      <c r="X25" s="1370"/>
      <c r="Y25" s="1370"/>
      <c r="Z25" s="1377"/>
      <c r="AA25" s="1378"/>
      <c r="AB25" s="1378"/>
      <c r="AC25" s="1378"/>
      <c r="AD25" s="1378"/>
    </row>
    <row r="26" spans="1:37" ht="15">
      <c r="A26" s="2824"/>
      <c r="B26" s="2811" t="s">
        <v>2911</v>
      </c>
      <c r="C26" s="206">
        <f ca="1">E29+SUM(E33:E39)</f>
        <v>19662</v>
      </c>
      <c r="D26" s="2825"/>
      <c r="E26" s="2776"/>
      <c r="F26" s="2826"/>
      <c r="G26" s="2776"/>
      <c r="H26" s="2776"/>
      <c r="I26" s="2776"/>
      <c r="J26" s="2827"/>
      <c r="K26" s="1370"/>
      <c r="L26" s="2780" t="s">
        <v>2810</v>
      </c>
      <c r="M26" s="920" t="s">
        <v>2875</v>
      </c>
      <c r="N26" s="920" t="s">
        <v>2876</v>
      </c>
      <c r="O26" s="920" t="s">
        <v>2877</v>
      </c>
      <c r="P26" s="2781" t="s">
        <v>2878</v>
      </c>
      <c r="R26" s="1376"/>
      <c r="S26" s="1376"/>
      <c r="T26" s="1371"/>
      <c r="U26" s="1371"/>
      <c r="V26" s="1371"/>
      <c r="W26" s="1370"/>
      <c r="X26" s="1370"/>
      <c r="Y26" s="1370"/>
      <c r="Z26" s="1377"/>
      <c r="AA26" s="1378"/>
      <c r="AB26" s="1378"/>
      <c r="AC26" s="1378"/>
      <c r="AD26" s="1378"/>
    </row>
    <row r="27" spans="1:37" ht="15.75" thickBot="1">
      <c r="A27" s="2824"/>
      <c r="B27" s="2828" t="s">
        <v>2912</v>
      </c>
      <c r="C27" s="931">
        <f ca="1">E30+SUM(I33:I39)</f>
        <v>0</v>
      </c>
      <c r="D27" s="2829"/>
      <c r="E27" s="2830"/>
      <c r="F27" s="2831"/>
      <c r="G27" s="2830"/>
      <c r="H27" s="2830"/>
      <c r="I27" s="2830"/>
      <c r="J27" s="2832"/>
      <c r="K27" s="1370"/>
      <c r="L27" s="2784" t="s">
        <v>2882</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33"/>
      <c r="B28" s="2834" t="s">
        <v>2913</v>
      </c>
      <c r="C28" s="2835" t="s">
        <v>2914</v>
      </c>
      <c r="D28" s="2835" t="s">
        <v>2915</v>
      </c>
      <c r="E28" s="2836" t="s">
        <v>2916</v>
      </c>
      <c r="F28" s="2837"/>
      <c r="G28" s="2764"/>
      <c r="H28" s="2764"/>
      <c r="I28" s="2764"/>
      <c r="J28" s="2765"/>
      <c r="K28" s="1370"/>
      <c r="L28" s="2785" t="s">
        <v>2885</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38"/>
      <c r="B29" s="2839" t="s">
        <v>2917</v>
      </c>
      <c r="C29" s="206">
        <f ca="1">ROUND(C5*C18*C19*C20*C21*C24,0)</f>
        <v>7228</v>
      </c>
      <c r="D29" s="2840">
        <f>'数据-汇总表'!E3</f>
        <v>27202.3</v>
      </c>
      <c r="E29" s="942">
        <f ca="1">ROUND(C29*D29/10000,0)</f>
        <v>19662</v>
      </c>
      <c r="F29" s="2841" t="s">
        <v>2918</v>
      </c>
      <c r="G29" s="2842"/>
      <c r="H29" s="2842"/>
      <c r="I29" s="2842"/>
      <c r="J29" s="2843"/>
      <c r="K29" s="1370"/>
      <c r="L29" s="1370"/>
      <c r="M29" s="1370"/>
      <c r="N29" s="1370"/>
      <c r="O29" s="1375"/>
      <c r="P29" s="1375"/>
      <c r="Q29" s="1376"/>
      <c r="R29" s="1376"/>
      <c r="S29" s="1376"/>
      <c r="T29" s="1371"/>
      <c r="U29" s="1371"/>
      <c r="V29" s="1371"/>
      <c r="W29" s="1370"/>
      <c r="X29" s="1370"/>
      <c r="Y29" s="1370"/>
      <c r="Z29" s="1377"/>
      <c r="AA29" s="1378"/>
      <c r="AB29" s="1378"/>
      <c r="AC29" s="1378"/>
      <c r="AD29" s="1378"/>
      <c r="AE29" s="2786"/>
      <c r="AF29" s="2786"/>
      <c r="AG29" s="2723"/>
      <c r="AH29" s="2723"/>
      <c r="AI29" s="2723"/>
      <c r="AJ29" s="2723"/>
    </row>
    <row r="30" spans="1:37" ht="25.5" thickBot="1">
      <c r="A30" s="2844"/>
      <c r="B30" s="2845" t="s">
        <v>2919</v>
      </c>
      <c r="C30" s="229">
        <f ca="1">ROUND(IF(E2="工业",C29*M39,C29*M38),0)</f>
        <v>1084</v>
      </c>
      <c r="D30" s="2846"/>
      <c r="E30" s="942">
        <f ca="1">ROUND(C30*D30/10000,0)</f>
        <v>0</v>
      </c>
      <c r="F30" s="2847" t="s">
        <v>2920</v>
      </c>
      <c r="G30" s="2848"/>
      <c r="H30" s="2848"/>
      <c r="I30" s="2848"/>
      <c r="J30" s="2849"/>
      <c r="K30" s="1370"/>
      <c r="L30" s="1370"/>
      <c r="M30" s="1370"/>
      <c r="N30" s="1370"/>
      <c r="O30" s="1375"/>
      <c r="P30" s="1375"/>
      <c r="Q30" s="1376"/>
      <c r="R30" s="1376"/>
      <c r="S30" s="1376"/>
      <c r="T30" s="1371"/>
      <c r="U30" s="1371"/>
      <c r="V30" s="1371"/>
      <c r="W30" s="1370"/>
      <c r="X30" s="1370"/>
      <c r="Y30" s="1370"/>
      <c r="Z30" s="1377"/>
      <c r="AA30" s="1378"/>
      <c r="AB30" s="1378"/>
      <c r="AC30" s="1378"/>
      <c r="AD30" s="1378"/>
      <c r="AE30" s="2786"/>
      <c r="AF30" s="2786"/>
      <c r="AG30" s="2723"/>
      <c r="AH30" s="2723"/>
      <c r="AI30" s="2723"/>
      <c r="AJ30" s="2723"/>
    </row>
    <row r="31" spans="1:37" ht="14.25" hidden="1">
      <c r="A31" s="2850"/>
      <c r="B31" s="2851" t="s">
        <v>2921</v>
      </c>
      <c r="C31" s="2852" t="s">
        <v>2922</v>
      </c>
      <c r="D31" s="2764"/>
      <c r="E31" s="2852"/>
      <c r="F31" s="2852"/>
      <c r="G31" s="2762" t="s">
        <v>2923</v>
      </c>
      <c r="H31" s="2764"/>
      <c r="I31" s="2853"/>
      <c r="J31" s="2765"/>
      <c r="K31" s="1370"/>
      <c r="L31" s="1370"/>
      <c r="M31" s="1370"/>
      <c r="N31" s="1370"/>
      <c r="O31" s="1375"/>
      <c r="P31" s="1375"/>
      <c r="Q31" s="1376"/>
      <c r="R31" s="1376"/>
      <c r="S31" s="1376"/>
      <c r="T31" s="1371"/>
      <c r="U31" s="1371"/>
      <c r="V31" s="1371"/>
      <c r="W31" s="1370"/>
      <c r="X31" s="1370"/>
      <c r="Y31" s="1370"/>
      <c r="Z31" s="1377"/>
      <c r="AA31" s="1378"/>
      <c r="AB31" s="1378"/>
      <c r="AC31" s="1378"/>
      <c r="AD31" s="1378"/>
      <c r="AE31" s="2786"/>
      <c r="AF31" s="2786"/>
      <c r="AG31" s="2723"/>
      <c r="AH31" s="2723"/>
      <c r="AI31" s="2723"/>
      <c r="AJ31" s="2723"/>
    </row>
    <row r="32" spans="1:37" ht="24" hidden="1">
      <c r="A32" s="2838"/>
      <c r="B32" s="2854"/>
      <c r="C32" s="501" t="s">
        <v>2914</v>
      </c>
      <c r="D32" s="498" t="s">
        <v>2915</v>
      </c>
      <c r="E32" s="498" t="s">
        <v>2916</v>
      </c>
      <c r="F32" s="388" t="s">
        <v>2924</v>
      </c>
      <c r="G32" s="2855" t="s">
        <v>2914</v>
      </c>
      <c r="H32" s="2855" t="s">
        <v>2915</v>
      </c>
      <c r="I32" s="2855" t="s">
        <v>2916</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86"/>
      <c r="AF32" s="2786"/>
      <c r="AG32" s="2723"/>
      <c r="AH32" s="2723"/>
      <c r="AI32" s="2723"/>
      <c r="AJ32" s="2723"/>
    </row>
    <row r="33" spans="1:37" ht="36" hidden="1" customHeight="1">
      <c r="A33" s="3230" t="s">
        <v>2925</v>
      </c>
      <c r="B33" s="2856" t="s">
        <v>2926</v>
      </c>
      <c r="C33" s="206">
        <f ca="1">ROUND(D5*C19*C20*C24*F33,0)</f>
        <v>5018</v>
      </c>
      <c r="D33" s="2840"/>
      <c r="E33" s="200">
        <f ca="1">ROUND(C33*D33/10000,0)</f>
        <v>0</v>
      </c>
      <c r="F33" s="200">
        <f>SUMIF(修正!A45:A56,G2,修正!B45:B56)</f>
        <v>0.7</v>
      </c>
      <c r="G33" s="200">
        <f t="shared" ref="G33" ca="1" si="6">ROUND(IF(E2="工业",C33*$M$39,C33*$M$38),0)</f>
        <v>753</v>
      </c>
      <c r="H33" s="200">
        <f>D33</f>
        <v>0</v>
      </c>
      <c r="I33" s="200">
        <f ca="1">ROUND(G33*H33/10000,0)</f>
        <v>0</v>
      </c>
      <c r="J33" s="2857"/>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hidden="1">
      <c r="A34" s="3231"/>
      <c r="B34" s="2768" t="s">
        <v>2927</v>
      </c>
      <c r="C34" s="206">
        <f ca="1">ROUND(D5*C19*C20*C24*F34,0)</f>
        <v>2867</v>
      </c>
      <c r="D34" s="2840"/>
      <c r="E34" s="200">
        <f t="shared" ref="E34:E39" ca="1" si="7">ROUND(C34*D34/10000,0)</f>
        <v>0</v>
      </c>
      <c r="F34" s="200">
        <f>SUMIF(修正!A45:A56,G2,修正!C45:C56)</f>
        <v>0.4</v>
      </c>
      <c r="G34" s="200">
        <f ca="1">ROUND(IF(E2="工业",C34*$M$39,C34*$M$38),0)</f>
        <v>430</v>
      </c>
      <c r="H34" s="200">
        <f t="shared" ref="H34:H39" si="8">D34</f>
        <v>0</v>
      </c>
      <c r="I34" s="200">
        <f t="shared" ref="I34:I39" ca="1" si="9">ROUND(G34*H34/10000,0)</f>
        <v>0</v>
      </c>
      <c r="J34" s="2857"/>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hidden="1">
      <c r="A35" s="3231"/>
      <c r="B35" s="2768" t="s">
        <v>2928</v>
      </c>
      <c r="C35" s="206">
        <f ca="1">ROUND(D5*C19*C20*C24*F35,0)</f>
        <v>2007</v>
      </c>
      <c r="D35" s="2840"/>
      <c r="E35" s="200">
        <f t="shared" ca="1" si="7"/>
        <v>0</v>
      </c>
      <c r="F35" s="200">
        <f>SUMIF(修正!A45:A56,G2,修正!D45:D56)</f>
        <v>0.28000000000000003</v>
      </c>
      <c r="G35" s="200">
        <f ca="1">ROUND(IF(E2="工业",C35*$M$39,C35*$M$38),0)</f>
        <v>301</v>
      </c>
      <c r="H35" s="200">
        <f t="shared" si="8"/>
        <v>0</v>
      </c>
      <c r="I35" s="200">
        <f t="shared" ca="1" si="9"/>
        <v>0</v>
      </c>
      <c r="J35" s="2857"/>
      <c r="K35" s="1370"/>
      <c r="L35" s="1370"/>
      <c r="M35" s="1370"/>
      <c r="N35" s="1370"/>
      <c r="O35" s="1370"/>
      <c r="P35" s="1370"/>
      <c r="Q35" s="1370"/>
      <c r="R35" s="1370"/>
      <c r="S35" s="1370"/>
      <c r="T35" s="1370"/>
      <c r="U35" s="1370"/>
      <c r="V35" s="1370"/>
      <c r="W35" s="1370"/>
      <c r="X35" s="1370"/>
      <c r="Y35" s="1370"/>
      <c r="Z35" s="1371"/>
    </row>
    <row r="36" spans="1:37" ht="13.5" hidden="1" thickBot="1">
      <c r="A36" s="3232"/>
      <c r="B36" s="2768" t="s">
        <v>2929</v>
      </c>
      <c r="C36" s="206">
        <f ca="1">ROUND(D5*C19*C20*C24*F36,0)</f>
        <v>1792</v>
      </c>
      <c r="D36" s="2840"/>
      <c r="E36" s="200">
        <f t="shared" ca="1" si="7"/>
        <v>0</v>
      </c>
      <c r="F36" s="200">
        <f>SUMIF(修正!A45:A56,G2,修正!E45:E56)</f>
        <v>0.25</v>
      </c>
      <c r="G36" s="200">
        <f ca="1">ROUND(IF(E2="工业",C36*$M$39,C36*$M$38),0)</f>
        <v>269</v>
      </c>
      <c r="H36" s="200">
        <f t="shared" si="8"/>
        <v>0</v>
      </c>
      <c r="I36" s="200">
        <f t="shared" ca="1" si="9"/>
        <v>0</v>
      </c>
      <c r="J36" s="2857"/>
      <c r="K36" s="1370"/>
      <c r="L36" s="2722"/>
      <c r="M36" s="2722"/>
      <c r="N36" s="1370"/>
      <c r="O36" s="1370"/>
      <c r="P36" s="1370"/>
      <c r="Q36" s="1370"/>
      <c r="R36" s="1370"/>
      <c r="S36" s="1370"/>
      <c r="T36" s="1370"/>
      <c r="U36" s="1370"/>
      <c r="V36" s="1370"/>
      <c r="W36" s="1370"/>
      <c r="X36" s="1370"/>
      <c r="Y36" s="1370"/>
      <c r="Z36" s="1371"/>
    </row>
    <row r="37" spans="1:37" hidden="1">
      <c r="A37" s="2858"/>
      <c r="B37" s="2768" t="s">
        <v>2930</v>
      </c>
      <c r="C37" s="200">
        <f ca="1">ROUND(D5*C19*C20*C24*F37,0)</f>
        <v>1792</v>
      </c>
      <c r="D37" s="2840"/>
      <c r="E37" s="200">
        <f t="shared" ca="1" si="7"/>
        <v>0</v>
      </c>
      <c r="F37" s="206">
        <f>SUMIF(修正!A45:A56,G2,修正!F45:F56)</f>
        <v>0.25</v>
      </c>
      <c r="G37" s="200">
        <f ca="1">ROUND(IF(E2="工业",C37*$M$39,C37*$M$38),0)</f>
        <v>269</v>
      </c>
      <c r="H37" s="200">
        <f t="shared" si="8"/>
        <v>0</v>
      </c>
      <c r="I37" s="200">
        <f t="shared" ca="1" si="9"/>
        <v>0</v>
      </c>
      <c r="J37" s="2857"/>
      <c r="K37" s="1370"/>
      <c r="L37" s="2859" t="s">
        <v>2931</v>
      </c>
      <c r="M37" s="2860"/>
      <c r="N37" s="1370"/>
      <c r="O37" s="1370"/>
      <c r="P37" s="1370"/>
      <c r="Q37" s="1370"/>
      <c r="R37" s="1370"/>
      <c r="S37" s="1370"/>
      <c r="T37" s="1370"/>
      <c r="U37" s="1370"/>
      <c r="V37" s="1370"/>
      <c r="W37" s="1370"/>
      <c r="X37" s="1370"/>
      <c r="Y37" s="1370"/>
      <c r="Z37" s="1371"/>
    </row>
    <row r="38" spans="1:37" hidden="1">
      <c r="A38" s="2858"/>
      <c r="B38" s="2768" t="s">
        <v>2932</v>
      </c>
      <c r="C38" s="200">
        <f ca="1">ROUND(D5*C19*C41*C24*F38,0)</f>
        <v>1792</v>
      </c>
      <c r="D38" s="2840"/>
      <c r="E38" s="200">
        <f t="shared" ca="1" si="7"/>
        <v>0</v>
      </c>
      <c r="F38" s="206">
        <f>SUMIF(修正!A45:A56,G2,修正!G45:G56)</f>
        <v>0.25</v>
      </c>
      <c r="G38" s="200">
        <f ca="1">ROUND(IF(E2="工业",C38*$M$39,C38*$M$38),0)</f>
        <v>269</v>
      </c>
      <c r="H38" s="200">
        <f t="shared" si="8"/>
        <v>0</v>
      </c>
      <c r="I38" s="200">
        <f t="shared" ca="1" si="9"/>
        <v>0</v>
      </c>
      <c r="J38" s="2857"/>
      <c r="K38" s="1370"/>
      <c r="L38" s="1887" t="s">
        <v>2933</v>
      </c>
      <c r="M38" s="2861">
        <v>0.25</v>
      </c>
      <c r="N38" s="1370"/>
      <c r="O38" s="1370"/>
      <c r="P38" s="1370"/>
      <c r="Q38" s="1370"/>
      <c r="R38" s="1370"/>
      <c r="S38" s="1370"/>
      <c r="T38" s="1370"/>
      <c r="U38" s="1370"/>
      <c r="V38" s="1370"/>
      <c r="W38" s="1370"/>
      <c r="X38" s="1370"/>
      <c r="Y38" s="1370"/>
      <c r="Z38" s="1371"/>
    </row>
    <row r="39" spans="1:37" ht="13.5" hidden="1" thickBot="1">
      <c r="A39" s="2844"/>
      <c r="B39" s="2862" t="s">
        <v>2934</v>
      </c>
      <c r="C39" s="229">
        <f ca="1">ROUND(D5*C19*C41*C24*F39,0)</f>
        <v>1434</v>
      </c>
      <c r="D39" s="2846"/>
      <c r="E39" s="229">
        <f t="shared" ca="1" si="7"/>
        <v>0</v>
      </c>
      <c r="F39" s="932">
        <f>SUMIF(修正!A45:A56,G2,修正!H45:H56)</f>
        <v>0.2</v>
      </c>
      <c r="G39" s="229">
        <f ca="1">ROUND(IF(E2="工业",C39*$M$39,C39*$M$38),0)</f>
        <v>215</v>
      </c>
      <c r="H39" s="229">
        <f t="shared" si="8"/>
        <v>0</v>
      </c>
      <c r="I39" s="229">
        <f t="shared" ca="1" si="9"/>
        <v>0</v>
      </c>
      <c r="J39" s="2863"/>
      <c r="K39" s="1370"/>
      <c r="L39" s="2864" t="s">
        <v>2878</v>
      </c>
      <c r="M39" s="2865">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ht="27" customHeight="1">
      <c r="A41" s="1371"/>
      <c r="B41" s="2933" t="s">
        <v>3045</v>
      </c>
      <c r="C41" s="388">
        <f ca="1">ROUND(POWER(1+E41,H41-G41)*(POWER(1+E41,G41)-1)/(POWER(1+E41,H41)-1),4)</f>
        <v>0.80689999999999995</v>
      </c>
      <c r="D41" s="200" t="s">
        <v>2885</v>
      </c>
      <c r="E41" s="2932">
        <f ca="1">G20</f>
        <v>4.8000000000000001E-2</v>
      </c>
      <c r="F41" s="200" t="s">
        <v>2894</v>
      </c>
      <c r="G41" s="218">
        <f>项目基本情况!I15</f>
        <v>27.89</v>
      </c>
      <c r="H41" s="200">
        <v>50</v>
      </c>
      <c r="Z41" s="1371"/>
      <c r="AA41" s="1371"/>
      <c r="AB41" s="1371"/>
      <c r="AC41" s="1371"/>
      <c r="AD41" s="1371"/>
      <c r="AE41" s="1371"/>
      <c r="AF41" s="1371"/>
      <c r="AG41" s="1371"/>
      <c r="AH41" s="1371"/>
      <c r="AI41" s="1371"/>
      <c r="AJ41" s="1371"/>
    </row>
    <row r="42" spans="1:37" s="1370" customFormat="1">
      <c r="A42" s="1371"/>
      <c r="B42" s="2866"/>
      <c r="Z42" s="1371"/>
      <c r="AA42" s="1371"/>
      <c r="AB42" s="1371"/>
      <c r="AC42" s="1371"/>
      <c r="AD42" s="1371"/>
      <c r="AE42" s="1371"/>
      <c r="AF42" s="1371"/>
      <c r="AG42" s="1371"/>
      <c r="AH42" s="1371"/>
      <c r="AI42" s="1371"/>
      <c r="AJ42" s="1371"/>
    </row>
    <row r="43" spans="1:37" s="1370" customFormat="1">
      <c r="A43" s="1371"/>
      <c r="B43" s="2866"/>
      <c r="Z43" s="1371"/>
      <c r="AA43" s="1371"/>
      <c r="AB43" s="1371"/>
      <c r="AC43" s="1371"/>
      <c r="AD43" s="1371"/>
      <c r="AE43" s="1371"/>
      <c r="AF43" s="1371"/>
      <c r="AG43" s="1371"/>
      <c r="AH43" s="1371"/>
      <c r="AI43" s="1371"/>
      <c r="AJ43" s="1371"/>
    </row>
    <row r="44" spans="1:37" s="1370" customFormat="1">
      <c r="A44" s="1371"/>
      <c r="B44" s="2866"/>
      <c r="Z44" s="1371"/>
      <c r="AA44" s="1371"/>
      <c r="AB44" s="1371"/>
      <c r="AC44" s="1371"/>
      <c r="AD44" s="1371"/>
      <c r="AE44" s="1371"/>
      <c r="AF44" s="1371"/>
      <c r="AG44" s="1371"/>
      <c r="AH44" s="1371"/>
      <c r="AI44" s="1371"/>
      <c r="AJ44" s="1371"/>
    </row>
    <row r="45" spans="1:37" s="1370" customFormat="1" ht="15.75" thickBot="1">
      <c r="A45" s="2867" t="s">
        <v>2935</v>
      </c>
      <c r="B45" s="2868"/>
      <c r="C45" s="7"/>
      <c r="D45" s="7"/>
      <c r="E45" s="7"/>
      <c r="F45" s="6"/>
      <c r="G45" s="6"/>
      <c r="H45" s="6"/>
      <c r="I45" s="7"/>
      <c r="J45" s="7"/>
      <c r="K45" s="7"/>
      <c r="L45" s="7"/>
      <c r="M45" s="7"/>
      <c r="N45" s="2786"/>
      <c r="Z45" s="1371"/>
      <c r="AA45" s="1371"/>
      <c r="AB45" s="1371"/>
      <c r="AC45" s="1371"/>
      <c r="AD45" s="1371"/>
      <c r="AE45" s="1371"/>
      <c r="AF45" s="1371"/>
      <c r="AG45" s="1371"/>
      <c r="AH45" s="1371"/>
      <c r="AI45" s="1371"/>
      <c r="AJ45" s="1371"/>
    </row>
    <row r="46" spans="1:37" s="1370" customFormat="1" ht="15" hidden="1">
      <c r="A46" s="2869" t="s">
        <v>2936</v>
      </c>
      <c r="B46" s="2870">
        <f>1+E48</f>
        <v>1</v>
      </c>
      <c r="C46" s="2871"/>
      <c r="D46" s="814"/>
      <c r="E46" s="815"/>
      <c r="F46" s="2872"/>
      <c r="G46" s="6"/>
      <c r="H46" s="7"/>
      <c r="I46" s="7"/>
      <c r="J46" s="7"/>
      <c r="K46" s="7"/>
      <c r="L46" s="7"/>
      <c r="M46" s="7"/>
      <c r="N46" s="2786"/>
      <c r="Z46" s="1371"/>
      <c r="AA46" s="1371"/>
      <c r="AB46" s="1371"/>
      <c r="AC46" s="1371"/>
      <c r="AD46" s="1371"/>
      <c r="AE46" s="1371"/>
      <c r="AF46" s="1371"/>
      <c r="AG46" s="1371"/>
      <c r="AH46" s="1371"/>
      <c r="AI46" s="1371"/>
      <c r="AJ46" s="1371"/>
    </row>
    <row r="47" spans="1:37" s="1370" customFormat="1" ht="24.75" hidden="1">
      <c r="A47" s="2873" t="s">
        <v>2937</v>
      </c>
      <c r="B47" s="1809" t="s">
        <v>2938</v>
      </c>
      <c r="C47" s="1809" t="s">
        <v>2939</v>
      </c>
      <c r="D47" s="1809" t="s">
        <v>2940</v>
      </c>
      <c r="E47" s="819" t="s">
        <v>2941</v>
      </c>
      <c r="F47" s="2874" t="s">
        <v>2942</v>
      </c>
      <c r="G47" s="1809" t="s">
        <v>754</v>
      </c>
      <c r="H47" s="2875" t="s">
        <v>2943</v>
      </c>
      <c r="I47" s="1809" t="s">
        <v>2944</v>
      </c>
      <c r="J47" s="603" t="s">
        <v>2593</v>
      </c>
      <c r="K47" s="603" t="s">
        <v>2594</v>
      </c>
      <c r="L47" s="603" t="s">
        <v>2595</v>
      </c>
      <c r="M47" s="603" t="s">
        <v>2596</v>
      </c>
      <c r="N47" s="603" t="s">
        <v>2597</v>
      </c>
      <c r="AA47" s="1371"/>
      <c r="AB47" s="1371"/>
      <c r="AC47" s="1371"/>
      <c r="AD47" s="1371"/>
      <c r="AE47" s="1371"/>
      <c r="AF47" s="1371"/>
      <c r="AG47" s="1371"/>
      <c r="AH47" s="1371"/>
      <c r="AI47" s="1371"/>
      <c r="AJ47" s="1371"/>
      <c r="AK47" s="1371"/>
    </row>
    <row r="48" spans="1:37" s="1370" customFormat="1" ht="38.25" hidden="1">
      <c r="A48" s="2873" t="s">
        <v>2945</v>
      </c>
      <c r="B48" s="2876" t="str">
        <f>估价对象房地状况!C4</f>
        <v>估价对象位于XX商圈，周边商业氛围成熟，人流量大，商业繁华度好</v>
      </c>
      <c r="C48" s="2773"/>
      <c r="D48" s="1286">
        <f t="shared" ref="D48:D56" si="10">SUMIF($J$47:$N$47,C48,J48:N48)</f>
        <v>0</v>
      </c>
      <c r="E48" s="821">
        <f>ROUND(SUM(D48:D56),4)</f>
        <v>0</v>
      </c>
      <c r="F48" s="2504" t="str">
        <f>IF(E2="商业",SUMIF(L1:L12,G2,N1:N12),"——")</f>
        <v>——</v>
      </c>
      <c r="G48" s="1284"/>
      <c r="H48" s="1288" t="str">
        <f t="shared" ref="H48:H56" si="11">IFERROR(ROUNDDOWN($F$48*I48/2,4),"——")</f>
        <v>——</v>
      </c>
      <c r="I48" s="820">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51" hidden="1">
      <c r="A49" s="2873" t="s">
        <v>2946</v>
      </c>
      <c r="B49" s="2877" t="str">
        <f>估价对象房地状况!C18</f>
        <v>估价对象周边道路状况、公共交通通达情况、停车便捷程度，综合评价交通便捷度较好</v>
      </c>
      <c r="C49" s="2773"/>
      <c r="D49" s="1286">
        <f t="shared" si="10"/>
        <v>0</v>
      </c>
      <c r="E49" s="822"/>
      <c r="F49" s="2504"/>
      <c r="G49" s="1284"/>
      <c r="H49" s="1288" t="str">
        <f t="shared" si="11"/>
        <v>——</v>
      </c>
      <c r="I49" s="820">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hidden="1">
      <c r="A50" s="2873" t="s">
        <v>2947</v>
      </c>
      <c r="B50" s="2877">
        <f>估价对象房地状况!C19</f>
        <v>0</v>
      </c>
      <c r="C50" s="2773"/>
      <c r="D50" s="1286">
        <f t="shared" si="10"/>
        <v>0</v>
      </c>
      <c r="E50" s="822"/>
      <c r="F50" s="2504"/>
      <c r="G50" s="1284"/>
      <c r="H50" s="1288" t="str">
        <f t="shared" si="11"/>
        <v>——</v>
      </c>
      <c r="I50" s="820">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hidden="1">
      <c r="A51" s="2873" t="s">
        <v>2948</v>
      </c>
      <c r="B51" s="2878" t="s">
        <v>2949</v>
      </c>
      <c r="C51" s="2773"/>
      <c r="D51" s="1286">
        <f t="shared" si="10"/>
        <v>0</v>
      </c>
      <c r="E51" s="822"/>
      <c r="F51" s="2504"/>
      <c r="G51" s="1284"/>
      <c r="H51" s="1288" t="str">
        <f t="shared" si="11"/>
        <v>——</v>
      </c>
      <c r="I51" s="820">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hidden="1">
      <c r="A52" s="2873" t="s">
        <v>2950</v>
      </c>
      <c r="B52" s="2877">
        <f>估价对象房地状况!C24</f>
        <v>0</v>
      </c>
      <c r="C52" s="2773"/>
      <c r="D52" s="1286">
        <f t="shared" si="10"/>
        <v>0</v>
      </c>
      <c r="E52" s="822"/>
      <c r="F52" s="2504"/>
      <c r="G52" s="1284"/>
      <c r="H52" s="1288" t="str">
        <f t="shared" si="11"/>
        <v>——</v>
      </c>
      <c r="I52" s="820">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hidden="1">
      <c r="A53" s="2873" t="s">
        <v>2951</v>
      </c>
      <c r="B53" s="2879" t="s">
        <v>2952</v>
      </c>
      <c r="C53" s="2773"/>
      <c r="D53" s="1286">
        <f t="shared" si="10"/>
        <v>0</v>
      </c>
      <c r="E53" s="822"/>
      <c r="F53" s="2504"/>
      <c r="G53" s="1284"/>
      <c r="H53" s="1288" t="str">
        <f t="shared" si="11"/>
        <v>——</v>
      </c>
      <c r="I53" s="820">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hidden="1">
      <c r="A54" s="2880" t="s">
        <v>2953</v>
      </c>
      <c r="B54" s="1725" t="str">
        <f>估价对象房地状况!C21</f>
        <v>估价对象所在区域公共配套设施齐备情况</v>
      </c>
      <c r="C54" s="2773"/>
      <c r="D54" s="1286">
        <f t="shared" si="10"/>
        <v>0</v>
      </c>
      <c r="E54" s="822"/>
      <c r="F54" s="2504"/>
      <c r="G54" s="1284"/>
      <c r="H54" s="1288" t="str">
        <f t="shared" si="11"/>
        <v>——</v>
      </c>
      <c r="I54" s="820">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hidden="1">
      <c r="A55" s="2880" t="s">
        <v>2954</v>
      </c>
      <c r="B55" s="2877" t="str">
        <f>估价对象房地状况!C22</f>
        <v>估价对象所在区域基础设施水平</v>
      </c>
      <c r="C55" s="2773"/>
      <c r="D55" s="1286">
        <f t="shared" si="10"/>
        <v>0</v>
      </c>
      <c r="E55" s="822"/>
      <c r="F55" s="2504"/>
      <c r="G55" s="1284"/>
      <c r="H55" s="1288" t="str">
        <f t="shared" si="11"/>
        <v>——</v>
      </c>
      <c r="I55" s="820">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hidden="1" thickBot="1">
      <c r="A56" s="2881" t="s">
        <v>2955</v>
      </c>
      <c r="B56" s="2882" t="str">
        <f>估价对象房地状况!C20</f>
        <v>区域自然环境：；人文环境；综合评价环境状况一般</v>
      </c>
      <c r="C56" s="2773"/>
      <c r="D56" s="1286">
        <f t="shared" si="10"/>
        <v>0</v>
      </c>
      <c r="E56" s="825"/>
      <c r="F56" s="2504"/>
      <c r="G56" s="1284"/>
      <c r="H56" s="1288" t="str">
        <f t="shared" si="11"/>
        <v>——</v>
      </c>
      <c r="I56" s="824">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hidden="1">
      <c r="A57" s="2869" t="s">
        <v>2956</v>
      </c>
      <c r="B57" s="2870">
        <f>1+E59</f>
        <v>1</v>
      </c>
      <c r="C57" s="814"/>
      <c r="D57" s="814"/>
      <c r="E57" s="815"/>
      <c r="F57" s="2872"/>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hidden="1">
      <c r="A58" s="2873" t="s">
        <v>2937</v>
      </c>
      <c r="B58" s="1809"/>
      <c r="C58" s="1809" t="s">
        <v>2939</v>
      </c>
      <c r="D58" s="1809" t="s">
        <v>2940</v>
      </c>
      <c r="E58" s="819" t="s">
        <v>2941</v>
      </c>
      <c r="F58" s="2874" t="s">
        <v>2957</v>
      </c>
      <c r="G58" s="1809" t="s">
        <v>754</v>
      </c>
      <c r="H58" s="2875" t="s">
        <v>2943</v>
      </c>
      <c r="I58" s="1809" t="s">
        <v>2944</v>
      </c>
      <c r="J58" s="603" t="s">
        <v>2593</v>
      </c>
      <c r="K58" s="603" t="s">
        <v>2594</v>
      </c>
      <c r="L58" s="603" t="s">
        <v>2595</v>
      </c>
      <c r="M58" s="603" t="s">
        <v>2596</v>
      </c>
      <c r="N58" s="603" t="s">
        <v>2597</v>
      </c>
      <c r="AA58" s="1371"/>
      <c r="AB58" s="1371"/>
      <c r="AC58" s="1371"/>
      <c r="AD58" s="1371"/>
      <c r="AE58" s="1371"/>
      <c r="AF58" s="1371"/>
      <c r="AG58" s="1371"/>
      <c r="AH58" s="1371"/>
      <c r="AI58" s="1371"/>
      <c r="AJ58" s="1371"/>
      <c r="AK58" s="1371"/>
    </row>
    <row r="59" spans="1:37" s="1370" customFormat="1" ht="38.25" hidden="1">
      <c r="A59" s="2873" t="s">
        <v>2958</v>
      </c>
      <c r="B59" s="2876" t="str">
        <f>估价对象房地状况!C17</f>
        <v>估价对象位于XX商圈，周边办公楼项目较多，入驻率高，办公集聚程度较好</v>
      </c>
      <c r="C59" s="2773"/>
      <c r="D59" s="1286">
        <f t="shared" ref="D59:D67" si="15">SUMIF($J$58:$N$58,C59,J59:N59)</f>
        <v>0</v>
      </c>
      <c r="E59" s="821">
        <f>ROUND(SUM(D59:D67),4)</f>
        <v>0</v>
      </c>
      <c r="F59" s="2504" t="str">
        <f>IF(E2="办公",SUMIF(L1:L12,G2,N1:N12),"——")</f>
        <v>——</v>
      </c>
      <c r="G59" s="1284"/>
      <c r="H59" s="1288" t="str">
        <f t="shared" ref="H59:H67" si="16">IFERROR(ROUNDDOWN($F$59*I59/2,4),"——")</f>
        <v>——</v>
      </c>
      <c r="I59" s="820">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51" hidden="1">
      <c r="A60" s="2873" t="s">
        <v>2946</v>
      </c>
      <c r="B60" s="2877" t="str">
        <f>估价对象房地状况!C18</f>
        <v>估价对象周边道路状况、公共交通通达情况、停车便捷程度，综合评价交通便捷度较好</v>
      </c>
      <c r="C60" s="2773"/>
      <c r="D60" s="1286">
        <f t="shared" si="15"/>
        <v>0</v>
      </c>
      <c r="E60" s="822"/>
      <c r="F60" s="2504"/>
      <c r="G60" s="1284"/>
      <c r="H60" s="1288" t="str">
        <f t="shared" si="16"/>
        <v>——</v>
      </c>
      <c r="I60" s="820">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hidden="1">
      <c r="A61" s="2873" t="s">
        <v>2947</v>
      </c>
      <c r="B61" s="2877">
        <f>估价对象房地状况!C19</f>
        <v>0</v>
      </c>
      <c r="C61" s="2773"/>
      <c r="D61" s="1286">
        <f t="shared" si="15"/>
        <v>0</v>
      </c>
      <c r="E61" s="822"/>
      <c r="F61" s="2504"/>
      <c r="G61" s="1284"/>
      <c r="H61" s="1288" t="str">
        <f t="shared" si="16"/>
        <v>——</v>
      </c>
      <c r="I61" s="820">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hidden="1">
      <c r="A62" s="2873" t="s">
        <v>2948</v>
      </c>
      <c r="B62" s="2878" t="s">
        <v>2949</v>
      </c>
      <c r="C62" s="2773"/>
      <c r="D62" s="1286">
        <f t="shared" si="15"/>
        <v>0</v>
      </c>
      <c r="E62" s="822"/>
      <c r="F62" s="2504"/>
      <c r="G62" s="1284"/>
      <c r="H62" s="1288" t="str">
        <f t="shared" si="16"/>
        <v>——</v>
      </c>
      <c r="I62" s="820">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hidden="1">
      <c r="A63" s="2873" t="s">
        <v>2950</v>
      </c>
      <c r="B63" s="2877">
        <f>估价对象房地状况!C24</f>
        <v>0</v>
      </c>
      <c r="C63" s="2773"/>
      <c r="D63" s="1286">
        <f t="shared" si="15"/>
        <v>0</v>
      </c>
      <c r="E63" s="822"/>
      <c r="F63" s="2504"/>
      <c r="G63" s="1284"/>
      <c r="H63" s="1288" t="str">
        <f t="shared" si="16"/>
        <v>——</v>
      </c>
      <c r="I63" s="820">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hidden="1">
      <c r="A64" s="2873" t="s">
        <v>2951</v>
      </c>
      <c r="B64" s="2879" t="s">
        <v>2952</v>
      </c>
      <c r="C64" s="2773"/>
      <c r="D64" s="1286">
        <f t="shared" si="15"/>
        <v>0</v>
      </c>
      <c r="E64" s="822"/>
      <c r="F64" s="2504"/>
      <c r="G64" s="1284"/>
      <c r="H64" s="1288" t="str">
        <f t="shared" si="16"/>
        <v>——</v>
      </c>
      <c r="I64" s="820">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hidden="1">
      <c r="A65" s="2873" t="s">
        <v>2953</v>
      </c>
      <c r="B65" s="1725" t="str">
        <f>估价对象房地状况!C21</f>
        <v>估价对象所在区域公共配套设施齐备情况</v>
      </c>
      <c r="C65" s="2773"/>
      <c r="D65" s="1286">
        <f t="shared" si="15"/>
        <v>0</v>
      </c>
      <c r="E65" s="822"/>
      <c r="F65" s="2504"/>
      <c r="G65" s="1284"/>
      <c r="H65" s="1288" t="str">
        <f t="shared" si="16"/>
        <v>——</v>
      </c>
      <c r="I65" s="820">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hidden="1">
      <c r="A66" s="2873" t="s">
        <v>2954</v>
      </c>
      <c r="B66" s="1725" t="str">
        <f>估价对象房地状况!C22</f>
        <v>估价对象所在区域基础设施水平</v>
      </c>
      <c r="C66" s="2773"/>
      <c r="D66" s="1286">
        <f t="shared" si="15"/>
        <v>0</v>
      </c>
      <c r="E66" s="822"/>
      <c r="F66" s="2504"/>
      <c r="G66" s="1284"/>
      <c r="H66" s="1288" t="str">
        <f t="shared" si="16"/>
        <v>——</v>
      </c>
      <c r="I66" s="820">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hidden="1" thickBot="1">
      <c r="A67" s="2881" t="s">
        <v>2955</v>
      </c>
      <c r="B67" s="2883" t="str">
        <f>估价对象房地状况!C20</f>
        <v>区域自然环境：；人文环境；综合评价环境状况一般</v>
      </c>
      <c r="C67" s="2773"/>
      <c r="D67" s="1286">
        <f t="shared" si="15"/>
        <v>0</v>
      </c>
      <c r="E67" s="825"/>
      <c r="F67" s="2504"/>
      <c r="G67" s="1284"/>
      <c r="H67" s="1288" t="str">
        <f t="shared" si="16"/>
        <v>——</v>
      </c>
      <c r="I67" s="824">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hidden="1">
      <c r="A68" s="2869" t="s">
        <v>2959</v>
      </c>
      <c r="B68" s="2870">
        <f>1+E70</f>
        <v>1</v>
      </c>
      <c r="C68" s="814"/>
      <c r="D68" s="814"/>
      <c r="E68" s="815"/>
      <c r="F68" s="2872"/>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hidden="1">
      <c r="A69" s="2873" t="s">
        <v>2937</v>
      </c>
      <c r="B69" s="1809"/>
      <c r="C69" s="1809" t="s">
        <v>2939</v>
      </c>
      <c r="D69" s="1809" t="s">
        <v>2940</v>
      </c>
      <c r="E69" s="819" t="s">
        <v>2941</v>
      </c>
      <c r="F69" s="2874" t="s">
        <v>2957</v>
      </c>
      <c r="G69" s="1809" t="s">
        <v>754</v>
      </c>
      <c r="H69" s="2875" t="s">
        <v>2943</v>
      </c>
      <c r="I69" s="1809" t="s">
        <v>2944</v>
      </c>
      <c r="J69" s="603" t="s">
        <v>2593</v>
      </c>
      <c r="K69" s="603" t="s">
        <v>2594</v>
      </c>
      <c r="L69" s="603" t="s">
        <v>2595</v>
      </c>
      <c r="M69" s="603" t="s">
        <v>2596</v>
      </c>
      <c r="N69" s="603" t="s">
        <v>2597</v>
      </c>
      <c r="AA69" s="1371"/>
      <c r="AB69" s="1371"/>
      <c r="AC69" s="1371"/>
      <c r="AD69" s="1371"/>
      <c r="AE69" s="1371"/>
      <c r="AF69" s="1371"/>
      <c r="AG69" s="1371"/>
      <c r="AH69" s="1371"/>
      <c r="AI69" s="1371"/>
      <c r="AJ69" s="1371"/>
      <c r="AK69" s="1371"/>
    </row>
    <row r="70" spans="1:37" s="1370" customFormat="1" ht="51" hidden="1">
      <c r="A70" s="2873" t="s">
        <v>2960</v>
      </c>
      <c r="B70" s="2876" t="str">
        <f>估价对象房地状况!C15</f>
        <v>估价对象周边居住用地比例、居住小区规模和社区发展完善程度，综合评价居住社区成熟度一般</v>
      </c>
      <c r="C70" s="2773"/>
      <c r="D70" s="1286">
        <f t="shared" ref="D70:D78" si="20">SUMIF($J$69:$N$69,C70,J70:N70)</f>
        <v>0</v>
      </c>
      <c r="E70" s="821">
        <f>ROUND(SUM(D70:D78),4)</f>
        <v>0</v>
      </c>
      <c r="F70" s="2504"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51" hidden="1">
      <c r="A71" s="2873" t="s">
        <v>2946</v>
      </c>
      <c r="B71" s="2877" t="str">
        <f>估价对象房地状况!C18</f>
        <v>估价对象周边道路状况、公共交通通达情况、停车便捷程度，综合评价交通便捷度较好</v>
      </c>
      <c r="C71" s="2773"/>
      <c r="D71" s="1286">
        <f t="shared" si="20"/>
        <v>0</v>
      </c>
      <c r="E71" s="826"/>
      <c r="F71" s="2504"/>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hidden="1">
      <c r="A72" s="2873" t="s">
        <v>2947</v>
      </c>
      <c r="B72" s="2877">
        <f>估价对象房地状况!C19</f>
        <v>0</v>
      </c>
      <c r="C72" s="2773"/>
      <c r="D72" s="1286">
        <f t="shared" si="20"/>
        <v>0</v>
      </c>
      <c r="E72" s="826"/>
      <c r="F72" s="2504"/>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hidden="1">
      <c r="A73" s="2873" t="s">
        <v>2961</v>
      </c>
      <c r="B73" s="2877">
        <f>估价对象房地状况!C24</f>
        <v>0</v>
      </c>
      <c r="C73" s="2773"/>
      <c r="D73" s="1286">
        <f t="shared" si="20"/>
        <v>0</v>
      </c>
      <c r="E73" s="826"/>
      <c r="F73" s="2504"/>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hidden="1">
      <c r="A74" s="2873" t="s">
        <v>2953</v>
      </c>
      <c r="B74" s="1725" t="str">
        <f>估价对象房地状况!C21</f>
        <v>估价对象所在区域公共配套设施齐备情况</v>
      </c>
      <c r="C74" s="2773"/>
      <c r="D74" s="1286">
        <f t="shared" si="20"/>
        <v>0</v>
      </c>
      <c r="E74" s="826"/>
      <c r="F74" s="2504"/>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hidden="1">
      <c r="A75" s="2873" t="s">
        <v>2954</v>
      </c>
      <c r="B75" s="1725" t="str">
        <f>估价对象房地状况!C22</f>
        <v>估价对象所在区域基础设施水平</v>
      </c>
      <c r="C75" s="2773"/>
      <c r="D75" s="1286">
        <f t="shared" si="20"/>
        <v>0</v>
      </c>
      <c r="E75" s="826"/>
      <c r="F75" s="2504"/>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22" customFormat="1" ht="24" hidden="1">
      <c r="A76" s="2873" t="s">
        <v>2951</v>
      </c>
      <c r="B76" s="2879" t="s">
        <v>2952</v>
      </c>
      <c r="C76" s="2773"/>
      <c r="D76" s="1286">
        <f t="shared" si="20"/>
        <v>0</v>
      </c>
      <c r="E76" s="826"/>
      <c r="F76" s="2504"/>
      <c r="G76" s="1284"/>
      <c r="H76" s="1288" t="str">
        <f t="shared" si="21"/>
        <v>——</v>
      </c>
      <c r="I76" s="820">
        <v>0.05</v>
      </c>
      <c r="J76" s="1285">
        <f t="shared" si="22"/>
        <v>0</v>
      </c>
      <c r="K76" s="1285">
        <f t="shared" si="23"/>
        <v>0</v>
      </c>
      <c r="L76" s="1285">
        <v>0</v>
      </c>
      <c r="M76" s="1285">
        <f t="shared" si="24"/>
        <v>0</v>
      </c>
      <c r="N76" s="1285">
        <f t="shared" si="24"/>
        <v>0</v>
      </c>
      <c r="AA76" s="2884"/>
      <c r="AB76" s="1371"/>
      <c r="AC76" s="1371"/>
      <c r="AD76" s="1371"/>
      <c r="AE76" s="1371"/>
      <c r="AF76" s="1371"/>
      <c r="AG76" s="1371"/>
      <c r="AH76" s="2884"/>
      <c r="AI76" s="2884"/>
      <c r="AJ76" s="2884"/>
      <c r="AK76" s="2884"/>
    </row>
    <row r="77" spans="1:37" ht="38.25" hidden="1">
      <c r="A77" s="2873" t="s">
        <v>2955</v>
      </c>
      <c r="B77" s="2876" t="str">
        <f>估价对象房地状况!C20</f>
        <v>区域自然环境：；人文环境；综合评价环境状况一般</v>
      </c>
      <c r="C77" s="2773"/>
      <c r="D77" s="1286">
        <f t="shared" si="20"/>
        <v>0</v>
      </c>
      <c r="E77" s="826"/>
      <c r="F77" s="2504"/>
      <c r="G77" s="1284"/>
      <c r="H77" s="1288" t="str">
        <f t="shared" si="21"/>
        <v>——</v>
      </c>
      <c r="I77" s="820">
        <v>0.15</v>
      </c>
      <c r="J77" s="1285">
        <f t="shared" si="22"/>
        <v>0</v>
      </c>
      <c r="K77" s="1285">
        <f t="shared" si="23"/>
        <v>0</v>
      </c>
      <c r="L77" s="1285">
        <v>0</v>
      </c>
      <c r="M77" s="1285">
        <f t="shared" si="24"/>
        <v>0</v>
      </c>
      <c r="N77" s="1285">
        <f t="shared" si="24"/>
        <v>0</v>
      </c>
      <c r="Z77" s="2723"/>
      <c r="AA77" s="2791"/>
      <c r="AG77" s="1372"/>
      <c r="AK77" s="2791"/>
    </row>
    <row r="78" spans="1:37" ht="24.75" hidden="1" thickBot="1">
      <c r="A78" s="2881" t="s">
        <v>2962</v>
      </c>
      <c r="B78" s="2885"/>
      <c r="C78" s="2773"/>
      <c r="D78" s="1286">
        <f t="shared" si="20"/>
        <v>0</v>
      </c>
      <c r="E78" s="827"/>
      <c r="F78" s="2504"/>
      <c r="G78" s="1284"/>
      <c r="H78" s="1288" t="str">
        <f t="shared" si="21"/>
        <v>——</v>
      </c>
      <c r="I78" s="824">
        <v>0.04</v>
      </c>
      <c r="J78" s="1285">
        <f t="shared" si="22"/>
        <v>0</v>
      </c>
      <c r="K78" s="1285">
        <f t="shared" si="23"/>
        <v>0</v>
      </c>
      <c r="L78" s="1285">
        <v>0</v>
      </c>
      <c r="M78" s="1285">
        <f t="shared" si="24"/>
        <v>0</v>
      </c>
      <c r="N78" s="1285">
        <f t="shared" si="24"/>
        <v>0</v>
      </c>
      <c r="Z78" s="2723"/>
      <c r="AA78" s="2791"/>
      <c r="AG78" s="1372"/>
      <c r="AK78" s="2791"/>
    </row>
    <row r="79" spans="1:37" ht="15">
      <c r="A79" s="2869" t="s">
        <v>2963</v>
      </c>
      <c r="B79" s="2870">
        <f>1+E81</f>
        <v>1.0165</v>
      </c>
      <c r="C79" s="814"/>
      <c r="D79" s="814"/>
      <c r="E79" s="815"/>
      <c r="F79" s="2872"/>
      <c r="G79" s="6"/>
      <c r="H79" s="6"/>
      <c r="I79" s="6"/>
      <c r="J79" s="7"/>
      <c r="K79" s="7"/>
      <c r="L79" s="7"/>
      <c r="M79" s="7"/>
      <c r="N79" s="7"/>
      <c r="Z79" s="2723"/>
      <c r="AA79" s="2791"/>
      <c r="AG79" s="1372"/>
      <c r="AK79" s="2791"/>
    </row>
    <row r="80" spans="1:37" ht="24.75">
      <c r="A80" s="2873" t="s">
        <v>2937</v>
      </c>
      <c r="B80" s="1809"/>
      <c r="C80" s="1809" t="s">
        <v>2939</v>
      </c>
      <c r="D80" s="1809" t="s">
        <v>2940</v>
      </c>
      <c r="E80" s="819" t="s">
        <v>2941</v>
      </c>
      <c r="F80" s="2874" t="s">
        <v>2957</v>
      </c>
      <c r="G80" s="1809" t="s">
        <v>754</v>
      </c>
      <c r="H80" s="2875" t="s">
        <v>2943</v>
      </c>
      <c r="I80" s="1809" t="s">
        <v>2944</v>
      </c>
      <c r="J80" s="603" t="s">
        <v>2593</v>
      </c>
      <c r="K80" s="603" t="s">
        <v>2594</v>
      </c>
      <c r="L80" s="603" t="s">
        <v>2595</v>
      </c>
      <c r="M80" s="603" t="s">
        <v>2596</v>
      </c>
      <c r="N80" s="603" t="s">
        <v>2597</v>
      </c>
      <c r="Z80" s="2723"/>
      <c r="AA80" s="2791"/>
      <c r="AG80" s="1372"/>
      <c r="AK80" s="2791"/>
    </row>
    <row r="81" spans="1:37" ht="38.25">
      <c r="A81" s="2873" t="s">
        <v>2964</v>
      </c>
      <c r="B81" s="2877" t="str">
        <f>估价对象房地状况!G15</f>
        <v>估价对象位于XX开发区，园区建设成熟度XX，产业集聚程度XX</v>
      </c>
      <c r="C81" s="2773" t="s">
        <v>3177</v>
      </c>
      <c r="D81" s="1286">
        <f t="shared" ref="D81:D88" si="25">SUMIF($J$80:$N$80,C81,J81:N81)</f>
        <v>-1.2999999999999999E-2</v>
      </c>
      <c r="E81" s="821">
        <f>ROUND(SUM(D81:D88),4)</f>
        <v>1.6500000000000001E-2</v>
      </c>
      <c r="F81" s="2504">
        <f>IF(E2="工业",SUMIF(L1:L12,G2,N1:N12),"——")</f>
        <v>0.1</v>
      </c>
      <c r="G81" s="1284">
        <f>H81</f>
        <v>1.2999999999999999E-2</v>
      </c>
      <c r="H81" s="1288">
        <f t="shared" ref="H81:H88" si="26">IFERROR(ROUNDDOWN($F$81*I81/2,4),"——")</f>
        <v>1.2999999999999999E-2</v>
      </c>
      <c r="I81" s="820">
        <v>0.26</v>
      </c>
      <c r="J81" s="1285">
        <f t="shared" ref="J81:J88" si="27">K81+$G81</f>
        <v>2.5999999999999999E-2</v>
      </c>
      <c r="K81" s="1285">
        <f t="shared" ref="K81:K88" si="28">$L81+$G81</f>
        <v>1.2999999999999999E-2</v>
      </c>
      <c r="L81" s="1285">
        <v>0</v>
      </c>
      <c r="M81" s="1285">
        <f t="shared" ref="M81:N88" si="29">L81-$G81</f>
        <v>-1.2999999999999999E-2</v>
      </c>
      <c r="N81" s="1285">
        <f t="shared" si="29"/>
        <v>-2.5999999999999999E-2</v>
      </c>
      <c r="Z81" s="2723"/>
      <c r="AA81" s="2791"/>
      <c r="AG81" s="1372"/>
      <c r="AK81" s="2791"/>
    </row>
    <row r="82" spans="1:37" ht="51">
      <c r="A82" s="2873" t="s">
        <v>2946</v>
      </c>
      <c r="B82" s="2877" t="str">
        <f>估价对象房地状况!G16</f>
        <v>估价对象周边道路状况、公共交通通达情况、停车便捷程度，综合评价交通便捷度较好</v>
      </c>
      <c r="C82" s="2773" t="s">
        <v>3178</v>
      </c>
      <c r="D82" s="1286">
        <f t="shared" si="25"/>
        <v>1.6500000000000001E-2</v>
      </c>
      <c r="E82" s="826"/>
      <c r="F82" s="2504"/>
      <c r="G82" s="1284">
        <f t="shared" ref="G82:G88" si="30">H82</f>
        <v>1.6500000000000001E-2</v>
      </c>
      <c r="H82" s="1288">
        <f t="shared" si="26"/>
        <v>1.6500000000000001E-2</v>
      </c>
      <c r="I82" s="820">
        <v>0.33</v>
      </c>
      <c r="J82" s="1285">
        <f t="shared" si="27"/>
        <v>3.3000000000000002E-2</v>
      </c>
      <c r="K82" s="1285">
        <f t="shared" si="28"/>
        <v>1.6500000000000001E-2</v>
      </c>
      <c r="L82" s="1285">
        <v>0</v>
      </c>
      <c r="M82" s="1285">
        <f t="shared" si="29"/>
        <v>-1.6500000000000001E-2</v>
      </c>
      <c r="N82" s="1285">
        <f t="shared" si="29"/>
        <v>-3.3000000000000002E-2</v>
      </c>
      <c r="Z82" s="2723"/>
      <c r="AA82" s="2791"/>
      <c r="AG82" s="1372"/>
      <c r="AK82" s="2791"/>
    </row>
    <row r="83" spans="1:37" ht="24">
      <c r="A83" s="2873" t="s">
        <v>2947</v>
      </c>
      <c r="B83" s="2877">
        <f>估价对象房地状况!G17</f>
        <v>0</v>
      </c>
      <c r="C83" s="2773" t="s">
        <v>3177</v>
      </c>
      <c r="D83" s="1286">
        <f t="shared" si="25"/>
        <v>-2.5000000000000001E-3</v>
      </c>
      <c r="E83" s="826"/>
      <c r="F83" s="2504"/>
      <c r="G83" s="1284">
        <f t="shared" si="30"/>
        <v>2.5000000000000001E-3</v>
      </c>
      <c r="H83" s="1288">
        <f t="shared" si="26"/>
        <v>2.5000000000000001E-3</v>
      </c>
      <c r="I83" s="820">
        <v>0.05</v>
      </c>
      <c r="J83" s="1285">
        <f t="shared" si="27"/>
        <v>5.0000000000000001E-3</v>
      </c>
      <c r="K83" s="1285">
        <f t="shared" si="28"/>
        <v>2.5000000000000001E-3</v>
      </c>
      <c r="L83" s="1285">
        <v>0</v>
      </c>
      <c r="M83" s="1285">
        <f t="shared" si="29"/>
        <v>-2.5000000000000001E-3</v>
      </c>
      <c r="N83" s="1285">
        <f t="shared" si="29"/>
        <v>-5.0000000000000001E-3</v>
      </c>
      <c r="Z83" s="2723"/>
      <c r="AA83" s="2791"/>
      <c r="AG83" s="1372"/>
      <c r="AK83" s="2791"/>
    </row>
    <row r="84" spans="1:37" ht="14.25">
      <c r="A84" s="2873" t="s">
        <v>2961</v>
      </c>
      <c r="B84" s="2877">
        <f>估价对象房地状况!G22</f>
        <v>0</v>
      </c>
      <c r="C84" s="2773" t="s">
        <v>3178</v>
      </c>
      <c r="D84" s="1286">
        <f t="shared" si="25"/>
        <v>2E-3</v>
      </c>
      <c r="E84" s="826"/>
      <c r="F84" s="2504"/>
      <c r="G84" s="1284">
        <f t="shared" si="30"/>
        <v>2E-3</v>
      </c>
      <c r="H84" s="1288">
        <f t="shared" si="26"/>
        <v>2E-3</v>
      </c>
      <c r="I84" s="820">
        <v>0.04</v>
      </c>
      <c r="J84" s="1285">
        <f t="shared" si="27"/>
        <v>4.0000000000000001E-3</v>
      </c>
      <c r="K84" s="1285">
        <f t="shared" si="28"/>
        <v>2E-3</v>
      </c>
      <c r="L84" s="1285">
        <v>0</v>
      </c>
      <c r="M84" s="1285">
        <f t="shared" si="29"/>
        <v>-2E-3</v>
      </c>
      <c r="N84" s="1285">
        <f t="shared" si="29"/>
        <v>-4.0000000000000001E-3</v>
      </c>
      <c r="Z84" s="2723"/>
      <c r="AA84" s="2791"/>
      <c r="AG84" s="1372"/>
      <c r="AK84" s="2791"/>
    </row>
    <row r="85" spans="1:37" ht="25.5">
      <c r="A85" s="2873" t="s">
        <v>2953</v>
      </c>
      <c r="B85" s="1725" t="str">
        <f>估价对象房地状况!G19</f>
        <v>估价对象所在区域公共配套设施齐备情况</v>
      </c>
      <c r="C85" s="2773" t="s">
        <v>3178</v>
      </c>
      <c r="D85" s="1286">
        <f t="shared" si="25"/>
        <v>3.0000000000000001E-3</v>
      </c>
      <c r="E85" s="826"/>
      <c r="F85" s="2504"/>
      <c r="G85" s="1284">
        <f t="shared" si="30"/>
        <v>3.0000000000000001E-3</v>
      </c>
      <c r="H85" s="1288">
        <f t="shared" si="26"/>
        <v>3.0000000000000001E-3</v>
      </c>
      <c r="I85" s="820">
        <v>0.06</v>
      </c>
      <c r="J85" s="1285">
        <f t="shared" si="27"/>
        <v>6.0000000000000001E-3</v>
      </c>
      <c r="K85" s="1285">
        <f t="shared" si="28"/>
        <v>3.0000000000000001E-3</v>
      </c>
      <c r="L85" s="1285">
        <v>0</v>
      </c>
      <c r="M85" s="1285">
        <f t="shared" si="29"/>
        <v>-3.0000000000000001E-3</v>
      </c>
      <c r="N85" s="1285">
        <f t="shared" si="29"/>
        <v>-6.0000000000000001E-3</v>
      </c>
      <c r="Z85" s="2723"/>
      <c r="AA85" s="2791"/>
      <c r="AG85" s="1372"/>
      <c r="AK85" s="2791"/>
    </row>
    <row r="86" spans="1:37" ht="25.5">
      <c r="A86" s="2873" t="s">
        <v>2954</v>
      </c>
      <c r="B86" s="1725" t="str">
        <f>估价对象房地状况!G20</f>
        <v>估价对象所在区域基础设施水平</v>
      </c>
      <c r="C86" s="2773" t="s">
        <v>3178</v>
      </c>
      <c r="D86" s="1286">
        <f t="shared" si="25"/>
        <v>7.4999999999999997E-3</v>
      </c>
      <c r="E86" s="826"/>
      <c r="F86" s="2504"/>
      <c r="G86" s="1284">
        <f t="shared" si="30"/>
        <v>7.4999999999999997E-3</v>
      </c>
      <c r="H86" s="1288">
        <f t="shared" si="26"/>
        <v>7.4999999999999997E-3</v>
      </c>
      <c r="I86" s="820">
        <v>0.15</v>
      </c>
      <c r="J86" s="1285">
        <f t="shared" si="27"/>
        <v>1.4999999999999999E-2</v>
      </c>
      <c r="K86" s="1285">
        <f t="shared" si="28"/>
        <v>7.4999999999999997E-3</v>
      </c>
      <c r="L86" s="1285">
        <v>0</v>
      </c>
      <c r="M86" s="1285">
        <f t="shared" si="29"/>
        <v>-7.4999999999999997E-3</v>
      </c>
      <c r="N86" s="1285">
        <f t="shared" si="29"/>
        <v>-1.4999999999999999E-2</v>
      </c>
      <c r="Z86" s="2723"/>
      <c r="AA86" s="2791"/>
      <c r="AG86" s="1372"/>
      <c r="AK86" s="2791"/>
    </row>
    <row r="87" spans="1:37" ht="24">
      <c r="A87" s="2873" t="s">
        <v>2951</v>
      </c>
      <c r="B87" s="2879" t="s">
        <v>2965</v>
      </c>
      <c r="C87" s="2773" t="s">
        <v>3179</v>
      </c>
      <c r="D87" s="1286">
        <f t="shared" si="25"/>
        <v>0</v>
      </c>
      <c r="E87" s="826"/>
      <c r="F87" s="2504"/>
      <c r="G87" s="1284">
        <f t="shared" si="30"/>
        <v>2.5000000000000001E-3</v>
      </c>
      <c r="H87" s="1288">
        <f t="shared" si="26"/>
        <v>2.5000000000000001E-3</v>
      </c>
      <c r="I87" s="820">
        <v>0.05</v>
      </c>
      <c r="J87" s="1285">
        <f t="shared" si="27"/>
        <v>5.0000000000000001E-3</v>
      </c>
      <c r="K87" s="1285">
        <f t="shared" si="28"/>
        <v>2.5000000000000001E-3</v>
      </c>
      <c r="L87" s="1285">
        <v>0</v>
      </c>
      <c r="M87" s="1285">
        <f t="shared" si="29"/>
        <v>-2.5000000000000001E-3</v>
      </c>
      <c r="N87" s="1285">
        <f t="shared" si="29"/>
        <v>-5.0000000000000001E-3</v>
      </c>
      <c r="Z87" s="2723"/>
      <c r="AA87" s="2791"/>
      <c r="AG87" s="1372"/>
      <c r="AK87" s="2791"/>
    </row>
    <row r="88" spans="1:37" ht="39" thickBot="1">
      <c r="A88" s="2881" t="s">
        <v>2966</v>
      </c>
      <c r="B88" s="2886" t="str">
        <f>估价对象房地状况!G18</f>
        <v>该园区内是否有污染型企业，绿化情况，卫生条件，整体环境状况判断</v>
      </c>
      <c r="C88" s="2773" t="s">
        <v>3178</v>
      </c>
      <c r="D88" s="1286">
        <f t="shared" si="25"/>
        <v>3.0000000000000001E-3</v>
      </c>
      <c r="E88" s="827"/>
      <c r="F88" s="2504"/>
      <c r="G88" s="1284">
        <f t="shared" si="30"/>
        <v>3.0000000000000001E-3</v>
      </c>
      <c r="H88" s="1288">
        <f t="shared" si="26"/>
        <v>3.0000000000000001E-3</v>
      </c>
      <c r="I88" s="824">
        <v>0.06</v>
      </c>
      <c r="J88" s="1285">
        <f t="shared" si="27"/>
        <v>6.0000000000000001E-3</v>
      </c>
      <c r="K88" s="1285">
        <f t="shared" si="28"/>
        <v>3.0000000000000001E-3</v>
      </c>
      <c r="L88" s="1285">
        <v>0</v>
      </c>
      <c r="M88" s="1285">
        <f t="shared" si="29"/>
        <v>-3.0000000000000001E-3</v>
      </c>
      <c r="N88" s="1285">
        <f t="shared" si="29"/>
        <v>-6.0000000000000001E-3</v>
      </c>
      <c r="Z88" s="2723"/>
      <c r="AA88" s="2791"/>
      <c r="AG88" s="1372"/>
      <c r="AK88" s="2791"/>
    </row>
    <row r="90" spans="1:37">
      <c r="A90" s="3224" t="s">
        <v>2967</v>
      </c>
      <c r="B90" s="3224"/>
      <c r="C90" s="3224"/>
      <c r="D90" s="3224"/>
      <c r="E90" s="3224"/>
      <c r="F90" s="3224"/>
      <c r="G90" s="3224"/>
      <c r="H90" s="3224"/>
      <c r="I90" s="3224"/>
      <c r="J90" s="3224"/>
      <c r="K90" s="2887"/>
      <c r="L90" s="2887"/>
      <c r="M90" s="2887"/>
      <c r="N90" s="2887"/>
    </row>
    <row r="91" spans="1:37">
      <c r="A91" s="3226" t="s">
        <v>2968</v>
      </c>
      <c r="B91" s="3226" t="s">
        <v>2969</v>
      </c>
      <c r="C91" s="2841" t="s">
        <v>2970</v>
      </c>
      <c r="D91" s="2842"/>
      <c r="E91" s="2842"/>
      <c r="F91" s="2842"/>
      <c r="G91" s="2842"/>
      <c r="H91" s="2842"/>
      <c r="I91" s="2842"/>
      <c r="J91" s="2888"/>
      <c r="K91" s="2889"/>
      <c r="L91" s="2889"/>
      <c r="M91" s="2889"/>
      <c r="N91" s="2889"/>
    </row>
    <row r="92" spans="1:37">
      <c r="A92" s="3226"/>
      <c r="B92" s="3226"/>
      <c r="C92" s="942" t="s">
        <v>2837</v>
      </c>
      <c r="D92" s="942" t="s">
        <v>2838</v>
      </c>
      <c r="E92" s="942" t="s">
        <v>2839</v>
      </c>
      <c r="F92" s="942" t="s">
        <v>2840</v>
      </c>
      <c r="G92" s="942" t="s">
        <v>2841</v>
      </c>
      <c r="H92" s="942" t="s">
        <v>2842</v>
      </c>
      <c r="I92" s="942" t="s">
        <v>2843</v>
      </c>
      <c r="J92" s="942" t="s">
        <v>2844</v>
      </c>
      <c r="K92" s="942" t="s">
        <v>2845</v>
      </c>
      <c r="L92" s="942" t="s">
        <v>2846</v>
      </c>
      <c r="M92" s="942" t="s">
        <v>2847</v>
      </c>
      <c r="N92" s="942" t="s">
        <v>2848</v>
      </c>
    </row>
    <row r="93" spans="1:37">
      <c r="A93" s="3227" t="s">
        <v>2971</v>
      </c>
      <c r="B93" s="2890">
        <v>1</v>
      </c>
      <c r="C93" s="2891">
        <v>1.9361999999999999</v>
      </c>
      <c r="D93" s="2891">
        <v>1.9361999999999999</v>
      </c>
      <c r="E93" s="2891">
        <v>1.8629</v>
      </c>
      <c r="F93" s="2891">
        <v>1.8629</v>
      </c>
      <c r="G93" s="2891">
        <v>1.8629</v>
      </c>
      <c r="H93" s="2891">
        <v>1.8629</v>
      </c>
      <c r="I93" s="2891">
        <v>1.8629</v>
      </c>
      <c r="J93" s="2891">
        <v>1.9419999999999999</v>
      </c>
      <c r="K93" s="2891">
        <v>1.9419999999999999</v>
      </c>
      <c r="L93" s="2891">
        <v>1.9419999999999999</v>
      </c>
      <c r="M93" s="2891">
        <v>1.9419999999999999</v>
      </c>
      <c r="N93" s="2891">
        <v>1.9419999999999999</v>
      </c>
    </row>
    <row r="94" spans="1:37">
      <c r="A94" s="3228"/>
      <c r="B94" s="2890">
        <v>2</v>
      </c>
      <c r="C94" s="2891">
        <v>1.4198</v>
      </c>
      <c r="D94" s="2891">
        <v>1.4198</v>
      </c>
      <c r="E94" s="2891">
        <v>1.3371999999999999</v>
      </c>
      <c r="F94" s="2891">
        <v>1.3371999999999999</v>
      </c>
      <c r="G94" s="2891">
        <v>1.3371999999999999</v>
      </c>
      <c r="H94" s="2891">
        <v>1.3371999999999999</v>
      </c>
      <c r="I94" s="2891">
        <v>1.3371999999999999</v>
      </c>
      <c r="J94" s="2891">
        <v>1.2799</v>
      </c>
      <c r="K94" s="2891">
        <v>1.2799</v>
      </c>
      <c r="L94" s="2891">
        <v>1.2799</v>
      </c>
      <c r="M94" s="2891">
        <v>1.2799</v>
      </c>
      <c r="N94" s="2891">
        <v>1.2799</v>
      </c>
    </row>
    <row r="95" spans="1:37">
      <c r="A95" s="3228"/>
      <c r="B95" s="2890">
        <v>3</v>
      </c>
      <c r="C95" s="2891">
        <v>1.1594</v>
      </c>
      <c r="D95" s="2891">
        <v>1.1594</v>
      </c>
      <c r="E95" s="2891">
        <v>1.0788</v>
      </c>
      <c r="F95" s="2891">
        <v>1.0788</v>
      </c>
      <c r="G95" s="2891">
        <v>1.0788</v>
      </c>
      <c r="H95" s="2891">
        <v>1.0788</v>
      </c>
      <c r="I95" s="2891">
        <v>1.0788</v>
      </c>
      <c r="J95" s="2891">
        <v>1.0072000000000001</v>
      </c>
      <c r="K95" s="2891">
        <v>1.0072000000000001</v>
      </c>
      <c r="L95" s="2891">
        <v>1.0072000000000001</v>
      </c>
      <c r="M95" s="2891">
        <v>1.0072000000000001</v>
      </c>
      <c r="N95" s="2891">
        <v>1.0072000000000001</v>
      </c>
    </row>
    <row r="96" spans="1:37">
      <c r="A96" s="3228"/>
      <c r="B96" s="2890">
        <v>4</v>
      </c>
      <c r="C96" s="2891">
        <v>0.96220000000000006</v>
      </c>
      <c r="D96" s="2891">
        <v>0.96220000000000006</v>
      </c>
      <c r="E96" s="2891">
        <v>0.86560000000000004</v>
      </c>
      <c r="F96" s="2891">
        <v>0.86560000000000004</v>
      </c>
      <c r="G96" s="2891">
        <v>0.86560000000000004</v>
      </c>
      <c r="H96" s="2891">
        <v>0.86560000000000004</v>
      </c>
      <c r="I96" s="2891">
        <v>0.86560000000000004</v>
      </c>
      <c r="J96" s="2891">
        <v>0.75249999999999995</v>
      </c>
      <c r="K96" s="2891">
        <v>0.75249999999999995</v>
      </c>
      <c r="L96" s="2891">
        <v>0.75249999999999995</v>
      </c>
      <c r="M96" s="2891">
        <v>0.75249999999999995</v>
      </c>
      <c r="N96" s="2891">
        <v>0.75249999999999995</v>
      </c>
    </row>
    <row r="97" spans="1:14">
      <c r="A97" s="3228"/>
      <c r="B97" s="2890">
        <v>5</v>
      </c>
      <c r="C97" s="2891">
        <v>0.8417</v>
      </c>
      <c r="D97" s="2891">
        <v>0.8417</v>
      </c>
      <c r="E97" s="2891">
        <v>0.73709999999999998</v>
      </c>
      <c r="F97" s="2891">
        <v>0.73709999999999998</v>
      </c>
      <c r="G97" s="2891">
        <v>0.73709999999999998</v>
      </c>
      <c r="H97" s="2891">
        <v>0.73709999999999998</v>
      </c>
      <c r="I97" s="2891">
        <v>0.73709999999999998</v>
      </c>
      <c r="J97" s="2891">
        <v>0.56589999999999996</v>
      </c>
      <c r="K97" s="2891">
        <v>0.56589999999999996</v>
      </c>
      <c r="L97" s="2891">
        <v>0.56589999999999996</v>
      </c>
      <c r="M97" s="2891">
        <v>0.56589999999999996</v>
      </c>
      <c r="N97" s="2891">
        <v>0.56589999999999996</v>
      </c>
    </row>
    <row r="98" spans="1:14">
      <c r="A98" s="3228"/>
      <c r="B98" s="2890">
        <v>6</v>
      </c>
      <c r="C98" s="2891">
        <v>0.76080000000000003</v>
      </c>
      <c r="D98" s="2891">
        <v>0.76080000000000003</v>
      </c>
      <c r="E98" s="2891">
        <v>0.6482</v>
      </c>
      <c r="F98" s="2891">
        <v>0.6482</v>
      </c>
      <c r="G98" s="2891">
        <v>0.6482</v>
      </c>
      <c r="H98" s="2891">
        <v>0.6482</v>
      </c>
      <c r="I98" s="2891">
        <v>0.6482</v>
      </c>
      <c r="J98" s="2891">
        <v>0.45250000000000001</v>
      </c>
      <c r="K98" s="2891">
        <v>0.45250000000000001</v>
      </c>
      <c r="L98" s="2891">
        <v>0.45250000000000001</v>
      </c>
      <c r="M98" s="2891">
        <v>0.45250000000000001</v>
      </c>
      <c r="N98" s="2891">
        <v>0.45250000000000001</v>
      </c>
    </row>
    <row r="99" spans="1:14">
      <c r="A99" s="3228"/>
      <c r="B99" s="2890" t="s">
        <v>2853</v>
      </c>
      <c r="C99" s="2892">
        <f>$I$3</f>
        <v>0</v>
      </c>
      <c r="D99" s="2892">
        <f t="shared" ref="D99:M99" si="31">$I$3</f>
        <v>0</v>
      </c>
      <c r="E99" s="2892">
        <f t="shared" si="31"/>
        <v>0</v>
      </c>
      <c r="F99" s="2892">
        <f t="shared" si="31"/>
        <v>0</v>
      </c>
      <c r="G99" s="2892">
        <f t="shared" si="31"/>
        <v>0</v>
      </c>
      <c r="H99" s="2892">
        <f t="shared" si="31"/>
        <v>0</v>
      </c>
      <c r="I99" s="2892">
        <f t="shared" si="31"/>
        <v>0</v>
      </c>
      <c r="J99" s="2892">
        <f t="shared" si="31"/>
        <v>0</v>
      </c>
      <c r="K99" s="2892">
        <f t="shared" si="31"/>
        <v>0</v>
      </c>
      <c r="L99" s="2892">
        <f t="shared" si="31"/>
        <v>0</v>
      </c>
      <c r="M99" s="2892">
        <f t="shared" si="31"/>
        <v>0</v>
      </c>
      <c r="N99" s="2892">
        <f>$I$3</f>
        <v>0</v>
      </c>
    </row>
    <row r="100" spans="1:14">
      <c r="A100" s="3229"/>
      <c r="B100" s="2890">
        <v>7</v>
      </c>
      <c r="C100" s="2893">
        <f>(-0.163*(C99^2)-0.59*C99+7617)*(10^(-4))</f>
        <v>0.76170000000000004</v>
      </c>
      <c r="D100" s="2893">
        <f>(-0.163*(D99^2)-0.59*D99+7617)*(10^(-4))</f>
        <v>0.76170000000000004</v>
      </c>
      <c r="E100" s="2893">
        <f>(-0.161*(E99^2)-7.509*E99+6533)*(10^(-4))</f>
        <v>0.65329999999999999</v>
      </c>
      <c r="F100" s="2893">
        <f>(-0.161*(F99^2)-7.509*F99+6533)*(10^(-4))</f>
        <v>0.65329999999999999</v>
      </c>
      <c r="G100" s="2893">
        <f>(-0.161*(G99^2)-7.509*G99+6533)*(10^(-4))</f>
        <v>0.65329999999999999</v>
      </c>
      <c r="H100" s="2893">
        <f>(-0.161*(H99^2)-7.509*H99+6533)*(10^(-4))</f>
        <v>0.65329999999999999</v>
      </c>
      <c r="I100" s="2893">
        <f>(-0.161*(I99^2)-7.509*I99+6533)*(10^(-4))</f>
        <v>0.65329999999999999</v>
      </c>
      <c r="J100" s="2893">
        <f>(-0.214*(J99^2)-21.991*J99+4665)*(10^(-4))</f>
        <v>0.46650000000000003</v>
      </c>
      <c r="K100" s="2893">
        <f>(-0.214*(K99^2)-21.991*K99+4665)*(10^(-4))</f>
        <v>0.46650000000000003</v>
      </c>
      <c r="L100" s="2893">
        <f>(-0.214*(L99^2)-21.991*L99+4665)*(10^(-4))</f>
        <v>0.46650000000000003</v>
      </c>
      <c r="M100" s="2893">
        <f>(-0.214*(M99^2)-21.991*M99+4665)*(10^(-4))</f>
        <v>0.46650000000000003</v>
      </c>
      <c r="N100" s="2893">
        <f>(-0.214*(N99^2)-21.991*N99+4665)*(10^(-4))</f>
        <v>0.46650000000000003</v>
      </c>
    </row>
    <row r="101" spans="1:14">
      <c r="A101" s="3227" t="s">
        <v>2972</v>
      </c>
      <c r="B101" s="2894" t="s">
        <v>2973</v>
      </c>
      <c r="C101" s="2895">
        <f>$G$3</f>
        <v>1.47</v>
      </c>
      <c r="D101" s="2895">
        <f t="shared" ref="D101:N101" si="32">$G$3</f>
        <v>1.47</v>
      </c>
      <c r="E101" s="2895">
        <f t="shared" si="32"/>
        <v>1.47</v>
      </c>
      <c r="F101" s="2895">
        <f t="shared" si="32"/>
        <v>1.47</v>
      </c>
      <c r="G101" s="2895">
        <f t="shared" si="32"/>
        <v>1.47</v>
      </c>
      <c r="H101" s="2895">
        <f t="shared" si="32"/>
        <v>1.47</v>
      </c>
      <c r="I101" s="2895">
        <f t="shared" si="32"/>
        <v>1.47</v>
      </c>
      <c r="J101" s="2895">
        <f t="shared" si="32"/>
        <v>1.47</v>
      </c>
      <c r="K101" s="2895">
        <f t="shared" si="32"/>
        <v>1.47</v>
      </c>
      <c r="L101" s="2895">
        <f t="shared" si="32"/>
        <v>1.47</v>
      </c>
      <c r="M101" s="2895">
        <f t="shared" si="32"/>
        <v>1.47</v>
      </c>
      <c r="N101" s="2895">
        <f t="shared" si="32"/>
        <v>1.47</v>
      </c>
    </row>
    <row r="102" spans="1:14">
      <c r="A102" s="3228"/>
      <c r="B102" s="2890">
        <v>1</v>
      </c>
      <c r="C102" s="2891">
        <f>1.9362/C101</f>
        <v>1.3171428571428572</v>
      </c>
      <c r="D102" s="2891">
        <f>1.9362/D101</f>
        <v>1.3171428571428572</v>
      </c>
      <c r="E102" s="2891">
        <f>1.8629/E101</f>
        <v>1.2672789115646259</v>
      </c>
      <c r="F102" s="2891">
        <f>1.8629/F101</f>
        <v>1.2672789115646259</v>
      </c>
      <c r="G102" s="2891">
        <f>1.8629/G101</f>
        <v>1.2672789115646259</v>
      </c>
      <c r="H102" s="2891">
        <f>1.8629/H101</f>
        <v>1.2672789115646259</v>
      </c>
      <c r="I102" s="2891">
        <f>1.8629/I101</f>
        <v>1.2672789115646259</v>
      </c>
      <c r="J102" s="2891">
        <f>1.942/J101</f>
        <v>1.3210884353741497</v>
      </c>
      <c r="K102" s="2891">
        <f>1.942/K101</f>
        <v>1.3210884353741497</v>
      </c>
      <c r="L102" s="2891">
        <f>1.942/L101</f>
        <v>1.3210884353741497</v>
      </c>
      <c r="M102" s="2891">
        <f>1.942/M101</f>
        <v>1.3210884353741497</v>
      </c>
      <c r="N102" s="2891">
        <f>1.942/N101</f>
        <v>1.3210884353741497</v>
      </c>
    </row>
    <row r="103" spans="1:14">
      <c r="A103" s="3228"/>
      <c r="B103" s="2890">
        <v>2</v>
      </c>
      <c r="C103" s="2891">
        <f>1.4198/C101</f>
        <v>0.96585034013605442</v>
      </c>
      <c r="D103" s="2891">
        <f>1.4198/D101</f>
        <v>0.96585034013605442</v>
      </c>
      <c r="E103" s="2891">
        <f>1.3372/E101</f>
        <v>0.90965986394557818</v>
      </c>
      <c r="F103" s="2891">
        <f>1.3372/F101</f>
        <v>0.90965986394557818</v>
      </c>
      <c r="G103" s="2891">
        <f>1.3372/G101</f>
        <v>0.90965986394557818</v>
      </c>
      <c r="H103" s="2891">
        <f>1.3372/H101</f>
        <v>0.90965986394557818</v>
      </c>
      <c r="I103" s="2891">
        <f>1.3372/I101</f>
        <v>0.90965986394557818</v>
      </c>
      <c r="J103" s="2891">
        <f>1.2799/J101</f>
        <v>0.87068027210884358</v>
      </c>
      <c r="K103" s="2891">
        <f>1.2799/K101</f>
        <v>0.87068027210884358</v>
      </c>
      <c r="L103" s="2891">
        <f>1.2799/L101</f>
        <v>0.87068027210884358</v>
      </c>
      <c r="M103" s="2891">
        <f>1.2799/M101</f>
        <v>0.87068027210884358</v>
      </c>
      <c r="N103" s="2891">
        <f>1.2799/N101</f>
        <v>0.87068027210884358</v>
      </c>
    </row>
    <row r="104" spans="1:14">
      <c r="A104" s="3228"/>
      <c r="B104" s="2890">
        <v>3</v>
      </c>
      <c r="C104" s="2891">
        <f>1.1594/C101</f>
        <v>0.78870748299319726</v>
      </c>
      <c r="D104" s="2891">
        <f>1.1594/D101</f>
        <v>0.78870748299319726</v>
      </c>
      <c r="E104" s="2891">
        <f>1.0788/E101</f>
        <v>0.73387755102040819</v>
      </c>
      <c r="F104" s="2891">
        <f>1.0788/F101</f>
        <v>0.73387755102040819</v>
      </c>
      <c r="G104" s="2891">
        <f>1.0788/G101</f>
        <v>0.73387755102040819</v>
      </c>
      <c r="H104" s="2891">
        <f>1.0788/H101</f>
        <v>0.73387755102040819</v>
      </c>
      <c r="I104" s="2891">
        <f>1.0788/I101</f>
        <v>0.73387755102040819</v>
      </c>
      <c r="J104" s="2891">
        <f>1.0072/J101</f>
        <v>0.68517006802721092</v>
      </c>
      <c r="K104" s="2891">
        <f>1.0072/K101</f>
        <v>0.68517006802721092</v>
      </c>
      <c r="L104" s="2891">
        <f>1.0072/L101</f>
        <v>0.68517006802721092</v>
      </c>
      <c r="M104" s="2891">
        <f>1.0072/M101</f>
        <v>0.68517006802721092</v>
      </c>
      <c r="N104" s="2891">
        <f>1.0072/N101</f>
        <v>0.68517006802721092</v>
      </c>
    </row>
    <row r="105" spans="1:14">
      <c r="A105" s="3228"/>
      <c r="B105" s="2890">
        <v>4</v>
      </c>
      <c r="C105" s="2891">
        <f>0.9622/C101</f>
        <v>0.6545578231292517</v>
      </c>
      <c r="D105" s="2891">
        <f>0.9622/D101</f>
        <v>0.6545578231292517</v>
      </c>
      <c r="E105" s="2891">
        <f>0.8656/E101</f>
        <v>0.58884353741496598</v>
      </c>
      <c r="F105" s="2891">
        <f>0.8656/F101</f>
        <v>0.58884353741496598</v>
      </c>
      <c r="G105" s="2891">
        <f>0.8656/G101</f>
        <v>0.58884353741496598</v>
      </c>
      <c r="H105" s="2891">
        <f>0.8656/H101</f>
        <v>0.58884353741496598</v>
      </c>
      <c r="I105" s="2891">
        <f>0.8656/I101</f>
        <v>0.58884353741496598</v>
      </c>
      <c r="J105" s="2891">
        <f>0.7525/J101</f>
        <v>0.51190476190476186</v>
      </c>
      <c r="K105" s="2891">
        <f>0.7525/K101</f>
        <v>0.51190476190476186</v>
      </c>
      <c r="L105" s="2891">
        <f>0.7525/L101</f>
        <v>0.51190476190476186</v>
      </c>
      <c r="M105" s="2891">
        <f>0.7525/M101</f>
        <v>0.51190476190476186</v>
      </c>
      <c r="N105" s="2891">
        <f>0.7525/N101</f>
        <v>0.51190476190476186</v>
      </c>
    </row>
    <row r="106" spans="1:14">
      <c r="A106" s="3228"/>
      <c r="B106" s="2890">
        <v>5</v>
      </c>
      <c r="C106" s="2891">
        <f>0.8417/C101</f>
        <v>0.5725850340136055</v>
      </c>
      <c r="D106" s="2891">
        <f>0.8417/D101</f>
        <v>0.5725850340136055</v>
      </c>
      <c r="E106" s="2891">
        <f>0.7371/E101</f>
        <v>0.50142857142857145</v>
      </c>
      <c r="F106" s="2891">
        <f>0.7371/F101</f>
        <v>0.50142857142857145</v>
      </c>
      <c r="G106" s="2891">
        <f>0.7371/G101</f>
        <v>0.50142857142857145</v>
      </c>
      <c r="H106" s="2891">
        <f>0.7371/H101</f>
        <v>0.50142857142857145</v>
      </c>
      <c r="I106" s="2891">
        <f>0.7371/I101</f>
        <v>0.50142857142857145</v>
      </c>
      <c r="J106" s="2891">
        <f>0.5659/J101</f>
        <v>0.38496598639455781</v>
      </c>
      <c r="K106" s="2891">
        <f>0.5659/K101</f>
        <v>0.38496598639455781</v>
      </c>
      <c r="L106" s="2891">
        <f>0.5659/L101</f>
        <v>0.38496598639455781</v>
      </c>
      <c r="M106" s="2891">
        <f>0.5659/M101</f>
        <v>0.38496598639455781</v>
      </c>
      <c r="N106" s="2891">
        <f>0.5659/N101</f>
        <v>0.38496598639455781</v>
      </c>
    </row>
    <row r="107" spans="1:14">
      <c r="A107" s="3228"/>
      <c r="B107" s="2890">
        <v>6</v>
      </c>
      <c r="C107" s="2891">
        <f>0.7608/C101</f>
        <v>0.51755102040816325</v>
      </c>
      <c r="D107" s="2891">
        <f>0.7608/D101</f>
        <v>0.51755102040816325</v>
      </c>
      <c r="E107" s="2891">
        <f>0.6482/E101</f>
        <v>0.44095238095238098</v>
      </c>
      <c r="F107" s="2891">
        <f>0.6482/F101</f>
        <v>0.44095238095238098</v>
      </c>
      <c r="G107" s="2891">
        <f>0.6482/G101</f>
        <v>0.44095238095238098</v>
      </c>
      <c r="H107" s="2891">
        <f>0.6482/H101</f>
        <v>0.44095238095238098</v>
      </c>
      <c r="I107" s="2891">
        <f>0.6482/I101</f>
        <v>0.44095238095238098</v>
      </c>
      <c r="J107" s="2891">
        <f>0.4525/J101</f>
        <v>0.30782312925170069</v>
      </c>
      <c r="K107" s="2891">
        <f>0.4525/K101</f>
        <v>0.30782312925170069</v>
      </c>
      <c r="L107" s="2891">
        <f>0.4525/L101</f>
        <v>0.30782312925170069</v>
      </c>
      <c r="M107" s="2891">
        <f>0.4525/M101</f>
        <v>0.30782312925170069</v>
      </c>
      <c r="N107" s="2891">
        <f>0.4525/N101</f>
        <v>0.30782312925170069</v>
      </c>
    </row>
    <row r="108" spans="1:14">
      <c r="A108" s="3228"/>
      <c r="B108" s="3182" t="s">
        <v>2974</v>
      </c>
      <c r="C108" s="2892">
        <f>C99</f>
        <v>0</v>
      </c>
      <c r="D108" s="2892">
        <f t="shared" ref="D108:N108" si="33">D99</f>
        <v>0</v>
      </c>
      <c r="E108" s="2892">
        <f t="shared" si="33"/>
        <v>0</v>
      </c>
      <c r="F108" s="2892">
        <f t="shared" si="33"/>
        <v>0</v>
      </c>
      <c r="G108" s="2892">
        <f t="shared" si="33"/>
        <v>0</v>
      </c>
      <c r="H108" s="2892">
        <f t="shared" si="33"/>
        <v>0</v>
      </c>
      <c r="I108" s="2892">
        <f t="shared" si="33"/>
        <v>0</v>
      </c>
      <c r="J108" s="2892">
        <f t="shared" si="33"/>
        <v>0</v>
      </c>
      <c r="K108" s="2892">
        <f t="shared" si="33"/>
        <v>0</v>
      </c>
      <c r="L108" s="2892">
        <f t="shared" si="33"/>
        <v>0</v>
      </c>
      <c r="M108" s="2892">
        <f t="shared" si="33"/>
        <v>0</v>
      </c>
      <c r="N108" s="2892">
        <f t="shared" si="33"/>
        <v>0</v>
      </c>
    </row>
    <row r="109" spans="1:14">
      <c r="A109" s="3229"/>
      <c r="B109" s="3183"/>
      <c r="C109" s="2893">
        <f>(-0.163*(C108^2)-0.59*C108+7617)*(10^(-4))/C101</f>
        <v>0.51816326530612244</v>
      </c>
      <c r="D109" s="2893">
        <f>(-0.163*(D108^2)-0.59*D108+7617)*(10^(-4))/D101</f>
        <v>0.51816326530612244</v>
      </c>
      <c r="E109" s="2893">
        <f>(-0.161*(E108^2)-7.509*E108+6533)*(10^(-4))/E101</f>
        <v>0.44442176870748301</v>
      </c>
      <c r="F109" s="2893">
        <f>(-0.161*(F108^2)-7.509*F108+6533)*(10^(-4))/F101</f>
        <v>0.44442176870748301</v>
      </c>
      <c r="G109" s="2893">
        <f>(-0.161*(G108^2)-7.509*G108+6533)*(10^(-4))/G101</f>
        <v>0.44442176870748301</v>
      </c>
      <c r="H109" s="2893">
        <f>(-0.161*(H108^2)-7.509*H108+6533)*(10^(-4))/H101</f>
        <v>0.44442176870748301</v>
      </c>
      <c r="I109" s="2893">
        <f>(-0.161*(I108^2)-7.509*I108+6533)*(10^(-4))/I101</f>
        <v>0.44442176870748301</v>
      </c>
      <c r="J109" s="2893">
        <f>(-0.214*(J108^2)-21.991*J108+4665)*(10^(-4))/J101</f>
        <v>0.31734693877551023</v>
      </c>
      <c r="K109" s="2893">
        <f>(-0.214*(K108^2)-21.991*K108+4665)*(10^(-4))/K101</f>
        <v>0.31734693877551023</v>
      </c>
      <c r="L109" s="2893">
        <f>(-0.214*(L108^2)-21.991*L108+4665)*(10^(-4))/L101</f>
        <v>0.31734693877551023</v>
      </c>
      <c r="M109" s="2893">
        <f>(-0.214*(M108^2)-21.991*M108+4665)*(10^(-4))/M101</f>
        <v>0.31734693877551023</v>
      </c>
      <c r="N109" s="2893">
        <f>(-0.214*(N108^2)-21.991*N108+4665)*(10^(-4))/N101</f>
        <v>0.31734693877551023</v>
      </c>
    </row>
    <row r="110" spans="1:14">
      <c r="A110" s="3225" t="s">
        <v>2975</v>
      </c>
      <c r="B110" s="3225"/>
      <c r="C110" s="3225"/>
      <c r="D110" s="3225"/>
      <c r="E110" s="3225"/>
      <c r="F110" s="3225"/>
      <c r="G110" s="3225"/>
      <c r="H110" s="3225"/>
      <c r="I110" s="3225"/>
      <c r="J110" s="3225"/>
      <c r="K110" s="2896"/>
      <c r="L110" s="2896"/>
      <c r="M110" s="2896"/>
      <c r="N110" s="2896"/>
    </row>
    <row r="112" spans="1:14" ht="13.5" thickBot="1"/>
    <row r="113" spans="1:13" ht="25.5" thickBot="1">
      <c r="A113" s="903" t="s">
        <v>2976</v>
      </c>
      <c r="B113" s="1287">
        <f>G3</f>
        <v>1.47</v>
      </c>
      <c r="C113" s="904" t="s">
        <v>2977</v>
      </c>
      <c r="D113" s="905">
        <f>SUMPRODUCT((A115:A118=F113)*(B114:M114=H113)*B115:M118)</f>
        <v>0.68669999999999998</v>
      </c>
      <c r="E113" s="2727" t="s">
        <v>2810</v>
      </c>
      <c r="F113" s="2898" t="str">
        <f>E2</f>
        <v>工业</v>
      </c>
      <c r="G113" s="2727" t="s">
        <v>2811</v>
      </c>
      <c r="H113" s="2898" t="str">
        <f>G2</f>
        <v>三级</v>
      </c>
      <c r="I113" s="2727"/>
      <c r="J113" s="2899"/>
      <c r="K113" s="2899"/>
      <c r="L113" s="2899"/>
      <c r="M113" s="2899"/>
    </row>
    <row r="114" spans="1:13">
      <c r="A114" s="908"/>
      <c r="B114" s="2900" t="s">
        <v>2978</v>
      </c>
      <c r="C114" s="2900" t="s">
        <v>2979</v>
      </c>
      <c r="D114" s="2900" t="s">
        <v>2980</v>
      </c>
      <c r="E114" s="2901" t="s">
        <v>2981</v>
      </c>
      <c r="F114" s="2901" t="s">
        <v>2982</v>
      </c>
      <c r="G114" s="2901" t="s">
        <v>2983</v>
      </c>
      <c r="H114" s="2902" t="s">
        <v>2984</v>
      </c>
      <c r="I114" s="2902" t="s">
        <v>2985</v>
      </c>
      <c r="J114" s="2903" t="s">
        <v>2986</v>
      </c>
      <c r="K114" s="2903" t="s">
        <v>2987</v>
      </c>
      <c r="L114" s="2903" t="s">
        <v>2988</v>
      </c>
      <c r="M114" s="2904" t="s">
        <v>2989</v>
      </c>
    </row>
    <row r="115" spans="1:13">
      <c r="A115" s="909" t="s">
        <v>2875</v>
      </c>
      <c r="B115" s="910">
        <f>ROUND(0.9335-0.0094*B113,4)</f>
        <v>0.91969999999999996</v>
      </c>
      <c r="C115" s="910">
        <f>B115</f>
        <v>0.91969999999999996</v>
      </c>
      <c r="D115" s="910">
        <f>ROUND(0.8331-0.0109*B113,4)</f>
        <v>0.81710000000000005</v>
      </c>
      <c r="E115" s="910">
        <f>D115</f>
        <v>0.81710000000000005</v>
      </c>
      <c r="F115" s="910">
        <f>E115</f>
        <v>0.81710000000000005</v>
      </c>
      <c r="G115" s="910">
        <f>F115</f>
        <v>0.81710000000000005</v>
      </c>
      <c r="H115" s="910">
        <f>G115</f>
        <v>0.81710000000000005</v>
      </c>
      <c r="I115" s="910">
        <f>ROUND(0.689-0.0155*B113,4)</f>
        <v>0.66620000000000001</v>
      </c>
      <c r="J115" s="910">
        <f t="shared" ref="J115:M118" si="34">I115</f>
        <v>0.66620000000000001</v>
      </c>
      <c r="K115" s="910">
        <f t="shared" si="34"/>
        <v>0.66620000000000001</v>
      </c>
      <c r="L115" s="910">
        <f t="shared" si="34"/>
        <v>0.66620000000000001</v>
      </c>
      <c r="M115" s="911">
        <f t="shared" si="34"/>
        <v>0.66620000000000001</v>
      </c>
    </row>
    <row r="116" spans="1:13">
      <c r="A116" s="909" t="s">
        <v>2876</v>
      </c>
      <c r="B116" s="910">
        <f>ROUND(0.949-0.012*B113,4)</f>
        <v>0.93140000000000001</v>
      </c>
      <c r="C116" s="910">
        <f>B116</f>
        <v>0.93140000000000001</v>
      </c>
      <c r="D116" s="910">
        <f>ROUND(0.8567-0.013*B113,4)</f>
        <v>0.83760000000000001</v>
      </c>
      <c r="E116" s="910">
        <f t="shared" ref="E116:H117" si="35">D116</f>
        <v>0.83760000000000001</v>
      </c>
      <c r="F116" s="910">
        <f t="shared" si="35"/>
        <v>0.83760000000000001</v>
      </c>
      <c r="G116" s="910">
        <f t="shared" si="35"/>
        <v>0.83760000000000001</v>
      </c>
      <c r="H116" s="910">
        <f t="shared" si="35"/>
        <v>0.83760000000000001</v>
      </c>
      <c r="I116" s="910">
        <f>ROUND(0.7694-0.014*B113,4)</f>
        <v>0.74880000000000002</v>
      </c>
      <c r="J116" s="910">
        <f t="shared" si="34"/>
        <v>0.74880000000000002</v>
      </c>
      <c r="K116" s="910">
        <f t="shared" si="34"/>
        <v>0.74880000000000002</v>
      </c>
      <c r="L116" s="910">
        <f t="shared" si="34"/>
        <v>0.74880000000000002</v>
      </c>
      <c r="M116" s="911">
        <f t="shared" si="34"/>
        <v>0.74880000000000002</v>
      </c>
    </row>
    <row r="117" spans="1:13">
      <c r="A117" s="909" t="s">
        <v>2877</v>
      </c>
      <c r="B117" s="910">
        <f>ROUND(0.8808-0.006*B113,4)</f>
        <v>0.872</v>
      </c>
      <c r="C117" s="910">
        <f>B117</f>
        <v>0.872</v>
      </c>
      <c r="D117" s="910">
        <f>ROUND(0.8748-0.008*B113,4)</f>
        <v>0.86299999999999999</v>
      </c>
      <c r="E117" s="910">
        <f t="shared" si="35"/>
        <v>0.86299999999999999</v>
      </c>
      <c r="F117" s="910">
        <f t="shared" si="35"/>
        <v>0.86299999999999999</v>
      </c>
      <c r="G117" s="910">
        <f t="shared" si="35"/>
        <v>0.86299999999999999</v>
      </c>
      <c r="H117" s="910">
        <f t="shared" si="35"/>
        <v>0.86299999999999999</v>
      </c>
      <c r="I117" s="910">
        <f>ROUND(0.7412-0.0095*B113,4)</f>
        <v>0.72719999999999996</v>
      </c>
      <c r="J117" s="910">
        <f t="shared" si="34"/>
        <v>0.72719999999999996</v>
      </c>
      <c r="K117" s="910">
        <f t="shared" si="34"/>
        <v>0.72719999999999996</v>
      </c>
      <c r="L117" s="910">
        <f t="shared" si="34"/>
        <v>0.72719999999999996</v>
      </c>
      <c r="M117" s="911">
        <f t="shared" si="34"/>
        <v>0.72719999999999996</v>
      </c>
    </row>
    <row r="118" spans="1:13" ht="13.5" thickBot="1">
      <c r="A118" s="714" t="s">
        <v>2878</v>
      </c>
      <c r="B118" s="912">
        <f>ROUND(0.7275-0.01*B113,4)</f>
        <v>0.71279999999999999</v>
      </c>
      <c r="C118" s="912">
        <f>B118</f>
        <v>0.71279999999999999</v>
      </c>
      <c r="D118" s="912">
        <f>ROUND(0.7043-0.012*B113,4)</f>
        <v>0.68669999999999998</v>
      </c>
      <c r="E118" s="912">
        <f>D118</f>
        <v>0.68669999999999998</v>
      </c>
      <c r="F118" s="912">
        <f>E118</f>
        <v>0.68669999999999998</v>
      </c>
      <c r="G118" s="912">
        <f>ROUND(0.6299-0.0122*B113,4)</f>
        <v>0.61199999999999999</v>
      </c>
      <c r="H118" s="912">
        <f>G118</f>
        <v>0.61199999999999999</v>
      </c>
      <c r="I118" s="912">
        <f>ROUND(0.5667-0.0136*B113,4)</f>
        <v>0.54669999999999996</v>
      </c>
      <c r="J118" s="912">
        <f t="shared" si="34"/>
        <v>0.54669999999999996</v>
      </c>
      <c r="K118" s="912">
        <f t="shared" si="34"/>
        <v>0.54669999999999996</v>
      </c>
      <c r="L118" s="912">
        <f t="shared" si="34"/>
        <v>0.54669999999999996</v>
      </c>
      <c r="M118" s="913">
        <f t="shared" si="34"/>
        <v>0.54669999999999996</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81" type="noConversion"/>
  <conditionalFormatting sqref="F48">
    <cfRule type="cellIs" dxfId="132" priority="5" stopIfTrue="1" operator="notEqual">
      <formula>"——"</formula>
    </cfRule>
  </conditionalFormatting>
  <conditionalFormatting sqref="F59">
    <cfRule type="cellIs" dxfId="131" priority="4" stopIfTrue="1" operator="notEqual">
      <formula>"——"</formula>
    </cfRule>
  </conditionalFormatting>
  <conditionalFormatting sqref="F70">
    <cfRule type="cellIs" dxfId="130" priority="3" stopIfTrue="1" operator="notEqual">
      <formula>"——"</formula>
    </cfRule>
  </conditionalFormatting>
  <conditionalFormatting sqref="F81">
    <cfRule type="cellIs" dxfId="129" priority="2" stopIfTrue="1" operator="notEqual">
      <formula>"——"</formula>
    </cfRule>
  </conditionalFormatting>
  <conditionalFormatting sqref="H48:H56 H59:H67 H70:H78 H81:H88">
    <cfRule type="cellIs" dxfId="128"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E30" sqref="E30"/>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1584</v>
      </c>
      <c r="B1" s="782"/>
      <c r="C1" s="1837" t="s">
        <v>6</v>
      </c>
      <c r="D1" s="1820" t="s">
        <v>70</v>
      </c>
      <c r="E1" s="1821" t="s">
        <v>1383</v>
      </c>
      <c r="F1" s="1283">
        <f ca="1">J53</f>
        <v>27.89</v>
      </c>
      <c r="G1" s="1836">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1510</v>
      </c>
      <c r="B2" s="1844">
        <f ca="1">C40+J29+L46</f>
        <v>100810</v>
      </c>
      <c r="C2" s="1845" t="s">
        <v>1511</v>
      </c>
      <c r="D2" s="1845"/>
      <c r="E2" s="1846"/>
      <c r="F2" s="1847"/>
      <c r="G2" s="1848"/>
      <c r="H2" s="1840"/>
      <c r="I2" s="1840"/>
      <c r="J2" s="1840"/>
      <c r="K2" s="1841"/>
      <c r="L2" s="1840"/>
      <c r="M2" s="1840"/>
    </row>
    <row r="3" spans="1:37" ht="18" customHeight="1" thickBot="1">
      <c r="A3" s="1849" t="s">
        <v>1512</v>
      </c>
      <c r="B3" s="1850">
        <f ca="1">IF(ISERROR(B2*10000/F43),0,ROUND(B2*10000/F43,0))</f>
        <v>37059</v>
      </c>
      <c r="C3" s="1845" t="s">
        <v>1513</v>
      </c>
      <c r="D3" s="1845"/>
      <c r="E3" s="1846"/>
      <c r="F3" s="1847"/>
      <c r="G3" s="1848"/>
      <c r="H3" s="744" t="s">
        <v>1583</v>
      </c>
      <c r="I3" s="1840"/>
      <c r="J3" s="1840"/>
      <c r="K3" s="1841"/>
      <c r="L3" s="1840"/>
      <c r="M3" s="1840"/>
    </row>
    <row r="4" spans="1:37" ht="18" customHeight="1">
      <c r="A4" s="340" t="s">
        <v>1392</v>
      </c>
      <c r="B4" s="341" t="s">
        <v>1393</v>
      </c>
      <c r="C4" s="341" t="s">
        <v>1394</v>
      </c>
      <c r="D4" s="341" t="s">
        <v>1395</v>
      </c>
      <c r="E4" s="342" t="s">
        <v>1396</v>
      </c>
      <c r="F4" s="343"/>
      <c r="G4" s="1851"/>
      <c r="H4" s="340" t="s">
        <v>1392</v>
      </c>
      <c r="I4" s="341" t="s">
        <v>1393</v>
      </c>
      <c r="J4" s="341" t="s">
        <v>1394</v>
      </c>
      <c r="K4" s="341" t="s">
        <v>1395</v>
      </c>
      <c r="L4" s="342" t="s">
        <v>1396</v>
      </c>
      <c r="M4" s="343"/>
    </row>
    <row r="5" spans="1:37" ht="18" customHeight="1">
      <c r="A5" s="344">
        <v>1</v>
      </c>
      <c r="B5" s="345" t="s">
        <v>1397</v>
      </c>
      <c r="C5" s="1292">
        <f ca="1">C6+C10+C12</f>
        <v>8638</v>
      </c>
      <c r="D5" s="1822" t="s">
        <v>1398</v>
      </c>
      <c r="E5" s="1293"/>
      <c r="F5" s="1294"/>
      <c r="G5" s="1851"/>
      <c r="H5" s="344">
        <v>1</v>
      </c>
      <c r="I5" s="345" t="s">
        <v>1397</v>
      </c>
      <c r="J5" s="1292">
        <f ca="1">J6+J10+J12</f>
        <v>8489</v>
      </c>
      <c r="K5" s="1822" t="s">
        <v>1398</v>
      </c>
      <c r="L5" s="1293"/>
      <c r="M5" s="1294"/>
    </row>
    <row r="6" spans="1:37" ht="18" customHeight="1">
      <c r="A6" s="1291" t="s">
        <v>1032</v>
      </c>
      <c r="B6" s="3237" t="s">
        <v>1399</v>
      </c>
      <c r="C6" s="1296">
        <f ca="1">ROUND(F6*F8*F7*(1-F9)/10000,0)</f>
        <v>8638</v>
      </c>
      <c r="D6" s="164" t="s">
        <v>3027</v>
      </c>
      <c r="E6" s="347" t="s">
        <v>1401</v>
      </c>
      <c r="F6" s="348">
        <f ca="1">INDIRECT("'数据-取费表'!u"&amp;$G$1)</f>
        <v>8.6999999999999993</v>
      </c>
      <c r="G6" s="1851"/>
      <c r="H6" s="1291" t="s">
        <v>1032</v>
      </c>
      <c r="I6" s="3237" t="s">
        <v>1399</v>
      </c>
      <c r="J6" s="346">
        <f ca="1">ROUND(M6*M8*M7*(1-M9)/10000,0)</f>
        <v>8489</v>
      </c>
      <c r="K6" s="164" t="s">
        <v>3026</v>
      </c>
      <c r="L6" s="347" t="s">
        <v>1401</v>
      </c>
      <c r="M6" s="348">
        <f ca="1">INDIRECT("'数据-取费表'!z"&amp;$G$1)</f>
        <v>9.5</v>
      </c>
    </row>
    <row r="7" spans="1:37" ht="18" customHeight="1">
      <c r="A7" s="1295"/>
      <c r="B7" s="3238"/>
      <c r="C7" s="1297"/>
      <c r="D7" s="352"/>
      <c r="E7" s="1298" t="s">
        <v>1402</v>
      </c>
      <c r="F7" s="348">
        <f ca="1">IF(INDIRECT("'数据-取费表'!ah"&amp;$G$1)="",INDIRECT("'数据-取费表'!k"&amp;$G$1),INDIRECT("'数据-取费表'!ah"&amp;$G$1))</f>
        <v>27202.3</v>
      </c>
      <c r="G7" s="1851"/>
      <c r="H7" s="349"/>
      <c r="I7" s="3238"/>
      <c r="J7" s="351"/>
      <c r="K7" s="352"/>
      <c r="L7" s="347" t="s">
        <v>1402</v>
      </c>
      <c r="M7" s="348">
        <f ca="1">F7</f>
        <v>27202.3</v>
      </c>
    </row>
    <row r="8" spans="1:37" ht="18" customHeight="1">
      <c r="A8" s="349"/>
      <c r="B8" s="3238"/>
      <c r="C8" s="351"/>
      <c r="D8" s="352"/>
      <c r="E8" s="347" t="s">
        <v>1403</v>
      </c>
      <c r="F8" s="348">
        <f ca="1">INDIRECT("'数据-取费表'!ai"&amp;$G$1)</f>
        <v>365</v>
      </c>
      <c r="G8" s="1851"/>
      <c r="H8" s="349"/>
      <c r="I8" s="3238"/>
      <c r="J8" s="351"/>
      <c r="K8" s="352"/>
      <c r="L8" s="347" t="s">
        <v>1403</v>
      </c>
      <c r="M8" s="348">
        <f ca="1">INDIRECT("'数据-取费表'!ai"&amp;$G$1)</f>
        <v>365</v>
      </c>
    </row>
    <row r="9" spans="1:37" ht="18" customHeight="1">
      <c r="A9" s="349"/>
      <c r="B9" s="3239"/>
      <c r="C9" s="351"/>
      <c r="D9" s="352"/>
      <c r="E9" s="347" t="s">
        <v>1404</v>
      </c>
      <c r="F9" s="357">
        <f ca="1">INDIRECT("'数据-取费表'!w"&amp;$G$1)</f>
        <v>0</v>
      </c>
      <c r="G9" s="1851"/>
      <c r="H9" s="349"/>
      <c r="I9" s="3239"/>
      <c r="J9" s="351"/>
      <c r="K9" s="352"/>
      <c r="L9" s="358" t="s">
        <v>1404</v>
      </c>
      <c r="M9" s="359">
        <f ca="1">INDIRECT("'数据-取费表'!ab"&amp;$G$1)</f>
        <v>0.1</v>
      </c>
    </row>
    <row r="10" spans="1:37" ht="18" hidden="1" customHeight="1">
      <c r="A10" s="1291" t="s">
        <v>1036</v>
      </c>
      <c r="B10" s="1823" t="s">
        <v>1405</v>
      </c>
      <c r="C10" s="361">
        <f ca="1">ROUND(IF(F10="押一",C6/12*F11,IF(F10="押二",C6/12*2*F11,IF(F10="押三",C6/12*3*F11,C11*F11))),0)</f>
        <v>0</v>
      </c>
      <c r="D10" s="1824" t="s">
        <v>3036</v>
      </c>
      <c r="E10" s="358" t="s">
        <v>1406</v>
      </c>
      <c r="F10" s="1366" t="s">
        <v>3052</v>
      </c>
      <c r="G10" s="1851"/>
      <c r="H10" s="1291" t="s">
        <v>1036</v>
      </c>
      <c r="I10" s="1823" t="s">
        <v>1405</v>
      </c>
      <c r="J10" s="346">
        <f ca="1">ROUND(IF(M10="押一",J6/12*M11,IF(M10="押二",J6/12*2*M11,IF(M10="押三",J6/12*3*M11,J11*M11))),0)</f>
        <v>0</v>
      </c>
      <c r="K10" s="1824" t="s">
        <v>3035</v>
      </c>
      <c r="L10" s="358" t="s">
        <v>1406</v>
      </c>
      <c r="M10" s="1366" t="s">
        <v>3052</v>
      </c>
    </row>
    <row r="11" spans="1:37" ht="18" hidden="1" customHeight="1">
      <c r="A11" s="353"/>
      <c r="B11" s="1825" t="s">
        <v>1384</v>
      </c>
      <c r="C11" s="1178"/>
      <c r="D11" s="1826"/>
      <c r="E11" s="358" t="s">
        <v>1407</v>
      </c>
      <c r="F11" s="359">
        <f ca="1">'数据-取费表'!B39</f>
        <v>1.4999999999999999E-2</v>
      </c>
      <c r="G11" s="1851"/>
      <c r="H11" s="1299"/>
      <c r="I11" s="1825" t="s">
        <v>1384</v>
      </c>
      <c r="J11" s="1178"/>
      <c r="K11" s="748"/>
      <c r="L11" s="358" t="s">
        <v>1407</v>
      </c>
      <c r="M11" s="1056">
        <f ca="1">'数据-取费表'!B39</f>
        <v>1.4999999999999999E-2</v>
      </c>
    </row>
    <row r="12" spans="1:37" ht="18" hidden="1" customHeight="1" thickBot="1">
      <c r="A12" s="1333" t="s">
        <v>1072</v>
      </c>
      <c r="B12" s="1827" t="s">
        <v>1408</v>
      </c>
      <c r="C12" s="1334"/>
      <c r="D12" s="1335"/>
      <c r="E12" s="1340"/>
      <c r="F12" s="1336"/>
      <c r="G12" s="1851"/>
      <c r="H12" s="1333" t="s">
        <v>1072</v>
      </c>
      <c r="I12" s="1827" t="s">
        <v>1408</v>
      </c>
      <c r="J12" s="1334"/>
      <c r="K12" s="1348"/>
      <c r="L12" s="1340"/>
      <c r="M12" s="1349"/>
    </row>
    <row r="13" spans="1:37" ht="18" customHeight="1">
      <c r="A13" s="1329">
        <v>2</v>
      </c>
      <c r="B13" s="1330" t="s">
        <v>1409</v>
      </c>
      <c r="C13" s="355">
        <f ca="1">ROUND(C29*F13,0)</f>
        <v>8047</v>
      </c>
      <c r="D13" s="1331" t="s">
        <v>1410</v>
      </c>
      <c r="E13" s="1331" t="s">
        <v>1411</v>
      </c>
      <c r="F13" s="1332">
        <f ca="1">INDIRECT("'数据-取费表'!y"&amp;$G$1)</f>
        <v>0.7</v>
      </c>
      <c r="G13" s="1851"/>
      <c r="H13" s="1329">
        <v>2</v>
      </c>
      <c r="I13" s="1330" t="s">
        <v>1409</v>
      </c>
      <c r="J13" s="1290">
        <f ca="1">ROUND(J14*J15,0)</f>
        <v>8047</v>
      </c>
      <c r="K13" s="1337" t="s">
        <v>1410</v>
      </c>
      <c r="L13" s="1852"/>
      <c r="M13" s="1853"/>
    </row>
    <row r="14" spans="1:37" ht="18" customHeight="1">
      <c r="A14" s="1201" t="s">
        <v>1031</v>
      </c>
      <c r="B14" s="347" t="s">
        <v>1412</v>
      </c>
      <c r="C14" s="363">
        <f ca="1">INDIRECT("'数据-取费表'!m"&amp;$G$1)+INDIRECT("'数据-取费表'!t"&amp;$G$1)</f>
        <v>6801</v>
      </c>
      <c r="D14" s="1800" t="s">
        <v>1413</v>
      </c>
      <c r="E14" s="1794"/>
      <c r="F14" s="364"/>
      <c r="G14" s="1851"/>
      <c r="H14" s="1201" t="s">
        <v>1032</v>
      </c>
      <c r="I14" s="347" t="s">
        <v>1414</v>
      </c>
      <c r="J14" s="24">
        <f ca="1">C29</f>
        <v>11495</v>
      </c>
      <c r="K14" s="15"/>
      <c r="L14" s="979"/>
      <c r="M14" s="980"/>
    </row>
    <row r="15" spans="1:37" s="1858" customFormat="1" ht="18" customHeight="1" thickBot="1">
      <c r="A15" s="1201" t="s">
        <v>1033</v>
      </c>
      <c r="B15" s="347" t="s">
        <v>1415</v>
      </c>
      <c r="C15" s="24">
        <f ca="1">ROUND(C14*F15,0)</f>
        <v>204</v>
      </c>
      <c r="D15" s="365" t="s">
        <v>1416</v>
      </c>
      <c r="E15" s="365" t="s">
        <v>1417</v>
      </c>
      <c r="F15" s="366">
        <f>'数据-取费表'!B33</f>
        <v>0.03</v>
      </c>
      <c r="G15" s="1854"/>
      <c r="H15" s="1339" t="s">
        <v>1036</v>
      </c>
      <c r="I15" s="1340" t="s">
        <v>1411</v>
      </c>
      <c r="J15" s="1349">
        <f ca="1">INDIRECT("'数据-取费表'!ad"&amp;$G$1)</f>
        <v>0.7</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1385</v>
      </c>
      <c r="B16" s="347" t="s">
        <v>1418</v>
      </c>
      <c r="C16" s="24">
        <f ca="1">ROUND(INDIRECT("'数据-取费表'!m"&amp;$G$1)*F16,0)</f>
        <v>0</v>
      </c>
      <c r="D16" s="347" t="s">
        <v>1416</v>
      </c>
      <c r="E16" s="347" t="s">
        <v>1417</v>
      </c>
      <c r="F16" s="367">
        <f ca="1">IF(INDIRECT("'数据-取费表'!c"&amp;$G$1)="住宅",'数据-取费表'!B34,0)</f>
        <v>0</v>
      </c>
      <c r="G16" s="1851"/>
      <c r="H16" s="1329" t="s">
        <v>1027</v>
      </c>
      <c r="I16" s="1330" t="s">
        <v>1419</v>
      </c>
      <c r="J16" s="355">
        <f ca="1">ROUND(J17+J22+J23+J24,0)</f>
        <v>1970</v>
      </c>
      <c r="K16" s="1337" t="s">
        <v>1420</v>
      </c>
      <c r="L16" s="1338"/>
      <c r="M16" s="1294"/>
    </row>
    <row r="17" spans="1:37" s="1858" customFormat="1" ht="18" customHeight="1">
      <c r="A17" s="1201" t="s">
        <v>1386</v>
      </c>
      <c r="B17" s="347" t="s">
        <v>1421</v>
      </c>
      <c r="C17" s="24">
        <f ca="1">ROUND(F17*(F43+INDIRECT("'数据-取费表'!S"&amp;$G$1))/10000,0)</f>
        <v>544</v>
      </c>
      <c r="D17" s="347" t="s">
        <v>1422</v>
      </c>
      <c r="E17" s="347" t="s">
        <v>1423</v>
      </c>
      <c r="F17" s="26">
        <f>'数据-取费表'!B35</f>
        <v>200</v>
      </c>
      <c r="G17" s="1854"/>
      <c r="H17" s="1201" t="s">
        <v>1032</v>
      </c>
      <c r="I17" s="347" t="s">
        <v>1424</v>
      </c>
      <c r="J17" s="24">
        <f ca="1">ROUND(IF(项目基本情况!B11="自然人",J5*M17,J18+J19+J20),1)</f>
        <v>1515.7</v>
      </c>
      <c r="K17" s="1800" t="s">
        <v>1425</v>
      </c>
      <c r="L17" s="1798" t="s">
        <v>1426</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1387</v>
      </c>
      <c r="B18" s="347" t="s">
        <v>1427</v>
      </c>
      <c r="C18" s="24">
        <f ca="1">ROUND(C14*F18,0)</f>
        <v>102</v>
      </c>
      <c r="D18" s="347" t="s">
        <v>1416</v>
      </c>
      <c r="E18" s="347" t="s">
        <v>1417</v>
      </c>
      <c r="F18" s="367">
        <f>'数据-取费表'!B36</f>
        <v>1.4999999999999999E-2</v>
      </c>
      <c r="G18" s="1854"/>
      <c r="H18" s="1201" t="s">
        <v>1031</v>
      </c>
      <c r="I18" s="347" t="s">
        <v>1428</v>
      </c>
      <c r="J18" s="24">
        <f ca="1">ROUND(J5*M18/(1+'数据-取费表'!C42),2)</f>
        <v>452.75</v>
      </c>
      <c r="K18" s="1798" t="s">
        <v>1429</v>
      </c>
      <c r="L18" s="347" t="s">
        <v>1417</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1430</v>
      </c>
      <c r="C19" s="24">
        <f ca="1">SUM(C14:C18)</f>
        <v>7651</v>
      </c>
      <c r="D19" s="140" t="s">
        <v>1431</v>
      </c>
      <c r="E19" s="1818"/>
      <c r="F19" s="26"/>
      <c r="G19" s="1851"/>
      <c r="H19" s="1201" t="s">
        <v>1033</v>
      </c>
      <c r="I19" s="347" t="s">
        <v>1432</v>
      </c>
      <c r="J19" s="24">
        <f ca="1">IF(K19="按租金收入计税",ROUND(J5*M19,2),ROUND(C29*M19*0.7,2))</f>
        <v>1018.68</v>
      </c>
      <c r="K19" s="1828" t="s">
        <v>3051</v>
      </c>
      <c r="L19" s="347" t="s">
        <v>1417</v>
      </c>
      <c r="M19" s="367">
        <f>IF(K19="按租金收入计税",'数据-取费表'!B51,'数据-取费表'!B50)</f>
        <v>0.12</v>
      </c>
    </row>
    <row r="20" spans="1:37" s="1858" customFormat="1" ht="18" customHeight="1">
      <c r="A20" s="1201" t="s">
        <v>1036</v>
      </c>
      <c r="B20" s="347" t="s">
        <v>1434</v>
      </c>
      <c r="C20" s="24">
        <f ca="1">ROUND(C19*F20,0)</f>
        <v>153</v>
      </c>
      <c r="D20" s="369" t="s">
        <v>1435</v>
      </c>
      <c r="E20" s="347" t="s">
        <v>1417</v>
      </c>
      <c r="F20" s="367">
        <f>'数据-取费表'!B37</f>
        <v>0.02</v>
      </c>
      <c r="G20" s="1854"/>
      <c r="H20" s="1201" t="s">
        <v>1385</v>
      </c>
      <c r="I20" s="164" t="s">
        <v>1436</v>
      </c>
      <c r="J20" s="25">
        <f ca="1">ROUND(M20*M21/10000,2)</f>
        <v>44.29</v>
      </c>
      <c r="K20" s="370" t="s">
        <v>1437</v>
      </c>
      <c r="L20" s="347" t="s">
        <v>1438</v>
      </c>
      <c r="M20" s="371">
        <f>'数据-取费表'!B52</f>
        <v>24</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1439</v>
      </c>
      <c r="C21" s="24" t="s">
        <v>18</v>
      </c>
      <c r="D21" s="369" t="s">
        <v>1440</v>
      </c>
      <c r="E21" s="347" t="s">
        <v>1441</v>
      </c>
      <c r="F21" s="367">
        <f>'数据-取费表'!B38</f>
        <v>0.03</v>
      </c>
      <c r="G21" s="1854"/>
      <c r="H21" s="372"/>
      <c r="I21" s="356"/>
      <c r="J21" s="29"/>
      <c r="K21" s="373"/>
      <c r="L21" s="347" t="s">
        <v>1442</v>
      </c>
      <c r="M21" s="348">
        <f ca="1">INDIRECT("'数据-取费表'!r"&amp;$G$1)</f>
        <v>18455.759999999998</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1388</v>
      </c>
      <c r="B22" s="347" t="s">
        <v>1443</v>
      </c>
      <c r="C22" s="24"/>
      <c r="D22" s="140" t="str">
        <f>IF(F23&lt;=1,"单利计息。","复利计息。")&amp;"建造成本、管理费用、销售费用产生的利息。"</f>
        <v>复利计息。建造成本、管理费用、销售费用产生的利息。</v>
      </c>
      <c r="E22" s="1818"/>
      <c r="F22" s="26"/>
      <c r="G22" s="1851"/>
      <c r="H22" s="1201" t="s">
        <v>1036</v>
      </c>
      <c r="I22" s="347" t="s">
        <v>1444</v>
      </c>
      <c r="J22" s="24">
        <f ca="1">ROUND(J14*M22,1)</f>
        <v>229.9</v>
      </c>
      <c r="K22" s="1798" t="s">
        <v>1445</v>
      </c>
      <c r="L22" s="347" t="s">
        <v>1417</v>
      </c>
      <c r="M22" s="374">
        <f ca="1">INDIRECT("'数据-取费表'!Ak"&amp;$G$1)</f>
        <v>0.02</v>
      </c>
    </row>
    <row r="23" spans="1:37" s="1858" customFormat="1" ht="18" customHeight="1">
      <c r="A23" s="1201" t="s">
        <v>1031</v>
      </c>
      <c r="B23" s="347" t="s">
        <v>1446</v>
      </c>
      <c r="C23" s="24">
        <f ca="1">IF('数据-取费表'!B22&lt;=1,ROUND(C19*F24*F23/2,0)+ROUND(C20*F24*F23/2,0),ROUND(C19*(POWER((1+F24),F23/2)-1),0)+ROUND(C20*(POWER((1+F24),F23/2)-1),0))</f>
        <v>276</v>
      </c>
      <c r="D23" s="375" t="str">
        <f>IF(F23&lt;=1,"(建造成本+管理费用)×利率×(建设周期÷2)","(建造成本+管理费用)×((1+利率)^(建设周期÷2)-1)")</f>
        <v>(建造成本+管理费用)×((1+利率)^(建设周期÷2)-1)</v>
      </c>
      <c r="E23" s="347" t="s">
        <v>1447</v>
      </c>
      <c r="F23" s="371">
        <f>'数据-取费表'!B20</f>
        <v>1.5</v>
      </c>
      <c r="G23" s="1854"/>
      <c r="H23" s="1201" t="s">
        <v>1072</v>
      </c>
      <c r="I23" s="347" t="s">
        <v>1448</v>
      </c>
      <c r="J23" s="24">
        <f ca="1">ROUND(J13*M23,1)</f>
        <v>12.1</v>
      </c>
      <c r="K23" s="1798" t="s">
        <v>1449</v>
      </c>
      <c r="L23" s="347" t="s">
        <v>1450</v>
      </c>
      <c r="M23" s="376">
        <f ca="1">INDIRECT("'数据-取费表'!Al"&amp;$G$1)</f>
        <v>1.5E-3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1451</v>
      </c>
      <c r="B24" s="347" t="s">
        <v>1452</v>
      </c>
      <c r="C24" s="24">
        <f ca="1">ROUND(IF('数据-取费表'!B22&lt;=1,F21*F24*F23/2,F21*(POWER((1+F24),F23/2)-1)),4)</f>
        <v>1.1000000000000001E-3</v>
      </c>
      <c r="D24" s="375" t="str">
        <f>IF(F23&lt;=1,"销售费用×利率×(建设周期÷2)","销售费用×((1+利率)^(建设周期÷2)-1)")</f>
        <v>销售费用×((1+利率)^(建设周期÷2)-1)</v>
      </c>
      <c r="E24" s="347" t="s">
        <v>1453</v>
      </c>
      <c r="F24" s="377">
        <f ca="1">'数据-取费表'!B40</f>
        <v>4.7500000000000001E-2</v>
      </c>
      <c r="G24" s="1854"/>
      <c r="H24" s="1339" t="s">
        <v>1389</v>
      </c>
      <c r="I24" s="1340" t="s">
        <v>1434</v>
      </c>
      <c r="J24" s="1341">
        <f ca="1">ROUND(J5*M24,1)</f>
        <v>212.2</v>
      </c>
      <c r="K24" s="1342" t="s">
        <v>1454</v>
      </c>
      <c r="L24" s="1340" t="s">
        <v>1450</v>
      </c>
      <c r="M24" s="1336">
        <f ca="1">INDIRECT("'数据-取费表'!Am"&amp;$G$1)</f>
        <v>2.5000000000000001E-2</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1455</v>
      </c>
      <c r="B25" s="347" t="s">
        <v>1456</v>
      </c>
      <c r="C25" s="24"/>
      <c r="D25" s="140" t="s">
        <v>1457</v>
      </c>
      <c r="E25" s="1818"/>
      <c r="F25" s="26"/>
      <c r="G25" s="1851"/>
      <c r="H25" s="1329" t="s">
        <v>1028</v>
      </c>
      <c r="I25" s="1344" t="s">
        <v>1458</v>
      </c>
      <c r="J25" s="355">
        <f ca="1">J5-J16</f>
        <v>6519</v>
      </c>
      <c r="K25" s="1345" t="s">
        <v>1459</v>
      </c>
      <c r="L25" s="1346"/>
      <c r="M25" s="1347"/>
    </row>
    <row r="26" spans="1:37">
      <c r="A26" s="1201" t="s">
        <v>1031</v>
      </c>
      <c r="B26" s="347" t="s">
        <v>1460</v>
      </c>
      <c r="C26" s="24">
        <f ca="1">ROUND((C19+C20)*F26,0)</f>
        <v>2341</v>
      </c>
      <c r="D26" s="369" t="s">
        <v>1461</v>
      </c>
      <c r="E26" s="358" t="s">
        <v>1462</v>
      </c>
      <c r="F26" s="357">
        <f ca="1">INDIRECT("'数据-取费表'!q"&amp;$G$1)</f>
        <v>0.3</v>
      </c>
      <c r="G26" s="1851"/>
      <c r="H26" s="344" t="s">
        <v>1029</v>
      </c>
      <c r="I26" s="345" t="s">
        <v>1463</v>
      </c>
      <c r="J26" s="346">
        <f ca="1">IF(J5&lt;&gt;0,ROUND(J25*(1-((1+M28)/(1+M26))^M27)/(M26-M28),0),0)</f>
        <v>93556</v>
      </c>
      <c r="K26" s="370" t="s">
        <v>1464</v>
      </c>
      <c r="L26" s="347" t="s">
        <v>1465</v>
      </c>
      <c r="M26" s="357">
        <f ca="1">INDIRECT("'数据-取费表'!I"&amp;$G$1)</f>
        <v>5.5E-2</v>
      </c>
    </row>
    <row r="27" spans="1:37" ht="18" customHeight="1">
      <c r="A27" s="1201" t="s">
        <v>1033</v>
      </c>
      <c r="B27" s="347" t="s">
        <v>1466</v>
      </c>
      <c r="C27" s="24">
        <f ca="1">ROUND(F21*F26,4)</f>
        <v>8.9999999999999993E-3</v>
      </c>
      <c r="D27" s="369" t="s">
        <v>1467</v>
      </c>
      <c r="E27" s="365"/>
      <c r="F27" s="366"/>
      <c r="G27" s="1851"/>
      <c r="H27" s="349"/>
      <c r="I27" s="350"/>
      <c r="J27" s="351"/>
      <c r="K27" s="378" t="s">
        <v>1468</v>
      </c>
      <c r="L27" s="347" t="s">
        <v>1469</v>
      </c>
      <c r="M27" s="379">
        <f ca="1">INDIRECT("'数据-取费表'!ag"&amp;$G$1)</f>
        <v>22.080000000000002</v>
      </c>
    </row>
    <row r="28" spans="1:37" s="1858" customFormat="1" ht="18" customHeight="1">
      <c r="A28" s="1201" t="s">
        <v>1034</v>
      </c>
      <c r="B28" s="347" t="s">
        <v>1470</v>
      </c>
      <c r="C28" s="24">
        <f>ROUND(F28/(1+'数据-取费表'!C42),4)</f>
        <v>5.33E-2</v>
      </c>
      <c r="D28" s="369" t="s">
        <v>1471</v>
      </c>
      <c r="E28" s="347" t="s">
        <v>1417</v>
      </c>
      <c r="F28" s="367">
        <f>'数据-取费表'!B41</f>
        <v>5.6000000000000001E-2</v>
      </c>
      <c r="G28" s="1854"/>
      <c r="H28" s="353"/>
      <c r="I28" s="354"/>
      <c r="J28" s="355"/>
      <c r="K28" s="373"/>
      <c r="L28" s="347" t="s">
        <v>1472</v>
      </c>
      <c r="M28" s="357">
        <f ca="1">INDIRECT("'数据-取费表'!aa"&amp;$G$1)</f>
        <v>1.4999999999999999E-2</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1473</v>
      </c>
      <c r="C29" s="1341">
        <f ca="1">ROUND((C19+C20+C23+C26)/(1-F21-C24-C27-C28),0)</f>
        <v>11495</v>
      </c>
      <c r="D29" s="1342"/>
      <c r="E29" s="1340"/>
      <c r="F29" s="1343"/>
      <c r="G29" s="1854"/>
      <c r="H29" s="380" t="s">
        <v>1030</v>
      </c>
      <c r="I29" s="381" t="s">
        <v>1474</v>
      </c>
      <c r="J29" s="382">
        <f ca="1">ROUND(J26/(1+F40)^F41,0)</f>
        <v>68545</v>
      </c>
      <c r="K29" s="383" t="s">
        <v>1475</v>
      </c>
      <c r="L29" s="384"/>
      <c r="M29" s="385">
        <f ca="1">INDIRECT("'数据-取费表'!k"&amp;$G$1)</f>
        <v>27202.3</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1419</v>
      </c>
      <c r="C30" s="355">
        <f ca="1">ROUND(C31+C36+C37+C38,0)</f>
        <v>2000</v>
      </c>
      <c r="D30" s="1337" t="s">
        <v>1420</v>
      </c>
      <c r="E30" s="1338"/>
      <c r="F30" s="1294"/>
      <c r="G30" s="1851"/>
      <c r="H30" s="745"/>
      <c r="I30" s="746"/>
      <c r="J30" s="747"/>
      <c r="K30" s="748"/>
      <c r="L30" s="749"/>
      <c r="M30" s="750"/>
    </row>
    <row r="31" spans="1:37" ht="18" customHeight="1">
      <c r="A31" s="1201" t="s">
        <v>1032</v>
      </c>
      <c r="B31" s="347" t="s">
        <v>1424</v>
      </c>
      <c r="C31" s="24">
        <f ca="1">ROUND(IF(项目基本情况!B11="自然人",C5*F31,C32+C33+C34),1)</f>
        <v>1541.5</v>
      </c>
      <c r="D31" s="1800" t="s">
        <v>1425</v>
      </c>
      <c r="E31" s="1798" t="s">
        <v>1476</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1428</v>
      </c>
      <c r="C32" s="24">
        <f ca="1">IF(项目基本情况!B11="自然人","——",ROUND(C5*F32/(1+'数据-取费表'!C42),2))</f>
        <v>460.69</v>
      </c>
      <c r="D32" s="1798" t="s">
        <v>1429</v>
      </c>
      <c r="E32" s="347" t="s">
        <v>1417</v>
      </c>
      <c r="F32" s="377">
        <f>'数据-取费表'!B41</f>
        <v>5.6000000000000001E-2</v>
      </c>
      <c r="G32" s="1851"/>
      <c r="H32" s="745"/>
      <c r="I32" s="746"/>
      <c r="J32" s="747"/>
      <c r="K32" s="748"/>
      <c r="L32" s="749"/>
      <c r="M32" s="750"/>
    </row>
    <row r="33" spans="1:18" ht="18" customHeight="1">
      <c r="A33" s="1201" t="s">
        <v>1033</v>
      </c>
      <c r="B33" s="347" t="s">
        <v>1432</v>
      </c>
      <c r="C33" s="24">
        <f ca="1">IF(项目基本情况!B11="自然人","——",IF(D33="按租金收入计税",ROUND(C5*F33,2),IF(D33="按房产原值计税",ROUND(C29*F33*0.7,2),INDIRECT("'数据-取费表'!Aj"&amp;$G$1))))</f>
        <v>1036.56</v>
      </c>
      <c r="D33" s="1828" t="s">
        <v>3051</v>
      </c>
      <c r="E33" s="347" t="s">
        <v>1417</v>
      </c>
      <c r="F33" s="367">
        <f>IF(D33="按票据","——",IF(D33="按租金收入计税",'数据-取费表'!B51,'数据-取费表'!B50))</f>
        <v>0.12</v>
      </c>
      <c r="G33" s="1851"/>
      <c r="H33" s="1859"/>
      <c r="I33" s="1860"/>
      <c r="J33" s="1861"/>
      <c r="K33" s="1862"/>
      <c r="L33" s="1859"/>
      <c r="M33" s="1859"/>
    </row>
    <row r="34" spans="1:18" ht="18" customHeight="1">
      <c r="A34" s="1291" t="s">
        <v>1385</v>
      </c>
      <c r="B34" s="164" t="s">
        <v>1436</v>
      </c>
      <c r="C34" s="25">
        <f ca="1">IF(项目基本情况!B11="自然人","——",ROUND(F34*F35/10000,2))</f>
        <v>44.29</v>
      </c>
      <c r="D34" s="370" t="s">
        <v>1437</v>
      </c>
      <c r="E34" s="347" t="s">
        <v>1438</v>
      </c>
      <c r="F34" s="371">
        <f>'数据-取费表'!B52</f>
        <v>24</v>
      </c>
      <c r="G34" s="1851"/>
      <c r="H34" s="745"/>
      <c r="I34" s="1860"/>
      <c r="J34" s="1861"/>
      <c r="K34" s="1863"/>
      <c r="L34" s="1864"/>
      <c r="M34" s="1864"/>
    </row>
    <row r="35" spans="1:18" ht="18" customHeight="1">
      <c r="A35" s="1353"/>
      <c r="B35" s="1351"/>
      <c r="C35" s="29"/>
      <c r="D35" s="373"/>
      <c r="E35" s="347" t="s">
        <v>1442</v>
      </c>
      <c r="F35" s="348">
        <f ca="1">INDIRECT("'数据-取费表'!r"&amp;$G$1)</f>
        <v>18455.759999999998</v>
      </c>
      <c r="G35" s="1851"/>
      <c r="H35" s="745"/>
      <c r="I35" s="1860"/>
      <c r="J35" s="1861"/>
      <c r="K35" s="1862"/>
      <c r="L35" s="1859"/>
      <c r="M35" s="1859"/>
    </row>
    <row r="36" spans="1:18" ht="18" customHeight="1">
      <c r="A36" s="1352" t="s">
        <v>1036</v>
      </c>
      <c r="B36" s="347" t="s">
        <v>1444</v>
      </c>
      <c r="C36" s="24">
        <f ca="1">ROUND(C29*F36,1)</f>
        <v>229.9</v>
      </c>
      <c r="D36" s="1798" t="s">
        <v>1477</v>
      </c>
      <c r="E36" s="347" t="s">
        <v>1417</v>
      </c>
      <c r="F36" s="374">
        <f ca="1">INDIRECT("'数据-取费表'!Ak"&amp;$G$1)</f>
        <v>0.02</v>
      </c>
      <c r="G36" s="1851"/>
      <c r="H36" s="1859"/>
      <c r="I36" s="1860"/>
      <c r="J36" s="1861"/>
      <c r="K36" s="751"/>
      <c r="L36" s="1859"/>
      <c r="M36" s="1859"/>
    </row>
    <row r="37" spans="1:18" ht="18" customHeight="1">
      <c r="A37" s="1201" t="s">
        <v>1072</v>
      </c>
      <c r="B37" s="347" t="s">
        <v>1448</v>
      </c>
      <c r="C37" s="24">
        <f ca="1">ROUND(C13*F37,1)</f>
        <v>12.1</v>
      </c>
      <c r="D37" s="1798" t="s">
        <v>1449</v>
      </c>
      <c r="E37" s="347" t="s">
        <v>1450</v>
      </c>
      <c r="F37" s="376">
        <f ca="1">INDIRECT("'数据-取费表'!Al"&amp;$G$1)</f>
        <v>1.5E-3</v>
      </c>
      <c r="G37" s="1851"/>
      <c r="H37" s="1859"/>
      <c r="I37" s="1860"/>
      <c r="J37" s="1861"/>
      <c r="K37" s="751"/>
      <c r="L37" s="1859"/>
      <c r="M37" s="1859"/>
    </row>
    <row r="38" spans="1:18" ht="18" customHeight="1" thickBot="1">
      <c r="A38" s="1339" t="s">
        <v>1389</v>
      </c>
      <c r="B38" s="1340" t="s">
        <v>1434</v>
      </c>
      <c r="C38" s="1341">
        <f ca="1">ROUND(C5*F38,1)</f>
        <v>216</v>
      </c>
      <c r="D38" s="1342" t="s">
        <v>1454</v>
      </c>
      <c r="E38" s="1340" t="s">
        <v>1450</v>
      </c>
      <c r="F38" s="1336">
        <f ca="1">INDIRECT("'数据-取费表'!Am"&amp;$G$1)</f>
        <v>2.5000000000000001E-2</v>
      </c>
      <c r="G38" s="1851"/>
      <c r="H38" s="1859"/>
      <c r="I38" s="1860"/>
      <c r="J38" s="1861"/>
      <c r="K38" s="1865"/>
      <c r="L38" s="1859"/>
      <c r="M38" s="1859"/>
    </row>
    <row r="39" spans="1:18" ht="24.6" customHeight="1" thickTop="1">
      <c r="A39" s="1329" t="s">
        <v>1028</v>
      </c>
      <c r="B39" s="1344" t="s">
        <v>1478</v>
      </c>
      <c r="C39" s="355">
        <f ca="1">C5-C30</f>
        <v>6638</v>
      </c>
      <c r="D39" s="1345" t="s">
        <v>1479</v>
      </c>
      <c r="E39" s="1346"/>
      <c r="F39" s="1347"/>
      <c r="G39" s="1851"/>
      <c r="H39" s="1859"/>
      <c r="I39" s="1860"/>
      <c r="J39" s="1861"/>
      <c r="K39" s="1865"/>
      <c r="L39" s="1859"/>
      <c r="M39" s="1859"/>
    </row>
    <row r="40" spans="1:18" ht="18" customHeight="1">
      <c r="A40" s="344" t="s">
        <v>1029</v>
      </c>
      <c r="B40" s="345" t="s">
        <v>1480</v>
      </c>
      <c r="C40" s="346">
        <f ca="1">ROUND(C39*(1-((1+F42)/(1+F40))^F41)/(F40-F42),0)</f>
        <v>32265</v>
      </c>
      <c r="D40" s="370" t="s">
        <v>1464</v>
      </c>
      <c r="E40" s="347" t="s">
        <v>1465</v>
      </c>
      <c r="F40" s="357">
        <f ca="1">INDIRECT("'数据-取费表'!I"&amp;$G$1)</f>
        <v>5.5E-2</v>
      </c>
      <c r="G40" s="1851"/>
      <c r="H40" s="1839"/>
      <c r="I40" s="1860"/>
      <c r="J40" s="1861"/>
      <c r="K40" s="1865"/>
      <c r="L40" s="1839"/>
      <c r="M40" s="1839"/>
    </row>
    <row r="41" spans="1:18" ht="18" customHeight="1">
      <c r="A41" s="349"/>
      <c r="B41" s="350"/>
      <c r="C41" s="351"/>
      <c r="D41" s="378" t="s">
        <v>1481</v>
      </c>
      <c r="E41" s="347" t="s">
        <v>1469</v>
      </c>
      <c r="F41" s="379">
        <f ca="1">IF(INDIRECT("'数据-取费表'!af"&amp;$G$1)=0,INDIRECT("'数据-取费表'!ae"&amp;$G$1),INDIRECT("'数据-取费表'!af"&amp;$G$1))</f>
        <v>5.81</v>
      </c>
      <c r="G41" s="1851"/>
      <c r="H41" s="732"/>
      <c r="I41" s="1860"/>
      <c r="J41" s="1861"/>
      <c r="K41" s="751"/>
      <c r="L41" s="732"/>
      <c r="M41" s="732"/>
    </row>
    <row r="42" spans="1:18" ht="18" customHeight="1">
      <c r="A42" s="353"/>
      <c r="B42" s="354"/>
      <c r="C42" s="355"/>
      <c r="D42" s="373"/>
      <c r="E42" s="347" t="s">
        <v>1472</v>
      </c>
      <c r="F42" s="357">
        <f ca="1">INDIRECT("'数据-取费表'!v"&amp;$G$1)</f>
        <v>0</v>
      </c>
      <c r="G42" s="1851"/>
      <c r="H42" s="732"/>
      <c r="I42" s="1860"/>
      <c r="J42" s="1861"/>
      <c r="K42" s="751"/>
      <c r="L42" s="732"/>
      <c r="M42" s="732"/>
    </row>
    <row r="43" spans="1:18" ht="18" customHeight="1" thickBot="1">
      <c r="A43" s="380" t="s">
        <v>1030</v>
      </c>
      <c r="B43" s="381" t="s">
        <v>1482</v>
      </c>
      <c r="C43" s="382">
        <f ca="1">ROUND(C40*10000/F43,0)</f>
        <v>11861</v>
      </c>
      <c r="D43" s="383" t="s">
        <v>1483</v>
      </c>
      <c r="E43" s="384" t="s">
        <v>1484</v>
      </c>
      <c r="F43" s="385">
        <f ca="1">INDIRECT("'数据-取费表'!k"&amp;$G$1)</f>
        <v>27202.3</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1514</v>
      </c>
      <c r="P45" s="1839"/>
      <c r="Q45" s="1839"/>
      <c r="R45" s="1839"/>
    </row>
    <row r="46" spans="1:18" s="1842" customFormat="1" ht="13.5" thickBot="1">
      <c r="A46" s="1870" t="s">
        <v>1515</v>
      </c>
      <c r="C46" s="1871">
        <f ca="1">C68-C40</f>
        <v>-38351</v>
      </c>
      <c r="D46" s="1872" t="str">
        <f>C2</f>
        <v>万元</v>
      </c>
      <c r="E46" s="1866"/>
      <c r="F46" s="1866"/>
      <c r="I46" s="1873" t="s">
        <v>1516</v>
      </c>
      <c r="J46" s="1874"/>
      <c r="K46" s="1875"/>
      <c r="L46" s="1876" t="str">
        <f ca="1">IF(M47="住宅",0,IF(L48&gt;J51,L60,J60))</f>
        <v>0</v>
      </c>
      <c r="O46" s="1877" t="s">
        <v>1517</v>
      </c>
      <c r="P46" s="1878" t="s">
        <v>1518</v>
      </c>
      <c r="Q46" s="1879" t="s">
        <v>1519</v>
      </c>
      <c r="R46" s="1879" t="s">
        <v>1520</v>
      </c>
    </row>
    <row r="47" spans="1:18" s="1842" customFormat="1" ht="13.5" thickBot="1">
      <c r="A47" s="1165" t="s">
        <v>1392</v>
      </c>
      <c r="B47" s="1197" t="s">
        <v>1393</v>
      </c>
      <c r="C47" s="1367" t="s">
        <v>1394</v>
      </c>
      <c r="D47" s="1197" t="s">
        <v>1395</v>
      </c>
      <c r="E47" s="1279" t="s">
        <v>1396</v>
      </c>
      <c r="F47" s="1280"/>
      <c r="G47" s="792"/>
      <c r="I47" s="1880" t="s">
        <v>1521</v>
      </c>
      <c r="J47" s="1881" t="s">
        <v>3183</v>
      </c>
      <c r="K47" s="1882" t="s">
        <v>1522</v>
      </c>
      <c r="L47" s="1883">
        <f ca="1">INDIRECT("'数据-取费表'!d"&amp;$G$1)</f>
        <v>50</v>
      </c>
      <c r="M47" s="1838" t="str">
        <f>IF(ISNUMBER(FIND("住宅",C1)),"住宅","非住宅")</f>
        <v>非住宅</v>
      </c>
      <c r="O47" s="1884" t="s">
        <v>1037</v>
      </c>
      <c r="P47" s="1885" t="s">
        <v>1523</v>
      </c>
      <c r="Q47" s="1886">
        <f ca="1">C40+J29</f>
        <v>100810</v>
      </c>
      <c r="R47" s="1886" t="s">
        <v>1524</v>
      </c>
    </row>
    <row r="48" spans="1:18" s="1842" customFormat="1" ht="28.5" thickBot="1">
      <c r="A48" s="1360" t="s">
        <v>1132</v>
      </c>
      <c r="B48" s="345" t="s">
        <v>1397</v>
      </c>
      <c r="C48" s="1817">
        <f ca="1">C49+C53+C55</f>
        <v>0</v>
      </c>
      <c r="D48" s="1362"/>
      <c r="E48" s="1363"/>
      <c r="F48" s="1181"/>
      <c r="G48" s="792"/>
      <c r="H48" s="793"/>
      <c r="I48" s="1887" t="s">
        <v>1525</v>
      </c>
      <c r="J48" s="1888" t="s">
        <v>3184</v>
      </c>
      <c r="K48" s="1889" t="s">
        <v>1526</v>
      </c>
      <c r="L48" s="1890">
        <f ca="1">INDIRECT("'数据-取费表'!f"&amp;$G$1)</f>
        <v>27.89</v>
      </c>
      <c r="O48" s="1884" t="s">
        <v>1038</v>
      </c>
      <c r="P48" s="1885" t="s">
        <v>1527</v>
      </c>
      <c r="Q48" s="1886" t="str">
        <f ca="1">J60</f>
        <v>0</v>
      </c>
      <c r="R48" s="1886" t="s">
        <v>1528</v>
      </c>
    </row>
    <row r="49" spans="1:18" s="1842" customFormat="1" ht="13.5" thickBot="1">
      <c r="A49" s="1194" t="s">
        <v>1133</v>
      </c>
      <c r="B49" s="1829" t="s">
        <v>1485</v>
      </c>
      <c r="C49" s="1364">
        <f ca="1">ROUND(F49*F51*F50*(1-F52)/10000,0)</f>
        <v>0</v>
      </c>
      <c r="D49" s="1276" t="s">
        <v>3028</v>
      </c>
      <c r="E49" s="1830" t="s">
        <v>1486</v>
      </c>
      <c r="F49" s="1281"/>
      <c r="G49" s="1891"/>
      <c r="H49" s="793"/>
      <c r="I49" s="1887" t="s">
        <v>1529</v>
      </c>
      <c r="J49" s="1892"/>
      <c r="K49" s="1889" t="s">
        <v>1530</v>
      </c>
      <c r="L49" s="1893"/>
      <c r="O49" s="1894" t="s">
        <v>1039</v>
      </c>
      <c r="P49" s="1885" t="s">
        <v>1531</v>
      </c>
      <c r="Q49" s="1886">
        <f ca="1">C29</f>
        <v>11495</v>
      </c>
      <c r="R49" s="1886" t="s">
        <v>1524</v>
      </c>
    </row>
    <row r="50" spans="1:18" s="1842" customFormat="1" ht="13.5" thickBot="1">
      <c r="A50" s="1195"/>
      <c r="B50" s="1198"/>
      <c r="C50" s="1368"/>
      <c r="D50" s="1172"/>
      <c r="E50" s="1277" t="s">
        <v>1402</v>
      </c>
      <c r="F50" s="1278">
        <f ca="1">F7</f>
        <v>27202.3</v>
      </c>
      <c r="H50" s="793"/>
      <c r="I50" s="1887" t="s">
        <v>1532</v>
      </c>
      <c r="J50" s="1895">
        <f>SUMPRODUCT((I63:I65=J47)*(J62:L62=J48)*(J63:L65))</f>
        <v>40</v>
      </c>
      <c r="K50" s="1889" t="s">
        <v>1533</v>
      </c>
      <c r="L50" s="1893"/>
      <c r="M50" s="1896"/>
      <c r="O50" s="1894" t="s">
        <v>1040</v>
      </c>
      <c r="P50" s="1885" t="s">
        <v>1534</v>
      </c>
      <c r="Q50" s="1897" t="e">
        <f ca="1">J58</f>
        <v>#VALUE!</v>
      </c>
      <c r="R50" s="1886"/>
    </row>
    <row r="51" spans="1:18" s="1842" customFormat="1" ht="13.5" thickBot="1">
      <c r="A51" s="1196"/>
      <c r="B51" s="1198"/>
      <c r="C51" s="1199"/>
      <c r="D51" s="1172"/>
      <c r="E51" s="1200" t="s">
        <v>1403</v>
      </c>
      <c r="F51" s="348">
        <f ca="1">F8</f>
        <v>365</v>
      </c>
      <c r="I51" s="1898" t="s">
        <v>1535</v>
      </c>
      <c r="J51" s="1899">
        <f>IF(J49="",J50,J49+J50-YEAR('数据-取费表'!B2))</f>
        <v>40</v>
      </c>
      <c r="K51" s="1900" t="s">
        <v>1536</v>
      </c>
      <c r="L51" s="1901">
        <f ca="1">ROUND(-PV(INDIRECT("'数据-取费表'!h"&amp;$G$1),L48,(C39-C13*C76),0),0)</f>
        <v>90492</v>
      </c>
      <c r="M51" s="1902"/>
      <c r="O51" s="1894" t="s">
        <v>1041</v>
      </c>
      <c r="P51" s="1885" t="s">
        <v>1537</v>
      </c>
      <c r="Q51" s="1897">
        <f>J52</f>
        <v>0.09</v>
      </c>
      <c r="R51" s="1886"/>
    </row>
    <row r="52" spans="1:18" s="1842" customFormat="1" ht="13.5" thickBot="1">
      <c r="A52" s="1196"/>
      <c r="B52" s="1198"/>
      <c r="C52" s="1199"/>
      <c r="D52" s="1172"/>
      <c r="E52" s="1200" t="s">
        <v>1404</v>
      </c>
      <c r="F52" s="1275"/>
      <c r="I52" s="1903" t="s">
        <v>1538</v>
      </c>
      <c r="J52" s="1904">
        <v>0.09</v>
      </c>
      <c r="K52" s="1903" t="s">
        <v>1539</v>
      </c>
      <c r="L52" s="1904">
        <f ca="1">基准地价修正!G20</f>
        <v>4.8000000000000001E-2</v>
      </c>
      <c r="O52" s="1894" t="s">
        <v>1042</v>
      </c>
      <c r="P52" s="1885" t="s">
        <v>1540</v>
      </c>
      <c r="Q52" s="1886">
        <f ca="1">J53</f>
        <v>27.89</v>
      </c>
      <c r="R52" s="1886" t="s">
        <v>1541</v>
      </c>
    </row>
    <row r="53" spans="1:18" s="1842" customFormat="1" ht="24.75" thickBot="1">
      <c r="A53" s="1405" t="s">
        <v>1134</v>
      </c>
      <c r="B53" s="1831" t="s">
        <v>1405</v>
      </c>
      <c r="C53" s="361">
        <f ca="1">ROUND(IF(F53="押一",C49/12*F11,IF(F53="押二",C49/12*2*F11,IF(F53="押三",C49/12*3*F11,C54*F11))),0)</f>
        <v>0</v>
      </c>
      <c r="D53" s="1824" t="s">
        <v>3035</v>
      </c>
      <c r="E53" s="358" t="s">
        <v>1406</v>
      </c>
      <c r="F53" s="1366"/>
      <c r="I53" s="1905" t="s">
        <v>1542</v>
      </c>
      <c r="J53" s="1906">
        <f ca="1">IF(M47="住宅",IF(D1="——",MAX(J51,L48),IF(D1="在建（套用方法）",MAX(J51,L48-'数据-取费表'!B24),MAX(J51,L48-'数据-取费表'!B20))),IF(D1="——",MIN(J51,L48),IF(D1="在建（套用方法）",MIN(J51,L48-'数据-取费表'!B24),IF(D1="土地（套用方法）",MIN(J51,L48-'数据-取费表'!B20)))))</f>
        <v>27.89</v>
      </c>
      <c r="K53" s="3235" t="s">
        <v>1543</v>
      </c>
      <c r="L53" s="3236"/>
      <c r="O53" s="1884" t="s">
        <v>1043</v>
      </c>
      <c r="P53" s="1885" t="s">
        <v>1544</v>
      </c>
      <c r="Q53" s="1886">
        <f ca="1">Q47+Q48</f>
        <v>100810</v>
      </c>
      <c r="R53" s="1886" t="s">
        <v>1044</v>
      </c>
    </row>
    <row r="54" spans="1:18" s="1842" customFormat="1" ht="13.5" thickBot="1">
      <c r="A54" s="1406"/>
      <c r="B54" s="1825" t="s">
        <v>1384</v>
      </c>
      <c r="C54" s="1178"/>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9"/>
      <c r="K54" s="1909"/>
      <c r="L54" s="1909"/>
      <c r="M54" s="1891"/>
      <c r="O54" s="1869" t="s">
        <v>1545</v>
      </c>
      <c r="P54" s="1839"/>
      <c r="Q54" s="1839"/>
      <c r="R54" s="1839"/>
    </row>
    <row r="55" spans="1:18" s="1842" customFormat="1" ht="13.5" thickBot="1">
      <c r="A55" s="1333" t="s">
        <v>1072</v>
      </c>
      <c r="B55" s="1827" t="s">
        <v>1408</v>
      </c>
      <c r="C55" s="1334"/>
      <c r="D55" s="1824"/>
      <c r="E55" s="1832"/>
      <c r="F55" s="1907"/>
      <c r="I55" s="1910" t="s">
        <v>1546</v>
      </c>
      <c r="J55" s="1911" t="e">
        <f ca="1">ROUND(IF(J47="钢混",J57/J50,1-(1-2%)*(J50-J57)/J50),3)</f>
        <v>#VALUE!</v>
      </c>
      <c r="K55" s="1912" t="s">
        <v>1547</v>
      </c>
      <c r="L55" s="1913" t="s">
        <v>1548</v>
      </c>
      <c r="O55" s="1877" t="s">
        <v>1517</v>
      </c>
      <c r="P55" s="1878" t="s">
        <v>1518</v>
      </c>
      <c r="Q55" s="1879" t="s">
        <v>1519</v>
      </c>
      <c r="R55" s="1879" t="s">
        <v>1520</v>
      </c>
    </row>
    <row r="56" spans="1:18" s="1842" customFormat="1" ht="25.5" thickTop="1" thickBot="1">
      <c r="A56" s="1176">
        <v>2</v>
      </c>
      <c r="B56" s="1177" t="s">
        <v>1409</v>
      </c>
      <c r="C56" s="276">
        <f ca="1">C13</f>
        <v>8047</v>
      </c>
      <c r="D56" s="1914"/>
      <c r="E56" s="1915"/>
      <c r="F56" s="1907"/>
      <c r="I56" s="1916" t="s">
        <v>1549</v>
      </c>
      <c r="J56" s="1917" t="s">
        <v>3050</v>
      </c>
      <c r="K56" s="1887" t="s">
        <v>1550</v>
      </c>
      <c r="L56" s="1890" t="str">
        <f ca="1">IF(L48&lt;J51,"——",L48-J53)</f>
        <v>——</v>
      </c>
      <c r="O56" s="1884" t="s">
        <v>1037</v>
      </c>
      <c r="P56" s="1885" t="s">
        <v>1523</v>
      </c>
      <c r="Q56" s="1886">
        <f ca="1">C40+J29</f>
        <v>100810</v>
      </c>
      <c r="R56" s="1886" t="s">
        <v>1524</v>
      </c>
    </row>
    <row r="57" spans="1:18" s="1842" customFormat="1" ht="24.75" thickBot="1">
      <c r="A57" s="1918"/>
      <c r="B57" s="1169" t="s">
        <v>1473</v>
      </c>
      <c r="C57" s="282">
        <f ca="1">C29</f>
        <v>11495</v>
      </c>
      <c r="D57" s="1919"/>
      <c r="E57" s="1920"/>
      <c r="F57" s="1921"/>
      <c r="I57" s="1922" t="s">
        <v>1551</v>
      </c>
      <c r="J57" s="1923" t="str">
        <f ca="1">IF(OR(M47="住宅",J51&lt;L48,J56="是"),"——",J51-L48)</f>
        <v>——</v>
      </c>
      <c r="K57" s="1887" t="s">
        <v>1552</v>
      </c>
      <c r="L57" s="1890" t="str">
        <f ca="1">IF(L48&lt;J51,"——",IF(L55="比较法",L49,IF(L55="基准地价",L50,L51)))</f>
        <v>——</v>
      </c>
      <c r="O57" s="1884" t="s">
        <v>1038</v>
      </c>
      <c r="P57" s="1885" t="s">
        <v>1553</v>
      </c>
      <c r="Q57" s="1886">
        <f ca="1">L60</f>
        <v>0</v>
      </c>
      <c r="R57" s="1886" t="s">
        <v>1554</v>
      </c>
    </row>
    <row r="58" spans="1:18" s="1842" customFormat="1" ht="24.75" thickBot="1">
      <c r="A58" s="360" t="s">
        <v>1027</v>
      </c>
      <c r="B58" s="1177" t="s">
        <v>1419</v>
      </c>
      <c r="C58" s="361">
        <f ca="1">ROUND(C59+C64+C65+C66,0)</f>
        <v>1252</v>
      </c>
      <c r="D58" s="1179" t="s">
        <v>1420</v>
      </c>
      <c r="E58" s="1180"/>
      <c r="F58" s="1181"/>
      <c r="I58" s="1922" t="s">
        <v>1555</v>
      </c>
      <c r="J58" s="1924" t="e">
        <f ca="1">IF(J55&lt;0.4,0.4,J55)</f>
        <v>#VALUE!</v>
      </c>
      <c r="K58" s="1900" t="s">
        <v>1556</v>
      </c>
      <c r="L58" s="1890">
        <f ca="1">ROUND(POWER(1+L52,L47-L48)*(POWER(1+L52,L48)-1)/(POWER(1+L52,L47)-1),4)</f>
        <v>0.80689999999999995</v>
      </c>
      <c r="O58" s="1894" t="s">
        <v>1039</v>
      </c>
      <c r="P58" s="1885" t="s">
        <v>1557</v>
      </c>
      <c r="Q58" s="1886">
        <f>IF(L55="比较法",L49,IF(L55="基准地价",L50,0))</f>
        <v>0</v>
      </c>
      <c r="R58" s="1886" t="s">
        <v>1524</v>
      </c>
    </row>
    <row r="59" spans="1:18" s="1842" customFormat="1" ht="24.75" thickBot="1">
      <c r="A59" s="1201" t="s">
        <v>1032</v>
      </c>
      <c r="B59" s="1169" t="s">
        <v>1424</v>
      </c>
      <c r="C59" s="24">
        <f ca="1">ROUND(IF(项目基本情况!B11="自然人",C48*F59,C60+C61+C62),1)</f>
        <v>1009.9</v>
      </c>
      <c r="D59" s="1182" t="s">
        <v>1425</v>
      </c>
      <c r="E59" s="1183" t="s">
        <v>1426</v>
      </c>
      <c r="F59" s="368" t="str">
        <f ca="1">IF(项目基本情况!B11="企业","",IF(INDIRECT("'数据-取费表'!c"&amp;$G$1)="住宅",5%,IF(F49*F50*F51/12/(1+'数据-取费表'!C42)&gt;20000,12%,7%)))</f>
        <v/>
      </c>
      <c r="I59" s="1922" t="s">
        <v>1558</v>
      </c>
      <c r="J59" s="1923" t="str">
        <f ca="1">IF(OR(M47="住宅",J51&lt;L48,J56="是"),"——",ROUND(C29*J58,0))</f>
        <v>——</v>
      </c>
      <c r="K59" s="18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0">
        <f ca="1">ROUND(IF(D1="在建（套用方法）",M59,IF(D1="土地（套用方法）",N59,POWER(1+L52,L47-J51)*(POWER(1+L52,J51)-1)/(POWER(1+L52,L47)-1))),4)</f>
        <v>0.9365</v>
      </c>
      <c r="M59" s="1838">
        <f ca="1">ROUND(POWER(1+L52,L47-(J51+'数据-取费表'!B24))*(POWER(1+L52,(J51+'数据-取费表'!B24))-1)/(POWER(1+L52,L47)-1),4)</f>
        <v>0.9365</v>
      </c>
      <c r="N59" s="1838">
        <f ca="1">ROUND(POWER(1+L52,L47-(J51+'数据-取费表'!B20))*(POWER(1+L52,(J51+'数据-取费表'!B20))-1)/(POWER(1+L52,L47)-1),4)</f>
        <v>0.94810000000000005</v>
      </c>
      <c r="O59" s="1894" t="s">
        <v>1040</v>
      </c>
      <c r="P59" s="1885" t="s">
        <v>1559</v>
      </c>
      <c r="Q59" s="1897">
        <f ca="1">L52</f>
        <v>4.8000000000000001E-2</v>
      </c>
      <c r="R59" s="1886"/>
    </row>
    <row r="60" spans="1:18" s="1842" customFormat="1" ht="16.5" thickBot="1">
      <c r="A60" s="1201" t="s">
        <v>1031</v>
      </c>
      <c r="B60" s="1169" t="s">
        <v>1428</v>
      </c>
      <c r="C60" s="24">
        <f ca="1">IF(项目基本情况!B11="自然人","——",ROUND(C48*F60/(1+'数据-取费表'!C42),2))</f>
        <v>0</v>
      </c>
      <c r="D60" s="1183" t="s">
        <v>1429</v>
      </c>
      <c r="E60" s="1169" t="s">
        <v>1417</v>
      </c>
      <c r="F60" s="377">
        <f t="shared" ref="F60:F66" si="0">F32</f>
        <v>5.6000000000000001E-2</v>
      </c>
      <c r="I60" s="1925" t="s">
        <v>1560</v>
      </c>
      <c r="J60" s="1926" t="str">
        <f ca="1">IF(OR(M47="住宅",J51&lt;L48,J56="是"),"0",ROUND(J59/(1+J52)^J53,0))</f>
        <v>0</v>
      </c>
      <c r="K60" s="1927" t="s">
        <v>1561</v>
      </c>
      <c r="L60" s="1926">
        <f ca="1">IF(OR(M47="住宅",L48&lt;J51),0,ROUND(L57*(L58/L59-1),0))</f>
        <v>0</v>
      </c>
      <c r="O60" s="1894" t="s">
        <v>1041</v>
      </c>
      <c r="P60" s="1885" t="s">
        <v>1562</v>
      </c>
      <c r="Q60" s="1886">
        <f ca="1">L58</f>
        <v>0.80689999999999995</v>
      </c>
      <c r="R60" s="1886" t="s">
        <v>1563</v>
      </c>
    </row>
    <row r="61" spans="1:18" s="1842" customFormat="1" ht="13.5" thickBot="1">
      <c r="A61" s="1201" t="s">
        <v>1487</v>
      </c>
      <c r="B61" s="1169" t="s">
        <v>1488</v>
      </c>
      <c r="C61" s="24">
        <f ca="1">IF(项目基本情况!B11="自然人","——",IF(D61="按租金收入计税",ROUND(C48*F61,2),IF(D61="按房产原值计税",ROUND(C57*F61*0.7,2),INDIRECT("'数据-取费表'!Aj"&amp;$G$1))))</f>
        <v>965.58</v>
      </c>
      <c r="D61" s="1828" t="s">
        <v>1433</v>
      </c>
      <c r="E61" s="1169" t="s">
        <v>1489</v>
      </c>
      <c r="F61" s="367">
        <f t="shared" si="0"/>
        <v>0.12</v>
      </c>
      <c r="I61" s="1928"/>
      <c r="J61" s="1928"/>
      <c r="K61" s="1928"/>
      <c r="L61" s="1928"/>
      <c r="O61" s="1894" t="s">
        <v>1042</v>
      </c>
      <c r="P61" s="1885" t="str">
        <f>K59</f>
        <v>建筑物剩余耐用年限下的土地年期修正系数Kn</v>
      </c>
      <c r="Q61" s="1886">
        <f ca="1">L59</f>
        <v>0.9365</v>
      </c>
      <c r="R61" s="1886" t="s">
        <v>1564</v>
      </c>
    </row>
    <row r="62" spans="1:18" s="1842" customFormat="1" ht="13.5" thickBot="1">
      <c r="A62" s="1201" t="s">
        <v>1490</v>
      </c>
      <c r="B62" s="1168" t="s">
        <v>1491</v>
      </c>
      <c r="C62" s="25">
        <f ca="1">IF(项目基本情况!B11="自然人","——",ROUND(F62*F63/10000,2))</f>
        <v>44.29</v>
      </c>
      <c r="D62" s="1184" t="s">
        <v>1492</v>
      </c>
      <c r="E62" s="1169" t="s">
        <v>1493</v>
      </c>
      <c r="F62" s="371">
        <f t="shared" si="0"/>
        <v>24</v>
      </c>
      <c r="I62" s="1929" t="s">
        <v>1565</v>
      </c>
      <c r="J62" s="1930" t="s">
        <v>1566</v>
      </c>
      <c r="K62" s="1930" t="s">
        <v>1567</v>
      </c>
      <c r="L62" s="1930" t="s">
        <v>1568</v>
      </c>
      <c r="M62" s="1931" t="s">
        <v>1569</v>
      </c>
      <c r="O62" s="1884" t="s">
        <v>1043</v>
      </c>
      <c r="P62" s="1885" t="s">
        <v>1570</v>
      </c>
      <c r="Q62" s="1886">
        <f ca="1">Q56+Q57</f>
        <v>100810</v>
      </c>
      <c r="R62" s="1886" t="s">
        <v>1044</v>
      </c>
    </row>
    <row r="63" spans="1:18" s="1842" customFormat="1" ht="13.5" thickBot="1">
      <c r="A63" s="372"/>
      <c r="B63" s="1175"/>
      <c r="C63" s="29"/>
      <c r="D63" s="1185"/>
      <c r="E63" s="1169" t="s">
        <v>1494</v>
      </c>
      <c r="F63" s="348">
        <f t="shared" ca="1" si="0"/>
        <v>18455.759999999998</v>
      </c>
      <c r="I63" s="1929" t="s">
        <v>1571</v>
      </c>
      <c r="J63" s="1930">
        <v>70</v>
      </c>
      <c r="K63" s="1930">
        <v>50</v>
      </c>
      <c r="L63" s="1930">
        <v>80</v>
      </c>
      <c r="M63" s="1932">
        <v>0.02</v>
      </c>
      <c r="O63" s="1869" t="s">
        <v>1572</v>
      </c>
      <c r="P63" s="1839"/>
      <c r="Q63" s="1839"/>
      <c r="R63" s="1839"/>
    </row>
    <row r="64" spans="1:18" s="1842" customFormat="1" ht="13.5" thickBot="1">
      <c r="A64" s="1201" t="s">
        <v>1495</v>
      </c>
      <c r="B64" s="1169" t="s">
        <v>1496</v>
      </c>
      <c r="C64" s="24">
        <f ca="1">ROUND(C57*F64,1)</f>
        <v>229.9</v>
      </c>
      <c r="D64" s="1183" t="s">
        <v>1497</v>
      </c>
      <c r="E64" s="1169" t="s">
        <v>1489</v>
      </c>
      <c r="F64" s="374">
        <f t="shared" ca="1" si="0"/>
        <v>0.02</v>
      </c>
      <c r="I64" s="1929" t="s">
        <v>1573</v>
      </c>
      <c r="J64" s="1930">
        <v>50</v>
      </c>
      <c r="K64" s="1930">
        <v>35</v>
      </c>
      <c r="L64" s="1930">
        <v>60</v>
      </c>
      <c r="M64" s="1931">
        <v>0</v>
      </c>
      <c r="O64" s="1877" t="s">
        <v>1517</v>
      </c>
      <c r="P64" s="1878" t="s">
        <v>1518</v>
      </c>
      <c r="Q64" s="1879" t="s">
        <v>1519</v>
      </c>
      <c r="R64" s="1879" t="s">
        <v>1520</v>
      </c>
    </row>
    <row r="65" spans="1:18" s="1842" customFormat="1" ht="13.5" thickBot="1">
      <c r="A65" s="1201" t="s">
        <v>1498</v>
      </c>
      <c r="B65" s="1169" t="s">
        <v>1448</v>
      </c>
      <c r="C65" s="24">
        <f ca="1">ROUND(C56*F65,1)</f>
        <v>12.1</v>
      </c>
      <c r="D65" s="1183" t="s">
        <v>1449</v>
      </c>
      <c r="E65" s="1169" t="s">
        <v>1450</v>
      </c>
      <c r="F65" s="376">
        <f t="shared" ca="1" si="0"/>
        <v>1.5E-3</v>
      </c>
      <c r="I65" s="1929" t="s">
        <v>1574</v>
      </c>
      <c r="J65" s="1930">
        <v>40</v>
      </c>
      <c r="K65" s="1930">
        <v>30</v>
      </c>
      <c r="L65" s="1930">
        <v>50</v>
      </c>
      <c r="M65" s="1932">
        <v>0.02</v>
      </c>
      <c r="O65" s="1884" t="s">
        <v>1037</v>
      </c>
      <c r="P65" s="1885" t="s">
        <v>1575</v>
      </c>
      <c r="Q65" s="1886">
        <f ca="1">C40+J29</f>
        <v>100810</v>
      </c>
      <c r="R65" s="1886" t="s">
        <v>1524</v>
      </c>
    </row>
    <row r="66" spans="1:18" s="1842" customFormat="1" ht="16.5" thickBot="1">
      <c r="A66" s="1201" t="s">
        <v>1499</v>
      </c>
      <c r="B66" s="1169" t="s">
        <v>1434</v>
      </c>
      <c r="C66" s="24">
        <f ca="1">ROUND(C48*F66,1)</f>
        <v>0</v>
      </c>
      <c r="D66" s="1183" t="s">
        <v>1500</v>
      </c>
      <c r="E66" s="1169" t="s">
        <v>1417</v>
      </c>
      <c r="F66" s="357">
        <f t="shared" ca="1" si="0"/>
        <v>2.5000000000000001E-2</v>
      </c>
      <c r="O66" s="1884" t="s">
        <v>1038</v>
      </c>
      <c r="P66" s="1885" t="s">
        <v>1553</v>
      </c>
      <c r="Q66" s="1886">
        <f ca="1">L60</f>
        <v>0</v>
      </c>
      <c r="R66" s="1886" t="s">
        <v>1576</v>
      </c>
    </row>
    <row r="67" spans="1:18" s="1842" customFormat="1" ht="16.5" thickBot="1">
      <c r="A67" s="1176" t="s">
        <v>1028</v>
      </c>
      <c r="B67" s="1186" t="s">
        <v>1458</v>
      </c>
      <c r="C67" s="361">
        <f ca="1">C48-C58</f>
        <v>-1252</v>
      </c>
      <c r="D67" s="1182" t="s">
        <v>1459</v>
      </c>
      <c r="E67" s="1187"/>
      <c r="F67" s="1188"/>
      <c r="O67" s="1894" t="s">
        <v>1039</v>
      </c>
      <c r="P67" s="1885" t="s">
        <v>1557</v>
      </c>
      <c r="Q67" s="1933">
        <f ca="1">L51</f>
        <v>90492</v>
      </c>
      <c r="R67" s="1886" t="s">
        <v>1577</v>
      </c>
    </row>
    <row r="68" spans="1:18" s="1842" customFormat="1" ht="16.5" thickBot="1">
      <c r="A68" s="1166" t="s">
        <v>1029</v>
      </c>
      <c r="B68" s="1167" t="s">
        <v>1480</v>
      </c>
      <c r="C68" s="346">
        <f ca="1">ROUND(C67*(1-((1+F70)/(1+F68))^F69)/(F68-F70),0)</f>
        <v>-6086</v>
      </c>
      <c r="D68" s="1184" t="s">
        <v>1464</v>
      </c>
      <c r="E68" s="1169" t="s">
        <v>1465</v>
      </c>
      <c r="F68" s="357">
        <f ca="1">F40</f>
        <v>5.5E-2</v>
      </c>
      <c r="O68" s="1894" t="s">
        <v>1040</v>
      </c>
      <c r="P68" s="1934" t="s">
        <v>1578</v>
      </c>
      <c r="Q68" s="1886">
        <f ca="1">ROUND(Q69-Q70*Q71,0)</f>
        <v>5954</v>
      </c>
      <c r="R68" s="1886" t="s">
        <v>1048</v>
      </c>
    </row>
    <row r="69" spans="1:18" s="1842" customFormat="1" ht="13.5" thickBot="1">
      <c r="A69" s="1170"/>
      <c r="B69" s="1171"/>
      <c r="C69" s="351"/>
      <c r="D69" s="1189" t="s">
        <v>1468</v>
      </c>
      <c r="E69" s="1169" t="s">
        <v>1469</v>
      </c>
      <c r="F69" s="379">
        <f ca="1">F41</f>
        <v>5.81</v>
      </c>
      <c r="O69" s="1894" t="s">
        <v>1045</v>
      </c>
      <c r="P69" s="1934" t="s">
        <v>1579</v>
      </c>
      <c r="Q69" s="1886">
        <f ca="1">C39</f>
        <v>6638</v>
      </c>
      <c r="R69" s="1886" t="s">
        <v>1524</v>
      </c>
    </row>
    <row r="70" spans="1:18" s="1842" customFormat="1" ht="13.5" thickBot="1">
      <c r="A70" s="1173"/>
      <c r="B70" s="1174"/>
      <c r="C70" s="355"/>
      <c r="D70" s="1185"/>
      <c r="E70" s="1169" t="s">
        <v>1472</v>
      </c>
      <c r="F70" s="1275"/>
      <c r="O70" s="1894" t="s">
        <v>1046</v>
      </c>
      <c r="P70" s="1934" t="s">
        <v>1580</v>
      </c>
      <c r="Q70" s="1886">
        <f ca="1">C13</f>
        <v>8047</v>
      </c>
      <c r="R70" s="1886" t="s">
        <v>1524</v>
      </c>
    </row>
    <row r="71" spans="1:18" s="1842" customFormat="1" ht="13.5" thickBot="1">
      <c r="A71" s="1190" t="s">
        <v>1030</v>
      </c>
      <c r="B71" s="1191" t="s">
        <v>1482</v>
      </c>
      <c r="C71" s="382">
        <f ca="1">ROUND(C68*10000/F71,0)</f>
        <v>-2237</v>
      </c>
      <c r="D71" s="1192" t="s">
        <v>1483</v>
      </c>
      <c r="E71" s="1193" t="s">
        <v>1484</v>
      </c>
      <c r="F71" s="385">
        <f ca="1">F43</f>
        <v>27202.3</v>
      </c>
      <c r="O71" s="1894" t="s">
        <v>1047</v>
      </c>
      <c r="P71" s="1934" t="s">
        <v>1581</v>
      </c>
      <c r="Q71" s="1897">
        <f ca="1">C76</f>
        <v>8.5000000000000006E-2</v>
      </c>
      <c r="R71" s="1886"/>
    </row>
    <row r="72" spans="1:18" s="1842" customFormat="1" ht="13.5" thickBot="1">
      <c r="B72" s="796"/>
      <c r="C72" s="796"/>
      <c r="O72" s="1894" t="s">
        <v>1041</v>
      </c>
      <c r="P72" s="1885" t="s">
        <v>1559</v>
      </c>
      <c r="Q72" s="1897">
        <f ca="1">L52</f>
        <v>4.8000000000000001E-2</v>
      </c>
      <c r="R72" s="1886"/>
    </row>
    <row r="73" spans="1:18" ht="16.5" thickBot="1">
      <c r="A73" s="1842"/>
      <c r="B73" s="796"/>
      <c r="C73" s="796"/>
      <c r="D73" s="1842"/>
      <c r="E73" s="1842"/>
      <c r="F73" s="1842"/>
      <c r="O73" s="1894" t="s">
        <v>1042</v>
      </c>
      <c r="P73" s="1885" t="s">
        <v>1562</v>
      </c>
      <c r="Q73" s="1886">
        <f ca="1">L58</f>
        <v>0.80689999999999995</v>
      </c>
      <c r="R73" s="1886" t="s">
        <v>1563</v>
      </c>
    </row>
    <row r="74" spans="1:18" ht="13.5" thickBot="1">
      <c r="A74" s="1842"/>
      <c r="B74" s="317" t="s">
        <v>1582</v>
      </c>
      <c r="C74" s="1936"/>
      <c r="D74" s="1842"/>
      <c r="E74" s="1842"/>
      <c r="F74" s="1842"/>
      <c r="O74" s="1894" t="s">
        <v>1049</v>
      </c>
      <c r="P74" s="1885" t="str">
        <f>K59</f>
        <v>建筑物剩余耐用年限下的土地年期修正系数Kn</v>
      </c>
      <c r="Q74" s="1886">
        <f ca="1">L59</f>
        <v>0.9365</v>
      </c>
      <c r="R74" s="1886" t="s">
        <v>1564</v>
      </c>
    </row>
    <row r="75" spans="1:18" ht="13.5" thickBot="1">
      <c r="A75" s="1842"/>
      <c r="B75" s="386" t="s">
        <v>1501</v>
      </c>
      <c r="C75" s="387">
        <f ca="1">ROUND(C13*C76,0)</f>
        <v>684</v>
      </c>
      <c r="D75" s="1842"/>
      <c r="E75" s="1842"/>
      <c r="F75" s="1842"/>
      <c r="K75" s="1868"/>
      <c r="L75" s="1842"/>
      <c r="O75" s="1884" t="s">
        <v>1043</v>
      </c>
      <c r="P75" s="1885" t="s">
        <v>1544</v>
      </c>
      <c r="Q75" s="1886">
        <f ca="1">Q65+Q66</f>
        <v>100810</v>
      </c>
      <c r="R75" s="1886" t="s">
        <v>1044</v>
      </c>
    </row>
    <row r="76" spans="1:18">
      <c r="B76" s="388" t="s">
        <v>1502</v>
      </c>
      <c r="C76" s="389">
        <f ca="1">INDIRECT("'数据-取费表'!j"&amp;$G$1)</f>
        <v>8.5000000000000006E-2</v>
      </c>
      <c r="I76" s="1842"/>
      <c r="J76" s="1842"/>
      <c r="K76" s="1868"/>
      <c r="L76" s="1842"/>
    </row>
    <row r="77" spans="1:18">
      <c r="B77" s="390" t="s">
        <v>1503</v>
      </c>
      <c r="C77" s="391"/>
      <c r="I77" s="1842"/>
      <c r="J77" s="1842"/>
      <c r="K77" s="1868"/>
      <c r="L77" s="1842"/>
    </row>
    <row r="78" spans="1:18">
      <c r="B78" s="314" t="s">
        <v>1504</v>
      </c>
      <c r="C78" s="392"/>
    </row>
    <row r="79" spans="1:18">
      <c r="B79" s="386" t="s">
        <v>1505</v>
      </c>
      <c r="C79" s="318">
        <f ca="1">1-C80</f>
        <v>0.89700000000000002</v>
      </c>
    </row>
    <row r="80" spans="1:18">
      <c r="B80" s="386" t="s">
        <v>1506</v>
      </c>
      <c r="C80" s="318">
        <f ca="1">ROUND(C75/C39,3)</f>
        <v>0.10299999999999999</v>
      </c>
    </row>
    <row r="81" spans="2:3">
      <c r="B81" s="314" t="s">
        <v>1507</v>
      </c>
      <c r="C81" s="282"/>
    </row>
    <row r="82" spans="2:3">
      <c r="B82" s="317" t="s">
        <v>1508</v>
      </c>
      <c r="C82" s="319">
        <f ca="1">1-C83</f>
        <v>0.751</v>
      </c>
    </row>
    <row r="83" spans="2:3">
      <c r="B83" s="317" t="s">
        <v>1509</v>
      </c>
      <c r="C83" s="318">
        <f ca="1">ROUND(C13/C40,3)</f>
        <v>0.249</v>
      </c>
    </row>
  </sheetData>
  <sheetProtection password="C66D" sheet="1" objects="1" scenarios="1" formatCells="0" formatColumns="0" formatRows="0"/>
  <mergeCells count="3">
    <mergeCell ref="K53:L53"/>
    <mergeCell ref="B6:B9"/>
    <mergeCell ref="I6:I9"/>
  </mergeCells>
  <phoneticPr fontId="5" type="noConversion"/>
  <conditionalFormatting sqref="K55 K60">
    <cfRule type="expression" dxfId="127" priority="56">
      <formula>$L$48&gt;$J$51</formula>
    </cfRule>
  </conditionalFormatting>
  <conditionalFormatting sqref="I55 I60">
    <cfRule type="expression" dxfId="126" priority="57">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B6" sqref="B6:C9"/>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1584</v>
      </c>
      <c r="B1" s="782"/>
      <c r="C1" s="1837"/>
      <c r="D1" s="1820"/>
      <c r="E1" s="1821" t="s">
        <v>1383</v>
      </c>
      <c r="F1" s="1283" t="b">
        <f>J53</f>
        <v>0</v>
      </c>
      <c r="G1" s="1836">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1585</v>
      </c>
      <c r="B2" s="1844" t="e">
        <f ca="1">ROUND(D2/10000,0)</f>
        <v>#DIV/0!</v>
      </c>
      <c r="C2" s="1845" t="s">
        <v>1586</v>
      </c>
      <c r="D2" s="1938" t="e">
        <f ca="1">C40+J29+L46</f>
        <v>#DIV/0!</v>
      </c>
      <c r="E2" s="1846" t="s">
        <v>1587</v>
      </c>
      <c r="F2" s="1847"/>
      <c r="G2" s="1848"/>
      <c r="H2" s="1840"/>
      <c r="I2" s="1840"/>
      <c r="J2" s="1840"/>
      <c r="K2" s="1841"/>
      <c r="L2" s="1840"/>
      <c r="M2" s="1840"/>
    </row>
    <row r="3" spans="1:37" ht="18" customHeight="1" thickBot="1">
      <c r="A3" s="1849" t="s">
        <v>1588</v>
      </c>
      <c r="B3" s="1850">
        <f ca="1">IF(ISERROR(D2/F43),0,ROUND(D2/F43,0))</f>
        <v>0</v>
      </c>
      <c r="C3" s="1845" t="s">
        <v>1589</v>
      </c>
      <c r="D3" s="1845"/>
      <c r="E3" s="1846"/>
      <c r="F3" s="1847"/>
      <c r="G3" s="1848"/>
      <c r="H3" s="744" t="s">
        <v>1583</v>
      </c>
      <c r="I3" s="1840"/>
      <c r="J3" s="1840"/>
      <c r="K3" s="1841"/>
      <c r="L3" s="1840"/>
      <c r="M3" s="1840"/>
    </row>
    <row r="4" spans="1:37" ht="18" customHeight="1">
      <c r="A4" s="340" t="s">
        <v>1590</v>
      </c>
      <c r="B4" s="341" t="s">
        <v>1591</v>
      </c>
      <c r="C4" s="341" t="s">
        <v>1592</v>
      </c>
      <c r="D4" s="341" t="s">
        <v>1593</v>
      </c>
      <c r="E4" s="342" t="s">
        <v>1594</v>
      </c>
      <c r="F4" s="343"/>
      <c r="G4" s="1851"/>
      <c r="H4" s="340" t="s">
        <v>1590</v>
      </c>
      <c r="I4" s="341" t="s">
        <v>1591</v>
      </c>
      <c r="J4" s="341" t="s">
        <v>1592</v>
      </c>
      <c r="K4" s="341" t="s">
        <v>1593</v>
      </c>
      <c r="L4" s="342" t="s">
        <v>1594</v>
      </c>
      <c r="M4" s="343"/>
    </row>
    <row r="5" spans="1:37" ht="18" customHeight="1">
      <c r="A5" s="344">
        <v>1</v>
      </c>
      <c r="B5" s="345" t="s">
        <v>1595</v>
      </c>
      <c r="C5" s="1292">
        <f ca="1">C6+C10+C12</f>
        <v>0</v>
      </c>
      <c r="D5" s="1822" t="s">
        <v>1596</v>
      </c>
      <c r="E5" s="1293"/>
      <c r="F5" s="1294"/>
      <c r="G5" s="1851"/>
      <c r="H5" s="344">
        <v>1</v>
      </c>
      <c r="I5" s="345" t="s">
        <v>1595</v>
      </c>
      <c r="J5" s="1292">
        <f ca="1">J6+J10+J12</f>
        <v>0</v>
      </c>
      <c r="K5" s="1822" t="s">
        <v>1596</v>
      </c>
      <c r="L5" s="1293"/>
      <c r="M5" s="1294"/>
    </row>
    <row r="6" spans="1:37" ht="18" customHeight="1">
      <c r="A6" s="1291" t="s">
        <v>1032</v>
      </c>
      <c r="B6" s="3237" t="s">
        <v>1399</v>
      </c>
      <c r="C6" s="1296">
        <f ca="1">ROUND(F6*F8*F7*(1-F9),0)</f>
        <v>0</v>
      </c>
      <c r="D6" s="164" t="s">
        <v>3024</v>
      </c>
      <c r="E6" s="347" t="s">
        <v>1401</v>
      </c>
      <c r="F6" s="348">
        <f ca="1">INDIRECT("'数据-取费表'!u"&amp;$G$1)</f>
        <v>0</v>
      </c>
      <c r="G6" s="1851"/>
      <c r="H6" s="1291" t="s">
        <v>1032</v>
      </c>
      <c r="I6" s="3237" t="s">
        <v>1399</v>
      </c>
      <c r="J6" s="346">
        <f ca="1">ROUND(M6*M8*M7*(1-M9),0)</f>
        <v>0</v>
      </c>
      <c r="K6" s="1834" t="s">
        <v>3025</v>
      </c>
      <c r="L6" s="347" t="s">
        <v>1401</v>
      </c>
      <c r="M6" s="348">
        <f ca="1">INDIRECT("'数据-取费表'!z"&amp;$G$1)</f>
        <v>0</v>
      </c>
    </row>
    <row r="7" spans="1:37" ht="18" customHeight="1">
      <c r="A7" s="1295"/>
      <c r="B7" s="3238"/>
      <c r="C7" s="1297"/>
      <c r="D7" s="352"/>
      <c r="E7" s="1298" t="s">
        <v>1402</v>
      </c>
      <c r="F7" s="348">
        <f ca="1">IF(INDIRECT("'数据-取费表'!ah"&amp;$G$1)="",INDIRECT("'数据-取费表'!k"&amp;$G$1),INDIRECT("'数据-取费表'!ah"&amp;$G$1))</f>
        <v>0</v>
      </c>
      <c r="G7" s="1851"/>
      <c r="H7" s="349"/>
      <c r="I7" s="3238"/>
      <c r="J7" s="351"/>
      <c r="K7" s="352"/>
      <c r="L7" s="347" t="s">
        <v>1402</v>
      </c>
      <c r="M7" s="348">
        <f ca="1">F7</f>
        <v>0</v>
      </c>
    </row>
    <row r="8" spans="1:37" ht="18" customHeight="1">
      <c r="A8" s="349"/>
      <c r="B8" s="3238"/>
      <c r="C8" s="351"/>
      <c r="D8" s="352"/>
      <c r="E8" s="347" t="s">
        <v>1403</v>
      </c>
      <c r="F8" s="348">
        <f ca="1">INDIRECT("'数据-取费表'!ai"&amp;$G$1)</f>
        <v>0</v>
      </c>
      <c r="G8" s="1851"/>
      <c r="H8" s="349"/>
      <c r="I8" s="3238"/>
      <c r="J8" s="351"/>
      <c r="K8" s="352"/>
      <c r="L8" s="347" t="s">
        <v>1403</v>
      </c>
      <c r="M8" s="348">
        <f ca="1">INDIRECT("'数据-取费表'!ai"&amp;$G$1)</f>
        <v>0</v>
      </c>
    </row>
    <row r="9" spans="1:37" ht="18" customHeight="1">
      <c r="A9" s="349"/>
      <c r="B9" s="3239"/>
      <c r="C9" s="351"/>
      <c r="D9" s="352"/>
      <c r="E9" s="347" t="s">
        <v>1404</v>
      </c>
      <c r="F9" s="357">
        <f ca="1">INDIRECT("'数据-取费表'!w"&amp;$G$1)</f>
        <v>0</v>
      </c>
      <c r="G9" s="1851"/>
      <c r="H9" s="349"/>
      <c r="I9" s="3239"/>
      <c r="J9" s="351"/>
      <c r="K9" s="352"/>
      <c r="L9" s="358" t="s">
        <v>1404</v>
      </c>
      <c r="M9" s="359">
        <f ca="1">INDIRECT("'数据-取费表'!ab"&amp;$G$1)</f>
        <v>0</v>
      </c>
    </row>
    <row r="10" spans="1:37" ht="18" customHeight="1">
      <c r="A10" s="1291" t="s">
        <v>1036</v>
      </c>
      <c r="B10" s="1823" t="s">
        <v>1405</v>
      </c>
      <c r="C10" s="361">
        <f ca="1">ROUND(IF(F10="押一",C6/12*F11,IF(F10="押二",C6/12*2*F11,IF(F10="押三",C6/12*3*F11,C11*F11))),0)</f>
        <v>0</v>
      </c>
      <c r="D10" s="1824" t="s">
        <v>3035</v>
      </c>
      <c r="E10" s="358" t="s">
        <v>1406</v>
      </c>
      <c r="F10" s="1366"/>
      <c r="G10" s="1851"/>
      <c r="H10" s="1291" t="s">
        <v>1036</v>
      </c>
      <c r="I10" s="1823" t="s">
        <v>1405</v>
      </c>
      <c r="J10" s="346">
        <f ca="1">ROUND(IF(M10="押一",J6/12*M11,IF(M10="押二",J6/12*2*M11,IF(M10="押三",J6/12*3*M11,J11*M11))),0)</f>
        <v>0</v>
      </c>
      <c r="K10" s="1835" t="s">
        <v>3037</v>
      </c>
      <c r="L10" s="358" t="s">
        <v>1406</v>
      </c>
      <c r="M10" s="1366"/>
    </row>
    <row r="11" spans="1:37" ht="18" customHeight="1">
      <c r="A11" s="353"/>
      <c r="B11" s="1825" t="s">
        <v>1597</v>
      </c>
      <c r="C11" s="1178"/>
      <c r="D11" s="352"/>
      <c r="E11" s="358" t="s">
        <v>1407</v>
      </c>
      <c r="F11" s="359">
        <f ca="1">'数据-取费表'!B39</f>
        <v>1.4999999999999999E-2</v>
      </c>
      <c r="G11" s="1851"/>
      <c r="H11" s="1299"/>
      <c r="I11" s="1825" t="s">
        <v>1598</v>
      </c>
      <c r="J11" s="1178"/>
      <c r="K11" s="748"/>
      <c r="L11" s="358" t="s">
        <v>1407</v>
      </c>
      <c r="M11" s="1056">
        <f ca="1">'数据-取费表'!B39</f>
        <v>1.4999999999999999E-2</v>
      </c>
    </row>
    <row r="12" spans="1:37" ht="18" customHeight="1" thickBot="1">
      <c r="A12" s="1333" t="s">
        <v>1072</v>
      </c>
      <c r="B12" s="1827" t="s">
        <v>1408</v>
      </c>
      <c r="C12" s="1334"/>
      <c r="D12" s="1335"/>
      <c r="E12" s="1340"/>
      <c r="F12" s="1336"/>
      <c r="G12" s="1851"/>
      <c r="H12" s="1333" t="s">
        <v>1072</v>
      </c>
      <c r="I12" s="1827" t="s">
        <v>1408</v>
      </c>
      <c r="J12" s="1334"/>
      <c r="K12" s="1348"/>
      <c r="L12" s="1340"/>
      <c r="M12" s="1349"/>
    </row>
    <row r="13" spans="1:37" ht="18" customHeight="1" thickTop="1">
      <c r="A13" s="1329">
        <v>2</v>
      </c>
      <c r="B13" s="1330" t="s">
        <v>1409</v>
      </c>
      <c r="C13" s="355">
        <f ca="1">ROUND(C29*F13,0)</f>
        <v>0</v>
      </c>
      <c r="D13" s="1331" t="s">
        <v>1410</v>
      </c>
      <c r="E13" s="1331" t="s">
        <v>1411</v>
      </c>
      <c r="F13" s="1332">
        <f ca="1">INDIRECT("'数据-取费表'!y"&amp;$G$1)</f>
        <v>0</v>
      </c>
      <c r="G13" s="1851"/>
      <c r="H13" s="1329">
        <v>2</v>
      </c>
      <c r="I13" s="1330" t="s">
        <v>1409</v>
      </c>
      <c r="J13" s="1290">
        <f ca="1">ROUND(J14*J15,0)</f>
        <v>0</v>
      </c>
      <c r="K13" s="1337" t="s">
        <v>1410</v>
      </c>
      <c r="L13" s="1852"/>
      <c r="M13" s="1853"/>
    </row>
    <row r="14" spans="1:37" ht="18" customHeight="1">
      <c r="A14" s="1201" t="s">
        <v>1031</v>
      </c>
      <c r="B14" s="347" t="s">
        <v>1412</v>
      </c>
      <c r="C14" s="363">
        <f ca="1">ROUND(INDIRECT("'数据-取费表'!l"&amp;$G$1)*F43+'数据-取费表'!L14*INDIRECT("'数据-取费表'!S"&amp;$G$1),0)</f>
        <v>0</v>
      </c>
      <c r="D14" s="1800" t="s">
        <v>1413</v>
      </c>
      <c r="E14" s="1794"/>
      <c r="F14" s="364"/>
      <c r="G14" s="1851"/>
      <c r="H14" s="1201" t="s">
        <v>1032</v>
      </c>
      <c r="I14" s="347" t="s">
        <v>1414</v>
      </c>
      <c r="J14" s="24">
        <f ca="1">C29</f>
        <v>0</v>
      </c>
      <c r="K14" s="15"/>
      <c r="L14" s="979"/>
      <c r="M14" s="980"/>
    </row>
    <row r="15" spans="1:37" s="1858" customFormat="1" ht="18" customHeight="1" thickBot="1">
      <c r="A15" s="1201" t="s">
        <v>1033</v>
      </c>
      <c r="B15" s="347" t="s">
        <v>1415</v>
      </c>
      <c r="C15" s="24">
        <f ca="1">ROUND(C14*F15,0)</f>
        <v>0</v>
      </c>
      <c r="D15" s="365" t="s">
        <v>1416</v>
      </c>
      <c r="E15" s="365" t="s">
        <v>1417</v>
      </c>
      <c r="F15" s="366">
        <f>'数据-取费表'!B33</f>
        <v>0.03</v>
      </c>
      <c r="G15" s="1854"/>
      <c r="H15" s="1339" t="s">
        <v>1036</v>
      </c>
      <c r="I15" s="1340" t="s">
        <v>1411</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1385</v>
      </c>
      <c r="B16" s="347" t="s">
        <v>1418</v>
      </c>
      <c r="C16" s="24">
        <f ca="1">ROUND(INDIRECT("'数据-取费表'!l"&amp;$G$1)*F43*F16,0)</f>
        <v>0</v>
      </c>
      <c r="D16" s="347" t="s">
        <v>1416</v>
      </c>
      <c r="E16" s="347" t="s">
        <v>1417</v>
      </c>
      <c r="F16" s="367">
        <f ca="1">IF(INDIRECT("'数据-取费表'!c"&amp;$G$1)="住宅",'数据-取费表'!B34,0)</f>
        <v>0</v>
      </c>
      <c r="G16" s="1851"/>
      <c r="H16" s="1329" t="s">
        <v>1027</v>
      </c>
      <c r="I16" s="1330" t="s">
        <v>1419</v>
      </c>
      <c r="J16" s="355">
        <f ca="1">ROUND(J17+J22+J23+J24,0)</f>
        <v>0</v>
      </c>
      <c r="K16" s="1337" t="s">
        <v>1420</v>
      </c>
      <c r="L16" s="1338"/>
      <c r="M16" s="1294"/>
    </row>
    <row r="17" spans="1:37" s="1858" customFormat="1" ht="18" customHeight="1">
      <c r="A17" s="1201" t="s">
        <v>1386</v>
      </c>
      <c r="B17" s="347" t="s">
        <v>1421</v>
      </c>
      <c r="C17" s="24">
        <f ca="1">ROUND(F17*(F43+INDIRECT("'数据-取费表'!S"&amp;$G$1)),0)</f>
        <v>0</v>
      </c>
      <c r="D17" s="347" t="s">
        <v>1422</v>
      </c>
      <c r="E17" s="347" t="s">
        <v>1423</v>
      </c>
      <c r="F17" s="26">
        <f>'数据-取费表'!B35</f>
        <v>200</v>
      </c>
      <c r="G17" s="1854"/>
      <c r="H17" s="1201" t="s">
        <v>1032</v>
      </c>
      <c r="I17" s="347" t="s">
        <v>1424</v>
      </c>
      <c r="J17" s="24">
        <f ca="1">ROUND(IF(项目基本情况!B11="自然人",J5*M17,J18+J19+J20),0)</f>
        <v>0</v>
      </c>
      <c r="K17" s="1800" t="s">
        <v>1425</v>
      </c>
      <c r="L17" s="1798" t="s">
        <v>1426</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1387</v>
      </c>
      <c r="B18" s="347" t="s">
        <v>1427</v>
      </c>
      <c r="C18" s="24">
        <f ca="1">ROUND(C14*F18,0)</f>
        <v>0</v>
      </c>
      <c r="D18" s="347" t="s">
        <v>1416</v>
      </c>
      <c r="E18" s="347" t="s">
        <v>1417</v>
      </c>
      <c r="F18" s="367">
        <f>'数据-取费表'!B36</f>
        <v>1.4999999999999999E-2</v>
      </c>
      <c r="G18" s="1854"/>
      <c r="H18" s="1201" t="s">
        <v>1031</v>
      </c>
      <c r="I18" s="347" t="s">
        <v>1428</v>
      </c>
      <c r="J18" s="24">
        <f ca="1">ROUND(J5*M18/(1+'数据-取费表'!C42),0)</f>
        <v>0</v>
      </c>
      <c r="K18" s="1798" t="s">
        <v>1429</v>
      </c>
      <c r="L18" s="347" t="s">
        <v>1417</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1430</v>
      </c>
      <c r="C19" s="24">
        <f ca="1">SUM(C14:C18)</f>
        <v>0</v>
      </c>
      <c r="D19" s="140" t="s">
        <v>1431</v>
      </c>
      <c r="E19" s="1818"/>
      <c r="F19" s="26"/>
      <c r="G19" s="1851"/>
      <c r="H19" s="1201" t="s">
        <v>1033</v>
      </c>
      <c r="I19" s="347" t="s">
        <v>1432</v>
      </c>
      <c r="J19" s="24">
        <f ca="1">IF(K19="按租金收入计税",ROUND(J5*M19,0),ROUND(C29*M19*0.7,0))</f>
        <v>0</v>
      </c>
      <c r="K19" s="1828" t="s">
        <v>1433</v>
      </c>
      <c r="L19" s="347" t="s">
        <v>1417</v>
      </c>
      <c r="M19" s="367">
        <f>IF(K19="按租金收入计税",'数据-取费表'!B51,'数据-取费表'!B50)</f>
        <v>1.2E-2</v>
      </c>
    </row>
    <row r="20" spans="1:37" s="1858" customFormat="1" ht="18" customHeight="1">
      <c r="A20" s="1201" t="s">
        <v>1036</v>
      </c>
      <c r="B20" s="347" t="s">
        <v>1434</v>
      </c>
      <c r="C20" s="24">
        <f ca="1">ROUND(C19*F20,0)</f>
        <v>0</v>
      </c>
      <c r="D20" s="369" t="s">
        <v>1435</v>
      </c>
      <c r="E20" s="347" t="s">
        <v>1417</v>
      </c>
      <c r="F20" s="367">
        <f>'数据-取费表'!B37</f>
        <v>0.02</v>
      </c>
      <c r="G20" s="1854"/>
      <c r="H20" s="1201" t="s">
        <v>1385</v>
      </c>
      <c r="I20" s="164" t="s">
        <v>1436</v>
      </c>
      <c r="J20" s="25">
        <f ca="1">ROUND(M20*M21,0)</f>
        <v>0</v>
      </c>
      <c r="K20" s="370" t="s">
        <v>1437</v>
      </c>
      <c r="L20" s="347" t="s">
        <v>1438</v>
      </c>
      <c r="M20" s="371">
        <f>'数据-取费表'!B52</f>
        <v>24</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1439</v>
      </c>
      <c r="C21" s="24" t="s">
        <v>1</v>
      </c>
      <c r="D21" s="369" t="s">
        <v>1440</v>
      </c>
      <c r="E21" s="347" t="s">
        <v>1441</v>
      </c>
      <c r="F21" s="367">
        <f>'数据-取费表'!B38</f>
        <v>0.03</v>
      </c>
      <c r="G21" s="1854"/>
      <c r="H21" s="372"/>
      <c r="I21" s="356"/>
      <c r="J21" s="29"/>
      <c r="K21" s="373"/>
      <c r="L21" s="347" t="s">
        <v>1442</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1388</v>
      </c>
      <c r="B22" s="347" t="s">
        <v>1443</v>
      </c>
      <c r="C22" s="24"/>
      <c r="D22" s="140" t="str">
        <f>IF(F23&lt;=1,"单利计息。","复利计息。")&amp;"建造成本、管理费用、销售费用产生的利息。"</f>
        <v>复利计息。建造成本、管理费用、销售费用产生的利息。</v>
      </c>
      <c r="E22" s="1818"/>
      <c r="F22" s="26"/>
      <c r="G22" s="1851"/>
      <c r="H22" s="1201" t="s">
        <v>1036</v>
      </c>
      <c r="I22" s="347" t="s">
        <v>1444</v>
      </c>
      <c r="J22" s="24">
        <f ca="1">ROUND(J14*M22,0)</f>
        <v>0</v>
      </c>
      <c r="K22" s="1798" t="s">
        <v>1445</v>
      </c>
      <c r="L22" s="347" t="s">
        <v>1417</v>
      </c>
      <c r="M22" s="374">
        <f ca="1">INDIRECT("'数据-取费表'!Ak"&amp;$G$1)</f>
        <v>0</v>
      </c>
    </row>
    <row r="23" spans="1:37" s="1858" customFormat="1" ht="18" customHeight="1">
      <c r="A23" s="1201" t="s">
        <v>1031</v>
      </c>
      <c r="B23" s="347" t="s">
        <v>1446</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1447</v>
      </c>
      <c r="F23" s="371">
        <f>'数据-取费表'!B20</f>
        <v>1.5</v>
      </c>
      <c r="G23" s="1854"/>
      <c r="H23" s="1201" t="s">
        <v>1072</v>
      </c>
      <c r="I23" s="347" t="s">
        <v>1448</v>
      </c>
      <c r="J23" s="24">
        <f ca="1">ROUND(J13*M23,0)</f>
        <v>0</v>
      </c>
      <c r="K23" s="1798" t="s">
        <v>1449</v>
      </c>
      <c r="L23" s="347" t="s">
        <v>1450</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1451</v>
      </c>
      <c r="B24" s="347" t="s">
        <v>1452</v>
      </c>
      <c r="C24" s="24">
        <f ca="1">ROUND(IF('数据-取费表'!B22&lt;=1,F21*F24*F23/2,F21*(POWER((1+F24),F23/2)-1)),4)</f>
        <v>1.1000000000000001E-3</v>
      </c>
      <c r="D24" s="375" t="str">
        <f>IF(F23&lt;=1,"销售费用×利率×(建设周期÷2)","销售费用×((1+利率)^(建设周期÷2)-1)")</f>
        <v>销售费用×((1+利率)^(建设周期÷2)-1)</v>
      </c>
      <c r="E24" s="347" t="s">
        <v>1453</v>
      </c>
      <c r="F24" s="377">
        <f ca="1">'数据-取费表'!B40</f>
        <v>4.7500000000000001E-2</v>
      </c>
      <c r="G24" s="1854"/>
      <c r="H24" s="1339" t="s">
        <v>1389</v>
      </c>
      <c r="I24" s="1340" t="s">
        <v>1434</v>
      </c>
      <c r="J24" s="1341">
        <f ca="1">ROUND(J5*M24,0)</f>
        <v>0</v>
      </c>
      <c r="K24" s="1342" t="s">
        <v>1454</v>
      </c>
      <c r="L24" s="1340" t="s">
        <v>1450</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1455</v>
      </c>
      <c r="B25" s="347" t="s">
        <v>1456</v>
      </c>
      <c r="C25" s="24"/>
      <c r="D25" s="140" t="s">
        <v>1457</v>
      </c>
      <c r="E25" s="1818"/>
      <c r="F25" s="26"/>
      <c r="G25" s="1851"/>
      <c r="H25" s="1329" t="s">
        <v>1028</v>
      </c>
      <c r="I25" s="1344" t="s">
        <v>1458</v>
      </c>
      <c r="J25" s="355">
        <f ca="1">J5-J16</f>
        <v>0</v>
      </c>
      <c r="K25" s="1345" t="s">
        <v>1459</v>
      </c>
      <c r="L25" s="1346"/>
      <c r="M25" s="1347"/>
    </row>
    <row r="26" spans="1:37" ht="18" customHeight="1">
      <c r="A26" s="1201" t="s">
        <v>1031</v>
      </c>
      <c r="B26" s="347" t="s">
        <v>1460</v>
      </c>
      <c r="C26" s="24">
        <f ca="1">ROUND((C19+C20)*F26,0)</f>
        <v>0</v>
      </c>
      <c r="D26" s="369" t="s">
        <v>1461</v>
      </c>
      <c r="E26" s="358" t="s">
        <v>1462</v>
      </c>
      <c r="F26" s="357">
        <f ca="1">INDIRECT("'数据-取费表'!q"&amp;$G$1)</f>
        <v>0</v>
      </c>
      <c r="G26" s="1851"/>
      <c r="H26" s="344" t="s">
        <v>1029</v>
      </c>
      <c r="I26" s="345" t="s">
        <v>1463</v>
      </c>
      <c r="J26" s="346">
        <f ca="1">IF(J5&lt;&gt;0,ROUND(J25*(1-((1+M28)/(1+M26))^M27)/(M26-M28),0),0)</f>
        <v>0</v>
      </c>
      <c r="K26" s="370" t="s">
        <v>1464</v>
      </c>
      <c r="L26" s="347" t="s">
        <v>1465</v>
      </c>
      <c r="M26" s="357">
        <f ca="1">INDIRECT("'数据-取费表'!I"&amp;$G$1)</f>
        <v>0</v>
      </c>
    </row>
    <row r="27" spans="1:37" ht="18" customHeight="1">
      <c r="A27" s="1201" t="s">
        <v>1033</v>
      </c>
      <c r="B27" s="347" t="s">
        <v>1466</v>
      </c>
      <c r="C27" s="24">
        <f ca="1">ROUND(F21*F26,4)</f>
        <v>0</v>
      </c>
      <c r="D27" s="369" t="s">
        <v>1467</v>
      </c>
      <c r="E27" s="365"/>
      <c r="F27" s="366"/>
      <c r="G27" s="1851"/>
      <c r="H27" s="349"/>
      <c r="I27" s="350"/>
      <c r="J27" s="351"/>
      <c r="K27" s="378" t="s">
        <v>1468</v>
      </c>
      <c r="L27" s="347" t="s">
        <v>1469</v>
      </c>
      <c r="M27" s="379">
        <f ca="1">INDIRECT("'数据-取费表'!ag"&amp;$G$1)</f>
        <v>0</v>
      </c>
    </row>
    <row r="28" spans="1:37" s="1858" customFormat="1" ht="18" customHeight="1">
      <c r="A28" s="1201" t="s">
        <v>1034</v>
      </c>
      <c r="B28" s="347" t="s">
        <v>1470</v>
      </c>
      <c r="C28" s="24">
        <f>ROUND(F28/(1+'数据-取费表'!C42),4)</f>
        <v>5.33E-2</v>
      </c>
      <c r="D28" s="369" t="s">
        <v>1471</v>
      </c>
      <c r="E28" s="347" t="s">
        <v>1417</v>
      </c>
      <c r="F28" s="367">
        <f>'数据-取费表'!B41</f>
        <v>5.6000000000000001E-2</v>
      </c>
      <c r="G28" s="1854"/>
      <c r="H28" s="353"/>
      <c r="I28" s="354"/>
      <c r="J28" s="355"/>
      <c r="K28" s="373"/>
      <c r="L28" s="347" t="s">
        <v>1472</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1473</v>
      </c>
      <c r="C29" s="1341">
        <f ca="1">ROUND((C19+C20+C23+C26)/(1-F21-C24-C27-C28),0)</f>
        <v>0</v>
      </c>
      <c r="D29" s="1342"/>
      <c r="E29" s="1340"/>
      <c r="F29" s="1343"/>
      <c r="G29" s="1854"/>
      <c r="H29" s="380" t="s">
        <v>1030</v>
      </c>
      <c r="I29" s="381" t="s">
        <v>1474</v>
      </c>
      <c r="J29" s="382">
        <f ca="1">ROUND(J26/(1+F40)^F41,0)</f>
        <v>0</v>
      </c>
      <c r="K29" s="383" t="s">
        <v>1475</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1419</v>
      </c>
      <c r="C30" s="355">
        <f ca="1">ROUND(C31+C36+C37+C38,0)</f>
        <v>0</v>
      </c>
      <c r="D30" s="1337" t="s">
        <v>1420</v>
      </c>
      <c r="E30" s="1338"/>
      <c r="F30" s="1294"/>
      <c r="G30" s="1851"/>
      <c r="H30" s="745"/>
      <c r="I30" s="746"/>
      <c r="J30" s="747"/>
      <c r="K30" s="748"/>
      <c r="L30" s="749"/>
      <c r="M30" s="750"/>
    </row>
    <row r="31" spans="1:37" ht="18" customHeight="1">
      <c r="A31" s="1201" t="s">
        <v>1032</v>
      </c>
      <c r="B31" s="347" t="s">
        <v>1424</v>
      </c>
      <c r="C31" s="24">
        <f ca="1">ROUND(IF(项目基本情况!B11="自然人",C5*F31,C32+C33+C34),0)</f>
        <v>0</v>
      </c>
      <c r="D31" s="1800" t="s">
        <v>1425</v>
      </c>
      <c r="E31" s="1798" t="s">
        <v>1476</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1428</v>
      </c>
      <c r="C32" s="24">
        <f ca="1">IF(项目基本情况!B11="自然人","——",ROUND(C5*F32/(1+'数据-取费表'!C42),0))</f>
        <v>0</v>
      </c>
      <c r="D32" s="1798" t="s">
        <v>1429</v>
      </c>
      <c r="E32" s="347" t="s">
        <v>1417</v>
      </c>
      <c r="F32" s="377">
        <f>'数据-取费表'!B41</f>
        <v>5.6000000000000001E-2</v>
      </c>
      <c r="G32" s="1851"/>
      <c r="H32" s="745"/>
      <c r="I32" s="746"/>
      <c r="J32" s="747"/>
      <c r="K32" s="748"/>
      <c r="L32" s="749"/>
      <c r="M32" s="750"/>
    </row>
    <row r="33" spans="1:18" ht="18" customHeight="1">
      <c r="A33" s="1201" t="s">
        <v>1033</v>
      </c>
      <c r="B33" s="347" t="s">
        <v>1432</v>
      </c>
      <c r="C33" s="24">
        <f ca="1">IF(项目基本情况!B11="自然人","——",IF(D33="按租金收入计税",ROUND(C5*F33,0),IF(D33="按房产原值计税",ROUND(C29*F33*0.7,0),INDIRECT("'数据-取费表'!Aj"&amp;$G$1))))</f>
        <v>0</v>
      </c>
      <c r="D33" s="1828" t="s">
        <v>1433</v>
      </c>
      <c r="E33" s="347" t="s">
        <v>1417</v>
      </c>
      <c r="F33" s="367">
        <f>IF(D33="按票据","——",IF(D33="按租金收入计税",'数据-取费表'!B51,'数据-取费表'!B50))</f>
        <v>1.2E-2</v>
      </c>
      <c r="G33" s="1851"/>
      <c r="H33" s="1859"/>
      <c r="I33" s="1860"/>
      <c r="J33" s="1861"/>
      <c r="K33" s="1862"/>
      <c r="L33" s="1859"/>
      <c r="M33" s="1859"/>
    </row>
    <row r="34" spans="1:18" ht="18" customHeight="1">
      <c r="A34" s="1291" t="s">
        <v>1385</v>
      </c>
      <c r="B34" s="164" t="s">
        <v>1436</v>
      </c>
      <c r="C34" s="25">
        <f ca="1">IF(项目基本情况!B11="自然人","——",ROUND(F34*F35,))</f>
        <v>0</v>
      </c>
      <c r="D34" s="370" t="s">
        <v>1437</v>
      </c>
      <c r="E34" s="347" t="s">
        <v>1438</v>
      </c>
      <c r="F34" s="371">
        <f>'数据-取费表'!B52</f>
        <v>24</v>
      </c>
      <c r="G34" s="1851"/>
      <c r="H34" s="745"/>
      <c r="I34" s="1860"/>
      <c r="J34" s="1861"/>
      <c r="K34" s="1863"/>
      <c r="L34" s="1864"/>
      <c r="M34" s="1864"/>
    </row>
    <row r="35" spans="1:18" ht="18" customHeight="1">
      <c r="A35" s="1353"/>
      <c r="B35" s="1351"/>
      <c r="C35" s="29"/>
      <c r="D35" s="373"/>
      <c r="E35" s="347" t="s">
        <v>1442</v>
      </c>
      <c r="F35" s="348">
        <f ca="1">INDIRECT("'数据-取费表'!r"&amp;$G$1)</f>
        <v>0</v>
      </c>
      <c r="G35" s="1851"/>
      <c r="H35" s="745"/>
      <c r="I35" s="1860"/>
      <c r="J35" s="1861"/>
      <c r="K35" s="1862"/>
      <c r="L35" s="1859"/>
      <c r="M35" s="1859"/>
    </row>
    <row r="36" spans="1:18" ht="18" customHeight="1">
      <c r="A36" s="1352" t="s">
        <v>1036</v>
      </c>
      <c r="B36" s="347" t="s">
        <v>1444</v>
      </c>
      <c r="C36" s="24">
        <f ca="1">ROUND(C29*F36,0)</f>
        <v>0</v>
      </c>
      <c r="D36" s="1798" t="s">
        <v>1477</v>
      </c>
      <c r="E36" s="347" t="s">
        <v>1417</v>
      </c>
      <c r="F36" s="374">
        <f ca="1">INDIRECT("'数据-取费表'!Ak"&amp;$G$1)</f>
        <v>0</v>
      </c>
      <c r="G36" s="1851"/>
      <c r="H36" s="1859"/>
      <c r="I36" s="1860"/>
      <c r="J36" s="1861"/>
      <c r="K36" s="751"/>
      <c r="L36" s="1859"/>
      <c r="M36" s="1859"/>
    </row>
    <row r="37" spans="1:18" ht="18" customHeight="1">
      <c r="A37" s="1201" t="s">
        <v>1072</v>
      </c>
      <c r="B37" s="347" t="s">
        <v>1448</v>
      </c>
      <c r="C37" s="24">
        <f ca="1">ROUND(C13*F37,0)</f>
        <v>0</v>
      </c>
      <c r="D37" s="1798" t="s">
        <v>1449</v>
      </c>
      <c r="E37" s="347" t="s">
        <v>1450</v>
      </c>
      <c r="F37" s="376">
        <f ca="1">INDIRECT("'数据-取费表'!Al"&amp;$G$1)</f>
        <v>0</v>
      </c>
      <c r="G37" s="1851"/>
      <c r="H37" s="1859"/>
      <c r="I37" s="1860"/>
      <c r="J37" s="1861"/>
      <c r="K37" s="751"/>
      <c r="L37" s="1859"/>
      <c r="M37" s="1859"/>
    </row>
    <row r="38" spans="1:18" ht="18" customHeight="1" thickBot="1">
      <c r="A38" s="1339" t="s">
        <v>1389</v>
      </c>
      <c r="B38" s="1340" t="s">
        <v>1434</v>
      </c>
      <c r="C38" s="1341">
        <f ca="1">ROUND(C5*F38,1)</f>
        <v>0</v>
      </c>
      <c r="D38" s="1342" t="s">
        <v>1454</v>
      </c>
      <c r="E38" s="1340" t="s">
        <v>1450</v>
      </c>
      <c r="F38" s="1336">
        <f ca="1">INDIRECT("'数据-取费表'!Am"&amp;$G$1)</f>
        <v>0</v>
      </c>
      <c r="G38" s="1851"/>
      <c r="H38" s="1859"/>
      <c r="I38" s="1860"/>
      <c r="J38" s="1861"/>
      <c r="K38" s="1865"/>
      <c r="L38" s="1859"/>
      <c r="M38" s="1859"/>
    </row>
    <row r="39" spans="1:18" ht="24.6" customHeight="1" thickTop="1">
      <c r="A39" s="1329" t="s">
        <v>1028</v>
      </c>
      <c r="B39" s="1344" t="s">
        <v>1478</v>
      </c>
      <c r="C39" s="355">
        <f ca="1">C5-C30</f>
        <v>0</v>
      </c>
      <c r="D39" s="1345" t="s">
        <v>1479</v>
      </c>
      <c r="E39" s="1346"/>
      <c r="F39" s="1347"/>
      <c r="G39" s="1851"/>
      <c r="H39" s="1859"/>
      <c r="I39" s="1860"/>
      <c r="J39" s="1861"/>
      <c r="K39" s="1865"/>
      <c r="L39" s="1859"/>
      <c r="M39" s="1859"/>
    </row>
    <row r="40" spans="1:18" ht="18" customHeight="1">
      <c r="A40" s="344" t="s">
        <v>1029</v>
      </c>
      <c r="B40" s="345" t="s">
        <v>1480</v>
      </c>
      <c r="C40" s="346" t="e">
        <f ca="1">ROUND(C39*(1-((1+F42)/(1+F40))^F41)/(F40-F42),0)</f>
        <v>#DIV/0!</v>
      </c>
      <c r="D40" s="370" t="s">
        <v>1464</v>
      </c>
      <c r="E40" s="347" t="s">
        <v>1465</v>
      </c>
      <c r="F40" s="357">
        <f ca="1">INDIRECT("'数据-取费表'!I"&amp;$G$1)</f>
        <v>0</v>
      </c>
      <c r="G40" s="1851"/>
      <c r="H40" s="1839"/>
      <c r="I40" s="1860"/>
      <c r="J40" s="1861"/>
      <c r="K40" s="1865"/>
      <c r="L40" s="1839"/>
      <c r="M40" s="1839"/>
    </row>
    <row r="41" spans="1:18" ht="18" customHeight="1">
      <c r="A41" s="349"/>
      <c r="B41" s="350"/>
      <c r="C41" s="351"/>
      <c r="D41" s="378" t="s">
        <v>1481</v>
      </c>
      <c r="E41" s="347" t="s">
        <v>1469</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1472</v>
      </c>
      <c r="F42" s="357">
        <f ca="1">INDIRECT("'数据-取费表'!v"&amp;$G$1)</f>
        <v>0</v>
      </c>
      <c r="G42" s="1851"/>
      <c r="H42" s="732"/>
      <c r="I42" s="1860"/>
      <c r="J42" s="1861"/>
      <c r="K42" s="751"/>
      <c r="L42" s="732"/>
      <c r="M42" s="732"/>
    </row>
    <row r="43" spans="1:18" ht="18" customHeight="1" thickBot="1">
      <c r="A43" s="380" t="s">
        <v>1030</v>
      </c>
      <c r="B43" s="381" t="s">
        <v>1482</v>
      </c>
      <c r="C43" s="382" t="e">
        <f ca="1">ROUND(C40/F43,0)</f>
        <v>#DIV/0!</v>
      </c>
      <c r="D43" s="383" t="s">
        <v>1483</v>
      </c>
      <c r="E43" s="384" t="s">
        <v>1484</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9" t="e">
        <f ca="1">C68-C40</f>
        <v>#DIV/0!</v>
      </c>
      <c r="D45" s="1940" t="s">
        <v>1599</v>
      </c>
      <c r="E45" s="1866"/>
      <c r="F45" s="1866"/>
      <c r="O45" s="1869" t="s">
        <v>1514</v>
      </c>
      <c r="P45" s="1839"/>
      <c r="Q45" s="1839"/>
      <c r="R45" s="1839"/>
    </row>
    <row r="46" spans="1:18" s="1842" customFormat="1" ht="13.5" thickBot="1">
      <c r="A46" s="1870" t="s">
        <v>1515</v>
      </c>
      <c r="C46" s="1871" t="e">
        <f ca="1">ROUND(C45/10000,0)</f>
        <v>#DIV/0!</v>
      </c>
      <c r="D46" s="1872" t="str">
        <f>C2</f>
        <v>万元</v>
      </c>
      <c r="I46" s="1873" t="s">
        <v>1516</v>
      </c>
      <c r="J46" s="1874"/>
      <c r="K46" s="1875"/>
      <c r="L46" s="1876" t="e">
        <f ca="1">IF(M47="住宅",0,IF(L48&gt;J51,L60,J60))</f>
        <v>#DIV/0!</v>
      </c>
      <c r="O46" s="1877" t="s">
        <v>1517</v>
      </c>
      <c r="P46" s="1878" t="s">
        <v>1518</v>
      </c>
      <c r="Q46" s="1879" t="s">
        <v>1519</v>
      </c>
      <c r="R46" s="1879" t="s">
        <v>1520</v>
      </c>
    </row>
    <row r="47" spans="1:18" s="1842" customFormat="1" ht="13.5" thickBot="1">
      <c r="A47" s="1165" t="s">
        <v>1392</v>
      </c>
      <c r="B47" s="1197" t="s">
        <v>1393</v>
      </c>
      <c r="C47" s="1197" t="s">
        <v>1394</v>
      </c>
      <c r="D47" s="1197" t="s">
        <v>1395</v>
      </c>
      <c r="E47" s="1279" t="s">
        <v>1396</v>
      </c>
      <c r="F47" s="1280"/>
      <c r="G47" s="792"/>
      <c r="I47" s="1880" t="s">
        <v>1521</v>
      </c>
      <c r="J47" s="1881"/>
      <c r="K47" s="1882" t="s">
        <v>1522</v>
      </c>
      <c r="L47" s="1883">
        <f ca="1">INDIRECT("'数据-取费表'!d"&amp;$G$1)</f>
        <v>0</v>
      </c>
      <c r="M47" s="1838" t="str">
        <f>IF(ISNUMBER(FIND("住宅",C1)),"住宅","非住宅")</f>
        <v>非住宅</v>
      </c>
      <c r="O47" s="1884" t="s">
        <v>1037</v>
      </c>
      <c r="P47" s="1885" t="s">
        <v>1523</v>
      </c>
      <c r="Q47" s="1886" t="e">
        <f ca="1">C40+J29</f>
        <v>#DIV/0!</v>
      </c>
      <c r="R47" s="1886" t="s">
        <v>1524</v>
      </c>
    </row>
    <row r="48" spans="1:18" s="1842" customFormat="1" ht="28.5" thickBot="1">
      <c r="A48" s="1360" t="s">
        <v>1132</v>
      </c>
      <c r="B48" s="345" t="s">
        <v>1397</v>
      </c>
      <c r="C48" s="1817">
        <f ca="1">C49+C53+C55</f>
        <v>0</v>
      </c>
      <c r="D48" s="1362"/>
      <c r="E48" s="1363"/>
      <c r="F48" s="1181"/>
      <c r="G48" s="792"/>
      <c r="H48" s="793"/>
      <c r="I48" s="1887" t="s">
        <v>1525</v>
      </c>
      <c r="J48" s="1888"/>
      <c r="K48" s="1889" t="s">
        <v>1526</v>
      </c>
      <c r="L48" s="1890">
        <f ca="1">INDIRECT("'数据-取费表'!f"&amp;$G$1)</f>
        <v>0</v>
      </c>
      <c r="O48" s="1884" t="s">
        <v>1038</v>
      </c>
      <c r="P48" s="1885" t="s">
        <v>1527</v>
      </c>
      <c r="Q48" s="1886" t="e">
        <f ca="1">J60</f>
        <v>#DIV/0!</v>
      </c>
      <c r="R48" s="1886" t="s">
        <v>1528</v>
      </c>
    </row>
    <row r="49" spans="1:18" s="1842" customFormat="1" ht="13.5" thickBot="1">
      <c r="A49" s="1194" t="s">
        <v>1133</v>
      </c>
      <c r="B49" s="1829" t="s">
        <v>1485</v>
      </c>
      <c r="C49" s="1364">
        <f ca="1">ROUND(F49*F51*F50*(1-F52),0)</f>
        <v>0</v>
      </c>
      <c r="D49" s="1276" t="s">
        <v>1400</v>
      </c>
      <c r="E49" s="1830" t="s">
        <v>1486</v>
      </c>
      <c r="F49" s="1281"/>
      <c r="G49" s="1891"/>
      <c r="H49" s="793"/>
      <c r="I49" s="1887" t="s">
        <v>1529</v>
      </c>
      <c r="J49" s="1892"/>
      <c r="K49" s="1889" t="s">
        <v>1530</v>
      </c>
      <c r="L49" s="1893"/>
      <c r="O49" s="1894" t="s">
        <v>1039</v>
      </c>
      <c r="P49" s="1885" t="s">
        <v>1531</v>
      </c>
      <c r="Q49" s="1886">
        <f ca="1">C29</f>
        <v>0</v>
      </c>
      <c r="R49" s="1886" t="s">
        <v>1524</v>
      </c>
    </row>
    <row r="50" spans="1:18" s="1842" customFormat="1" ht="13.5" thickBot="1">
      <c r="A50" s="1195"/>
      <c r="B50" s="1198"/>
      <c r="C50" s="1199"/>
      <c r="D50" s="1172"/>
      <c r="E50" s="1277" t="s">
        <v>1402</v>
      </c>
      <c r="F50" s="1278">
        <f ca="1">F7</f>
        <v>0</v>
      </c>
      <c r="H50" s="793"/>
      <c r="I50" s="1887" t="s">
        <v>1532</v>
      </c>
      <c r="J50" s="1895">
        <f>SUMPRODUCT((I63:I65=J47)*(J62:L62=J48)*(J63:L65))</f>
        <v>0</v>
      </c>
      <c r="K50" s="1889" t="s">
        <v>1533</v>
      </c>
      <c r="L50" s="1893"/>
      <c r="M50" s="1896"/>
      <c r="O50" s="1894" t="s">
        <v>1040</v>
      </c>
      <c r="P50" s="1885" t="s">
        <v>1534</v>
      </c>
      <c r="Q50" s="1897" t="e">
        <f ca="1">J58</f>
        <v>#DIV/0!</v>
      </c>
      <c r="R50" s="1886"/>
    </row>
    <row r="51" spans="1:18" s="1842" customFormat="1" ht="13.5" thickBot="1">
      <c r="A51" s="1196"/>
      <c r="B51" s="1198"/>
      <c r="C51" s="1199"/>
      <c r="D51" s="1172"/>
      <c r="E51" s="1200" t="s">
        <v>1403</v>
      </c>
      <c r="F51" s="348">
        <f ca="1">F8</f>
        <v>0</v>
      </c>
      <c r="I51" s="1898" t="s">
        <v>1535</v>
      </c>
      <c r="J51" s="1899">
        <f>IF(J49="",J50,J49+J50-YEAR('数据-取费表'!B2))</f>
        <v>0</v>
      </c>
      <c r="K51" s="1900" t="s">
        <v>1536</v>
      </c>
      <c r="L51" s="1901">
        <f ca="1">ROUND(-PV(INDIRECT("'数据-取费表'!h"&amp;$G$1),L48,(C39-C13*C76),0),0)</f>
        <v>0</v>
      </c>
      <c r="M51" s="1902"/>
      <c r="O51" s="1894" t="s">
        <v>1041</v>
      </c>
      <c r="P51" s="1885" t="s">
        <v>1537</v>
      </c>
      <c r="Q51" s="1897">
        <f>J52</f>
        <v>0</v>
      </c>
      <c r="R51" s="1886"/>
    </row>
    <row r="52" spans="1:18" s="1842" customFormat="1" ht="13.5" thickBot="1">
      <c r="A52" s="1196"/>
      <c r="B52" s="1198"/>
      <c r="C52" s="1199"/>
      <c r="D52" s="1172"/>
      <c r="E52" s="1200" t="s">
        <v>1404</v>
      </c>
      <c r="F52" s="1275"/>
      <c r="I52" s="1903" t="s">
        <v>1538</v>
      </c>
      <c r="J52" s="1904"/>
      <c r="K52" s="1903" t="s">
        <v>1539</v>
      </c>
      <c r="L52" s="1904"/>
      <c r="O52" s="1894" t="s">
        <v>1042</v>
      </c>
      <c r="P52" s="1885" t="s">
        <v>1540</v>
      </c>
      <c r="Q52" s="1886" t="b">
        <f>J53</f>
        <v>0</v>
      </c>
      <c r="R52" s="1886" t="s">
        <v>1541</v>
      </c>
    </row>
    <row r="53" spans="1:18" s="1842" customFormat="1" ht="30.75" customHeight="1" thickBot="1">
      <c r="A53" s="1361" t="s">
        <v>1134</v>
      </c>
      <c r="B53" s="369" t="s">
        <v>1405</v>
      </c>
      <c r="C53" s="361">
        <f ca="1">ROUND(IF(F53="押一",C49/12*F11,IF(F53="押二",C49/12*2*F11,IF(F53="押三",C49/12*3*F11,C54*F11))),0)</f>
        <v>0</v>
      </c>
      <c r="D53" s="1824" t="s">
        <v>3038</v>
      </c>
      <c r="E53" s="358" t="s">
        <v>1406</v>
      </c>
      <c r="F53" s="1366"/>
      <c r="I53" s="1905" t="s">
        <v>1542</v>
      </c>
      <c r="J53" s="1906" t="b">
        <f>IF(M47="住宅",IF(D1="——",MAX(J51,L48),IF(D1="在建（套用方法）",MAX(J51,L48-'数据-取费表'!B24),MAX(J51,L48-'数据-取费表'!B20))),IF(D1="——",MIN(J51,L48),IF(D1="在建（套用方法）",MIN(J51,L48-'数据-取费表'!B24),IF(D1="土地（套用方法）",MIN(J51,L48-'数据-取费表'!B20)))))</f>
        <v>0</v>
      </c>
      <c r="K53" s="3235" t="s">
        <v>1543</v>
      </c>
      <c r="L53" s="3236"/>
      <c r="O53" s="1884" t="s">
        <v>1043</v>
      </c>
      <c r="P53" s="1885" t="s">
        <v>1544</v>
      </c>
      <c r="Q53" s="1886" t="e">
        <f ca="1">Q47+Q48</f>
        <v>#DIV/0!</v>
      </c>
      <c r="R53" s="1886" t="s">
        <v>1044</v>
      </c>
    </row>
    <row r="54" spans="1:18" s="1842" customFormat="1" ht="13.5" thickBot="1">
      <c r="A54" s="1194"/>
      <c r="B54" s="1941" t="s">
        <v>1598</v>
      </c>
      <c r="C54" s="1178"/>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9"/>
      <c r="K54" s="1909"/>
      <c r="L54" s="1909"/>
      <c r="M54" s="1891"/>
      <c r="O54" s="1869" t="s">
        <v>1545</v>
      </c>
      <c r="P54" s="1839"/>
      <c r="Q54" s="1839"/>
      <c r="R54" s="1839"/>
    </row>
    <row r="55" spans="1:18" s="1842" customFormat="1" ht="13.5" thickBot="1">
      <c r="A55" s="1333" t="s">
        <v>1072</v>
      </c>
      <c r="B55" s="1827" t="s">
        <v>1408</v>
      </c>
      <c r="C55" s="1334"/>
      <c r="D55" s="1824"/>
      <c r="E55" s="1832"/>
      <c r="F55" s="1907"/>
      <c r="I55" s="1910" t="s">
        <v>1546</v>
      </c>
      <c r="J55" s="1911" t="e">
        <f ca="1">ROUND(IF(J47="钢混",J57/J50,1-(1-2%)*(J50-J57)/J50),3)</f>
        <v>#DIV/0!</v>
      </c>
      <c r="K55" s="1912" t="s">
        <v>1547</v>
      </c>
      <c r="L55" s="1913"/>
      <c r="O55" s="1877" t="s">
        <v>1517</v>
      </c>
      <c r="P55" s="1878" t="s">
        <v>1518</v>
      </c>
      <c r="Q55" s="1879" t="s">
        <v>1519</v>
      </c>
      <c r="R55" s="1879" t="s">
        <v>1520</v>
      </c>
    </row>
    <row r="56" spans="1:18" s="1842" customFormat="1" ht="36" customHeight="1" thickTop="1" thickBot="1">
      <c r="A56" s="1176">
        <v>2</v>
      </c>
      <c r="B56" s="1177" t="s">
        <v>1409</v>
      </c>
      <c r="C56" s="276">
        <f ca="1">C13</f>
        <v>0</v>
      </c>
      <c r="D56" s="1914"/>
      <c r="E56" s="1915"/>
      <c r="F56" s="1907"/>
      <c r="I56" s="1916" t="s">
        <v>1549</v>
      </c>
      <c r="J56" s="1917"/>
      <c r="K56" s="1887" t="s">
        <v>1550</v>
      </c>
      <c r="L56" s="1890">
        <f ca="1">IF(L48&lt;J51,"——",L48-J51)</f>
        <v>0</v>
      </c>
      <c r="O56" s="1884" t="s">
        <v>1037</v>
      </c>
      <c r="P56" s="1885" t="s">
        <v>1523</v>
      </c>
      <c r="Q56" s="1886" t="e">
        <f ca="1">C40+J29</f>
        <v>#DIV/0!</v>
      </c>
      <c r="R56" s="1886" t="s">
        <v>1524</v>
      </c>
    </row>
    <row r="57" spans="1:18" s="1842" customFormat="1" ht="24.75" thickBot="1">
      <c r="A57" s="1918"/>
      <c r="B57" s="1169" t="s">
        <v>1473</v>
      </c>
      <c r="C57" s="282">
        <f ca="1">C29</f>
        <v>0</v>
      </c>
      <c r="D57" s="1919"/>
      <c r="E57" s="1920"/>
      <c r="F57" s="1921"/>
      <c r="I57" s="1922" t="s">
        <v>1551</v>
      </c>
      <c r="J57" s="1923">
        <f ca="1">IF(OR(M47="住宅",J51&lt;L48,J56="是"),"——",J51-L48)</f>
        <v>0</v>
      </c>
      <c r="K57" s="1887" t="s">
        <v>1600</v>
      </c>
      <c r="L57" s="1890">
        <f ca="1">IF(L48&lt;J51,"——",IF(L55="比较法",L49,IF(L55="基准地价",L50,L51)))</f>
        <v>0</v>
      </c>
      <c r="O57" s="1884" t="s">
        <v>1038</v>
      </c>
      <c r="P57" s="1885" t="s">
        <v>1601</v>
      </c>
      <c r="Q57" s="1886" t="e">
        <f ca="1">L60</f>
        <v>#DIV/0!</v>
      </c>
      <c r="R57" s="1886" t="s">
        <v>1602</v>
      </c>
    </row>
    <row r="58" spans="1:18" s="1842" customFormat="1" ht="24.75" thickBot="1">
      <c r="A58" s="360" t="s">
        <v>1027</v>
      </c>
      <c r="B58" s="1177" t="s">
        <v>1419</v>
      </c>
      <c r="C58" s="361">
        <f ca="1">ROUND(C59+C64+C65+C66,0)</f>
        <v>0</v>
      </c>
      <c r="D58" s="1179" t="s">
        <v>1420</v>
      </c>
      <c r="E58" s="1180"/>
      <c r="F58" s="1181"/>
      <c r="I58" s="1922" t="s">
        <v>1555</v>
      </c>
      <c r="J58" s="1924" t="e">
        <f ca="1">IF(J55&lt;0.4,0.4,J55)</f>
        <v>#DIV/0!</v>
      </c>
      <c r="K58" s="1900" t="s">
        <v>1603</v>
      </c>
      <c r="L58" s="1890" t="e">
        <f ca="1">ROUND(POWER(1+L52,L47-L48)*(POWER(1+L52,L48)-1)/(POWER(1+L52,L47)-1),4)</f>
        <v>#DIV/0!</v>
      </c>
      <c r="O58" s="1894" t="s">
        <v>1039</v>
      </c>
      <c r="P58" s="1885" t="s">
        <v>1557</v>
      </c>
      <c r="Q58" s="1886">
        <f>IF(L55="比较法",L49,IF(L55="基准地价",L50,0))</f>
        <v>0</v>
      </c>
      <c r="R58" s="1886" t="s">
        <v>1524</v>
      </c>
    </row>
    <row r="59" spans="1:18" s="1842" customFormat="1" ht="24.75" thickBot="1">
      <c r="A59" s="1201" t="s">
        <v>1032</v>
      </c>
      <c r="B59" s="1169" t="s">
        <v>1424</v>
      </c>
      <c r="C59" s="24">
        <f ca="1">ROUND(IF(项目基本情况!B11="自然人",C48*F59,C60+C61+C62),0)</f>
        <v>0</v>
      </c>
      <c r="D59" s="1182" t="s">
        <v>1425</v>
      </c>
      <c r="E59" s="1183" t="s">
        <v>1426</v>
      </c>
      <c r="F59" s="368" t="str">
        <f ca="1">IF(项目基本情况!B11="企业","",IF(INDIRECT("'数据-取费表'!c"&amp;$G$1)="住宅",5%,IF(F49*F50*F51/12/(1+'数据-取费表'!C42)&gt;20000,12%,7%)))</f>
        <v/>
      </c>
      <c r="I59" s="1922" t="s">
        <v>1558</v>
      </c>
      <c r="J59" s="1923"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1040</v>
      </c>
      <c r="P59" s="1885" t="s">
        <v>1559</v>
      </c>
      <c r="Q59" s="1897">
        <f>L52</f>
        <v>0</v>
      </c>
      <c r="R59" s="1886"/>
    </row>
    <row r="60" spans="1:18" s="1842" customFormat="1" ht="16.5" thickBot="1">
      <c r="A60" s="1201" t="s">
        <v>1031</v>
      </c>
      <c r="B60" s="1169" t="s">
        <v>1428</v>
      </c>
      <c r="C60" s="24">
        <f ca="1">IF(项目基本情况!B11="自然人","——",ROUND(C48*F60/(1+'数据-取费表'!C42),0))</f>
        <v>0</v>
      </c>
      <c r="D60" s="1183" t="s">
        <v>1429</v>
      </c>
      <c r="E60" s="1169" t="s">
        <v>1417</v>
      </c>
      <c r="F60" s="377">
        <f t="shared" ref="F60:F66" si="0">F32</f>
        <v>5.6000000000000001E-2</v>
      </c>
      <c r="I60" s="1925" t="s">
        <v>1560</v>
      </c>
      <c r="J60" s="1926" t="e">
        <f ca="1">IF(OR(M47="住宅",J51&lt;L48,J56="是"),"0",ROUND(J59/(1+J52)^J53,0))</f>
        <v>#DIV/0!</v>
      </c>
      <c r="K60" s="1927" t="s">
        <v>1561</v>
      </c>
      <c r="L60" s="1926" t="e">
        <f ca="1">IF(OR(M47="住宅",L48&lt;J51),0,ROUND(L57*(L58/L59-1),0))</f>
        <v>#DIV/0!</v>
      </c>
      <c r="O60" s="1894" t="s">
        <v>1041</v>
      </c>
      <c r="P60" s="1885" t="s">
        <v>1562</v>
      </c>
      <c r="Q60" s="1886" t="e">
        <f ca="1">L58</f>
        <v>#DIV/0!</v>
      </c>
      <c r="R60" s="1886" t="s">
        <v>1563</v>
      </c>
    </row>
    <row r="61" spans="1:18" s="1842" customFormat="1" ht="13.5" thickBot="1">
      <c r="A61" s="1201" t="s">
        <v>1487</v>
      </c>
      <c r="B61" s="1169" t="s">
        <v>1488</v>
      </c>
      <c r="C61" s="24">
        <f ca="1">IF(项目基本情况!B11="自然人","——",IF(D61="按租金收入计税",ROUND(C48*F61,0),IF(D61="按房产原值计税",ROUND(C57*F61*0.7,0),INDIRECT("'数据-取费表'!Aj"&amp;$G$1))))</f>
        <v>0</v>
      </c>
      <c r="D61" s="1828" t="s">
        <v>1433</v>
      </c>
      <c r="E61" s="1169" t="s">
        <v>1489</v>
      </c>
      <c r="F61" s="367">
        <f t="shared" si="0"/>
        <v>1.2E-2</v>
      </c>
      <c r="I61" s="1928"/>
      <c r="J61" s="1928"/>
      <c r="K61" s="1928"/>
      <c r="L61" s="1928"/>
      <c r="O61" s="1894" t="s">
        <v>1042</v>
      </c>
      <c r="P61" s="1885" t="str">
        <f>K59</f>
        <v>建设期及建筑物耐用年限下的土地年期修正系数Kn</v>
      </c>
      <c r="Q61" s="1886" t="e">
        <f ca="1">L59</f>
        <v>#DIV/0!</v>
      </c>
      <c r="R61" s="1886" t="s">
        <v>1564</v>
      </c>
    </row>
    <row r="62" spans="1:18" s="1842" customFormat="1" ht="13.5" thickBot="1">
      <c r="A62" s="1201" t="s">
        <v>1490</v>
      </c>
      <c r="B62" s="1168" t="s">
        <v>1491</v>
      </c>
      <c r="C62" s="25">
        <f ca="1">IF(项目基本情况!B11="自然人","——",ROUND(F62*F63,0))</f>
        <v>0</v>
      </c>
      <c r="D62" s="1184" t="s">
        <v>1492</v>
      </c>
      <c r="E62" s="1169" t="s">
        <v>1493</v>
      </c>
      <c r="F62" s="371">
        <f t="shared" si="0"/>
        <v>24</v>
      </c>
      <c r="I62" s="1929" t="s">
        <v>1565</v>
      </c>
      <c r="J62" s="1930" t="s">
        <v>1566</v>
      </c>
      <c r="K62" s="1930" t="s">
        <v>1567</v>
      </c>
      <c r="L62" s="1930" t="s">
        <v>1568</v>
      </c>
      <c r="M62" s="1931" t="s">
        <v>1569</v>
      </c>
      <c r="O62" s="1884" t="s">
        <v>1043</v>
      </c>
      <c r="P62" s="1885" t="s">
        <v>1570</v>
      </c>
      <c r="Q62" s="1886" t="e">
        <f ca="1">Q56+Q57</f>
        <v>#DIV/0!</v>
      </c>
      <c r="R62" s="1886" t="s">
        <v>1044</v>
      </c>
    </row>
    <row r="63" spans="1:18" s="1842" customFormat="1" ht="13.5" thickBot="1">
      <c r="A63" s="372"/>
      <c r="B63" s="1175"/>
      <c r="C63" s="29"/>
      <c r="D63" s="1185"/>
      <c r="E63" s="1169" t="s">
        <v>1494</v>
      </c>
      <c r="F63" s="348">
        <f t="shared" ca="1" si="0"/>
        <v>0</v>
      </c>
      <c r="I63" s="1929" t="s">
        <v>1571</v>
      </c>
      <c r="J63" s="1930">
        <v>70</v>
      </c>
      <c r="K63" s="1930">
        <v>50</v>
      </c>
      <c r="L63" s="1930">
        <v>80</v>
      </c>
      <c r="M63" s="1932">
        <v>0.02</v>
      </c>
      <c r="O63" s="1869" t="s">
        <v>1572</v>
      </c>
      <c r="P63" s="1839"/>
      <c r="Q63" s="1839"/>
      <c r="R63" s="1839"/>
    </row>
    <row r="64" spans="1:18" s="1842" customFormat="1" ht="13.5" thickBot="1">
      <c r="A64" s="1201" t="s">
        <v>1495</v>
      </c>
      <c r="B64" s="1169" t="s">
        <v>1496</v>
      </c>
      <c r="C64" s="24">
        <f ca="1">ROUND(C57*F64,0)</f>
        <v>0</v>
      </c>
      <c r="D64" s="1183" t="s">
        <v>1497</v>
      </c>
      <c r="E64" s="1169" t="s">
        <v>1489</v>
      </c>
      <c r="F64" s="374">
        <f t="shared" ca="1" si="0"/>
        <v>0</v>
      </c>
      <c r="I64" s="1929" t="s">
        <v>1573</v>
      </c>
      <c r="J64" s="1930">
        <v>50</v>
      </c>
      <c r="K64" s="1930">
        <v>35</v>
      </c>
      <c r="L64" s="1930">
        <v>60</v>
      </c>
      <c r="M64" s="1931">
        <v>0</v>
      </c>
      <c r="O64" s="1877" t="s">
        <v>1517</v>
      </c>
      <c r="P64" s="1878" t="s">
        <v>1518</v>
      </c>
      <c r="Q64" s="1879" t="s">
        <v>1519</v>
      </c>
      <c r="R64" s="1879" t="s">
        <v>1520</v>
      </c>
    </row>
    <row r="65" spans="1:18" s="1842" customFormat="1" ht="13.5" thickBot="1">
      <c r="A65" s="1201" t="s">
        <v>1498</v>
      </c>
      <c r="B65" s="1169" t="s">
        <v>1448</v>
      </c>
      <c r="C65" s="24">
        <f ca="1">ROUND(C56*F65,0)</f>
        <v>0</v>
      </c>
      <c r="D65" s="1183" t="s">
        <v>1449</v>
      </c>
      <c r="E65" s="1169" t="s">
        <v>1450</v>
      </c>
      <c r="F65" s="376">
        <f t="shared" ca="1" si="0"/>
        <v>0</v>
      </c>
      <c r="I65" s="1929" t="s">
        <v>1574</v>
      </c>
      <c r="J65" s="1930">
        <v>40</v>
      </c>
      <c r="K65" s="1930">
        <v>30</v>
      </c>
      <c r="L65" s="1930">
        <v>50</v>
      </c>
      <c r="M65" s="1932">
        <v>0.02</v>
      </c>
      <c r="O65" s="1884" t="s">
        <v>1037</v>
      </c>
      <c r="P65" s="1885" t="s">
        <v>1575</v>
      </c>
      <c r="Q65" s="1886" t="e">
        <f ca="1">C40+J29</f>
        <v>#DIV/0!</v>
      </c>
      <c r="R65" s="1886" t="s">
        <v>1524</v>
      </c>
    </row>
    <row r="66" spans="1:18" s="1842" customFormat="1" ht="16.5" thickBot="1">
      <c r="A66" s="1201" t="s">
        <v>1499</v>
      </c>
      <c r="B66" s="1169" t="s">
        <v>1434</v>
      </c>
      <c r="C66" s="24">
        <f ca="1">ROUND(C48*F66,0)</f>
        <v>0</v>
      </c>
      <c r="D66" s="1183" t="s">
        <v>1500</v>
      </c>
      <c r="E66" s="1169" t="s">
        <v>1417</v>
      </c>
      <c r="F66" s="357">
        <f t="shared" ca="1" si="0"/>
        <v>0</v>
      </c>
      <c r="O66" s="1884" t="s">
        <v>1038</v>
      </c>
      <c r="P66" s="1885" t="s">
        <v>1553</v>
      </c>
      <c r="Q66" s="1886" t="e">
        <f ca="1">L60</f>
        <v>#DIV/0!</v>
      </c>
      <c r="R66" s="1886" t="s">
        <v>1576</v>
      </c>
    </row>
    <row r="67" spans="1:18" s="1842" customFormat="1" ht="16.5" thickBot="1">
      <c r="A67" s="1176" t="s">
        <v>1028</v>
      </c>
      <c r="B67" s="1186" t="s">
        <v>1458</v>
      </c>
      <c r="C67" s="361">
        <f ca="1">C48-C58</f>
        <v>0</v>
      </c>
      <c r="D67" s="1182" t="s">
        <v>1459</v>
      </c>
      <c r="E67" s="1187"/>
      <c r="F67" s="1188"/>
      <c r="O67" s="1894" t="s">
        <v>1039</v>
      </c>
      <c r="P67" s="1885" t="s">
        <v>1557</v>
      </c>
      <c r="Q67" s="1933">
        <f ca="1">L51</f>
        <v>0</v>
      </c>
      <c r="R67" s="1886" t="s">
        <v>1577</v>
      </c>
    </row>
    <row r="68" spans="1:18" s="1842" customFormat="1" ht="16.5" thickBot="1">
      <c r="A68" s="1166" t="s">
        <v>1029</v>
      </c>
      <c r="B68" s="1167" t="s">
        <v>1480</v>
      </c>
      <c r="C68" s="346" t="e">
        <f ca="1">ROUND(C67*(1-((1+F70)/(1+F68))^F69)/(F68-F70),0)</f>
        <v>#DIV/0!</v>
      </c>
      <c r="D68" s="1184" t="s">
        <v>1464</v>
      </c>
      <c r="E68" s="1169" t="s">
        <v>1465</v>
      </c>
      <c r="F68" s="357">
        <f ca="1">F40</f>
        <v>0</v>
      </c>
      <c r="O68" s="1894" t="s">
        <v>1040</v>
      </c>
      <c r="P68" s="1934" t="s">
        <v>1578</v>
      </c>
      <c r="Q68" s="1886">
        <f ca="1">ROUND(Q69-Q70*Q71,0)</f>
        <v>0</v>
      </c>
      <c r="R68" s="1886" t="s">
        <v>1048</v>
      </c>
    </row>
    <row r="69" spans="1:18" s="1842" customFormat="1" ht="13.5" thickBot="1">
      <c r="A69" s="1170"/>
      <c r="B69" s="1171"/>
      <c r="C69" s="351"/>
      <c r="D69" s="1189" t="s">
        <v>1468</v>
      </c>
      <c r="E69" s="1169" t="s">
        <v>1469</v>
      </c>
      <c r="F69" s="379">
        <f ca="1">F41</f>
        <v>0</v>
      </c>
      <c r="O69" s="1894" t="s">
        <v>1045</v>
      </c>
      <c r="P69" s="1934" t="s">
        <v>1579</v>
      </c>
      <c r="Q69" s="1886">
        <f ca="1">C39</f>
        <v>0</v>
      </c>
      <c r="R69" s="1886" t="s">
        <v>1524</v>
      </c>
    </row>
    <row r="70" spans="1:18" s="1842" customFormat="1" ht="13.5" thickBot="1">
      <c r="A70" s="1173"/>
      <c r="B70" s="1174"/>
      <c r="C70" s="355"/>
      <c r="D70" s="1185"/>
      <c r="E70" s="1169" t="s">
        <v>1472</v>
      </c>
      <c r="F70" s="1275">
        <f ca="1">F42</f>
        <v>0</v>
      </c>
      <c r="O70" s="1894" t="s">
        <v>1046</v>
      </c>
      <c r="P70" s="1934" t="s">
        <v>1580</v>
      </c>
      <c r="Q70" s="1886">
        <f ca="1">C13</f>
        <v>0</v>
      </c>
      <c r="R70" s="1886" t="s">
        <v>1524</v>
      </c>
    </row>
    <row r="71" spans="1:18" s="1842" customFormat="1" ht="13.5" thickBot="1">
      <c r="A71" s="1190" t="s">
        <v>1030</v>
      </c>
      <c r="B71" s="1191" t="s">
        <v>1482</v>
      </c>
      <c r="C71" s="382" t="e">
        <f ca="1">ROUND(C68/F71,0)</f>
        <v>#DIV/0!</v>
      </c>
      <c r="D71" s="1192" t="s">
        <v>1483</v>
      </c>
      <c r="E71" s="1193" t="s">
        <v>1484</v>
      </c>
      <c r="F71" s="385">
        <f ca="1">F43</f>
        <v>0</v>
      </c>
      <c r="O71" s="1894" t="s">
        <v>1047</v>
      </c>
      <c r="P71" s="1934" t="s">
        <v>1581</v>
      </c>
      <c r="Q71" s="1897">
        <f ca="1">C76</f>
        <v>0</v>
      </c>
      <c r="R71" s="1886"/>
    </row>
    <row r="72" spans="1:18" s="1842" customFormat="1" ht="13.5" thickBot="1">
      <c r="B72" s="796"/>
      <c r="C72" s="796"/>
      <c r="O72" s="1894" t="s">
        <v>1041</v>
      </c>
      <c r="P72" s="1885" t="s">
        <v>1559</v>
      </c>
      <c r="Q72" s="1897">
        <f>L52</f>
        <v>0</v>
      </c>
      <c r="R72" s="1886"/>
    </row>
    <row r="73" spans="1:18" ht="16.5" thickBot="1">
      <c r="A73" s="1842"/>
      <c r="B73" s="796"/>
      <c r="C73" s="796"/>
      <c r="D73" s="1842"/>
      <c r="E73" s="1842"/>
      <c r="F73" s="1842"/>
      <c r="O73" s="1894" t="s">
        <v>1042</v>
      </c>
      <c r="P73" s="1885" t="s">
        <v>1562</v>
      </c>
      <c r="Q73" s="1886" t="e">
        <f ca="1">L58</f>
        <v>#DIV/0!</v>
      </c>
      <c r="R73" s="1886" t="s">
        <v>1563</v>
      </c>
    </row>
    <row r="74" spans="1:18" ht="13.5" thickBot="1">
      <c r="A74" s="1842"/>
      <c r="B74" s="317" t="s">
        <v>1582</v>
      </c>
      <c r="C74" s="1936"/>
      <c r="D74" s="1842"/>
      <c r="E74" s="1842"/>
      <c r="F74" s="1842"/>
      <c r="O74" s="1894" t="s">
        <v>1049</v>
      </c>
      <c r="P74" s="1885" t="str">
        <f>K59</f>
        <v>建设期及建筑物耐用年限下的土地年期修正系数Kn</v>
      </c>
      <c r="Q74" s="1886" t="e">
        <f ca="1">L59</f>
        <v>#DIV/0!</v>
      </c>
      <c r="R74" s="1886" t="s">
        <v>1564</v>
      </c>
    </row>
    <row r="75" spans="1:18" ht="13.5" thickBot="1">
      <c r="A75" s="1842"/>
      <c r="B75" s="386" t="s">
        <v>1501</v>
      </c>
      <c r="C75" s="387">
        <f ca="1">ROUND(C13*C76,0)</f>
        <v>0</v>
      </c>
      <c r="D75" s="1842"/>
      <c r="E75" s="1842"/>
      <c r="F75" s="1842"/>
      <c r="K75" s="1868"/>
      <c r="L75" s="1842"/>
      <c r="O75" s="1884" t="s">
        <v>1043</v>
      </c>
      <c r="P75" s="1885" t="s">
        <v>1544</v>
      </c>
      <c r="Q75" s="1886" t="e">
        <f ca="1">Q65+Q66</f>
        <v>#DIV/0!</v>
      </c>
      <c r="R75" s="1886" t="s">
        <v>1044</v>
      </c>
    </row>
    <row r="76" spans="1:18">
      <c r="B76" s="388" t="s">
        <v>1502</v>
      </c>
      <c r="C76" s="389">
        <f ca="1">INDIRECT("'数据-取费表'!j"&amp;$G$1)</f>
        <v>0</v>
      </c>
      <c r="I76" s="1842"/>
      <c r="J76" s="1842"/>
      <c r="K76" s="1868"/>
      <c r="L76" s="1842"/>
    </row>
    <row r="77" spans="1:18">
      <c r="B77" s="390" t="s">
        <v>1503</v>
      </c>
      <c r="C77" s="391"/>
      <c r="I77" s="1842"/>
      <c r="J77" s="1842"/>
      <c r="K77" s="1868"/>
      <c r="L77" s="1842"/>
    </row>
    <row r="78" spans="1:18">
      <c r="B78" s="314" t="s">
        <v>1504</v>
      </c>
      <c r="C78" s="392"/>
    </row>
    <row r="79" spans="1:18">
      <c r="B79" s="386" t="s">
        <v>1505</v>
      </c>
      <c r="C79" s="318" t="e">
        <f ca="1">1-C80</f>
        <v>#DIV/0!</v>
      </c>
    </row>
    <row r="80" spans="1:18">
      <c r="B80" s="386" t="s">
        <v>1506</v>
      </c>
      <c r="C80" s="318" t="e">
        <f ca="1">ROUND(C75/C39,3)</f>
        <v>#DIV/0!</v>
      </c>
    </row>
    <row r="81" spans="2:3">
      <c r="B81" s="314" t="s">
        <v>1507</v>
      </c>
      <c r="C81" s="282"/>
    </row>
    <row r="82" spans="2:3">
      <c r="B82" s="317" t="s">
        <v>1508</v>
      </c>
      <c r="C82" s="319" t="e">
        <f ca="1">1-C83</f>
        <v>#DIV/0!</v>
      </c>
    </row>
    <row r="83" spans="2:3">
      <c r="B83" s="317" t="s">
        <v>1509</v>
      </c>
      <c r="C83" s="318" t="e">
        <f ca="1">ROUND(C13/C40,3)</f>
        <v>#DIV/0!</v>
      </c>
    </row>
  </sheetData>
  <sheetProtection password="C66D" sheet="1" objects="1" scenarios="1" formatCells="0" formatColumns="0" formatRows="0"/>
  <mergeCells count="3">
    <mergeCell ref="B6:B9"/>
    <mergeCell ref="I6:I9"/>
    <mergeCell ref="K53:L53"/>
  </mergeCells>
  <phoneticPr fontId="148" type="noConversion"/>
  <conditionalFormatting sqref="K55 K60">
    <cfRule type="expression" dxfId="122" priority="4">
      <formula>$L$48&gt;$J$51</formula>
    </cfRule>
  </conditionalFormatting>
  <conditionalFormatting sqref="I55 I60">
    <cfRule type="expression" dxfId="121" priority="5">
      <formula>$J$51&gt;$L$48</formula>
    </cfRule>
  </conditionalFormatting>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4">
    <cfRule type="expression" dxfId="11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B6" sqref="B6:C9"/>
    </sheetView>
  </sheetViews>
  <sheetFormatPr defaultColWidth="9" defaultRowHeight="14.25"/>
  <cols>
    <col min="1" max="1" width="23.625" style="1945" customWidth="1"/>
    <col min="2" max="2" width="12" style="1945" customWidth="1"/>
    <col min="3" max="3" width="9" style="1945"/>
    <col min="4" max="4" width="14.125" style="1945" customWidth="1"/>
    <col min="5" max="5" width="9" style="1945"/>
    <col min="6" max="6" width="12.875" style="1945" customWidth="1"/>
    <col min="7" max="16384" width="9" style="1945"/>
  </cols>
  <sheetData>
    <row r="1" spans="1:6" ht="21">
      <c r="A1" s="2564" t="s">
        <v>2522</v>
      </c>
      <c r="B1" s="2565"/>
      <c r="C1" s="2565"/>
      <c r="D1" s="2565"/>
      <c r="E1" s="2566"/>
    </row>
    <row r="2" spans="1:6" ht="15.75">
      <c r="A2" s="2567" t="s">
        <v>2323</v>
      </c>
      <c r="B2" s="2568">
        <f ca="1">SUMIF(B6:B13,"&lt;&gt;#ref!",B6:B13)</f>
        <v>100810</v>
      </c>
      <c r="C2" s="2569" t="s">
        <v>2515</v>
      </c>
      <c r="D2" s="2570" t="s">
        <v>2516</v>
      </c>
      <c r="E2" s="2571">
        <f>SUM(E6:E13)</f>
        <v>27202.3</v>
      </c>
    </row>
    <row r="3" spans="1:6" ht="15.75">
      <c r="A3" s="2567" t="s">
        <v>1391</v>
      </c>
      <c r="B3" s="2568">
        <f ca="1">ROUND(B2*10000/E2,0)</f>
        <v>37059</v>
      </c>
      <c r="C3" s="2569" t="s">
        <v>2523</v>
      </c>
      <c r="D3" s="2572"/>
      <c r="E3" s="2573"/>
    </row>
    <row r="4" spans="1:6" ht="15.75">
      <c r="A4" s="2574"/>
      <c r="B4" s="2572"/>
      <c r="C4" s="2572"/>
      <c r="D4" s="2572"/>
      <c r="E4" s="2573"/>
    </row>
    <row r="5" spans="1:6" ht="15">
      <c r="A5" s="2575" t="s">
        <v>2517</v>
      </c>
      <c r="B5" s="3240" t="s">
        <v>2518</v>
      </c>
      <c r="C5" s="3240"/>
      <c r="D5" s="2576"/>
      <c r="E5" s="2577" t="s">
        <v>2519</v>
      </c>
      <c r="F5" s="2578" t="s">
        <v>2520</v>
      </c>
    </row>
    <row r="6" spans="1:6">
      <c r="A6" s="2579" t="str">
        <f>'数据-取费表'!AN6</f>
        <v>收益法</v>
      </c>
      <c r="B6" s="2578">
        <f ca="1">IF(F6="是",'数据-取费表'!AO6,0)</f>
        <v>100810</v>
      </c>
      <c r="C6" s="2569" t="s">
        <v>2515</v>
      </c>
      <c r="D6" s="2572"/>
      <c r="E6" s="2580">
        <f>IF(OR(A6=0,F6="否"),0,'数据-取费表'!K6+'数据-取费表'!S6)</f>
        <v>27202.3</v>
      </c>
      <c r="F6" s="2581" t="s">
        <v>2521</v>
      </c>
    </row>
    <row r="7" spans="1:6">
      <c r="A7" s="2579">
        <f>'数据-取费表'!AN7</f>
        <v>0</v>
      </c>
      <c r="B7" s="2578" t="e">
        <f ca="1">IF(F7="是",'数据-取费表'!AO7,0)</f>
        <v>#REF!</v>
      </c>
      <c r="C7" s="2569" t="s">
        <v>2515</v>
      </c>
      <c r="D7" s="2572"/>
      <c r="E7" s="2580">
        <f>IF(OR(A7=0,F7="否"),0,'数据-取费表'!K7+'数据-取费表'!S7)</f>
        <v>0</v>
      </c>
      <c r="F7" s="2581" t="s">
        <v>2521</v>
      </c>
    </row>
    <row r="8" spans="1:6">
      <c r="A8" s="2579">
        <f>'数据-取费表'!AN8</f>
        <v>0</v>
      </c>
      <c r="B8" s="2578" t="e">
        <f ca="1">IF(F8="是",'数据-取费表'!AO8,0)</f>
        <v>#REF!</v>
      </c>
      <c r="C8" s="2569" t="s">
        <v>2515</v>
      </c>
      <c r="D8" s="2572"/>
      <c r="E8" s="2580">
        <f>IF(OR(A8=0,F8="否"),0,'数据-取费表'!K8+'数据-取费表'!S8)</f>
        <v>0</v>
      </c>
      <c r="F8" s="2581" t="s">
        <v>2521</v>
      </c>
    </row>
    <row r="9" spans="1:6">
      <c r="A9" s="2579">
        <f>'数据-取费表'!AN9</f>
        <v>0</v>
      </c>
      <c r="B9" s="2578" t="e">
        <f ca="1">IF(F9="是",'数据-取费表'!AO9,0)</f>
        <v>#REF!</v>
      </c>
      <c r="C9" s="2569" t="s">
        <v>2515</v>
      </c>
      <c r="D9" s="2572"/>
      <c r="E9" s="2580">
        <f>IF(OR(A9=0,F9="否"),0,'数据-取费表'!K9+'数据-取费表'!S9)</f>
        <v>0</v>
      </c>
      <c r="F9" s="2581" t="s">
        <v>2521</v>
      </c>
    </row>
    <row r="10" spans="1:6">
      <c r="A10" s="2579">
        <f>'数据-取费表'!AN10</f>
        <v>0</v>
      </c>
      <c r="B10" s="2578" t="e">
        <f ca="1">IF(F10="是",'数据-取费表'!AO10,0)</f>
        <v>#REF!</v>
      </c>
      <c r="C10" s="2569" t="s">
        <v>2515</v>
      </c>
      <c r="D10" s="2572"/>
      <c r="E10" s="2580">
        <f>IF(OR(A10=0,F10="否"),0,'数据-取费表'!K10+'数据-取费表'!S10)</f>
        <v>0</v>
      </c>
      <c r="F10" s="2581" t="s">
        <v>2521</v>
      </c>
    </row>
    <row r="11" spans="1:6">
      <c r="A11" s="2579">
        <f>'数据-取费表'!AN11</f>
        <v>0</v>
      </c>
      <c r="B11" s="2578" t="e">
        <f ca="1">IF(F11="是",'数据-取费表'!AO11,0)</f>
        <v>#REF!</v>
      </c>
      <c r="C11" s="2569" t="s">
        <v>2515</v>
      </c>
      <c r="D11" s="2572"/>
      <c r="E11" s="2580">
        <f>IF(OR(A11=0,F11="否"),0,'数据-取费表'!K11+'数据-取费表'!S11)</f>
        <v>0</v>
      </c>
      <c r="F11" s="2581" t="s">
        <v>2521</v>
      </c>
    </row>
    <row r="12" spans="1:6">
      <c r="A12" s="2579">
        <f>'数据-取费表'!AN12</f>
        <v>0</v>
      </c>
      <c r="B12" s="2578" t="e">
        <f ca="1">IF(F12="是",'数据-取费表'!AO12,0)</f>
        <v>#REF!</v>
      </c>
      <c r="C12" s="2569" t="s">
        <v>2515</v>
      </c>
      <c r="D12" s="2572"/>
      <c r="E12" s="2580">
        <f>IF(OR(A12=0,F12="否"),0,'数据-取费表'!K12+'数据-取费表'!S12)</f>
        <v>0</v>
      </c>
      <c r="F12" s="2581" t="s">
        <v>2521</v>
      </c>
    </row>
    <row r="13" spans="1:6" ht="15" thickBot="1">
      <c r="A13" s="2582">
        <f>'数据-取费表'!AN13</f>
        <v>0</v>
      </c>
      <c r="B13" s="2578" t="e">
        <f ca="1">IF(F13="是",'数据-取费表'!AO13,0)</f>
        <v>#REF!</v>
      </c>
      <c r="C13" s="2583" t="s">
        <v>2515</v>
      </c>
      <c r="D13" s="2584"/>
      <c r="E13" s="2580">
        <f>IF(OR(A13=0,F13="否"),0,'数据-取费表'!K13+'数据-取费表'!S13)</f>
        <v>0</v>
      </c>
      <c r="F13" s="2581" t="s">
        <v>2521</v>
      </c>
    </row>
  </sheetData>
  <sheetProtection password="C66D" sheet="1" objects="1" scenarios="1" formatCells="0"/>
  <mergeCells count="1">
    <mergeCell ref="B5:C5"/>
  </mergeCells>
  <phoneticPr fontId="145"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9"/>
    </sheetView>
  </sheetViews>
  <sheetFormatPr defaultRowHeight="13.5"/>
  <cols>
    <col min="1" max="1" width="10.5" customWidth="1"/>
    <col min="2" max="2" width="12.875" customWidth="1"/>
    <col min="3" max="3" width="8.75" customWidth="1"/>
  </cols>
  <sheetData>
    <row r="1" spans="1:9" ht="14.25">
      <c r="A1" s="3257" t="s">
        <v>1073</v>
      </c>
      <c r="B1" s="3258"/>
      <c r="C1" s="3259"/>
      <c r="D1" s="3260">
        <f>SUM(I10,I15,I20,I21,I23)</f>
        <v>0</v>
      </c>
      <c r="E1" s="3260"/>
      <c r="F1" s="3260"/>
      <c r="G1" s="3260"/>
      <c r="H1" s="3260"/>
      <c r="I1" s="3261"/>
    </row>
    <row r="2" spans="1:9">
      <c r="A2" s="3247" t="s">
        <v>1074</v>
      </c>
      <c r="B2" s="3248" t="s">
        <v>1075</v>
      </c>
      <c r="C2" s="3248"/>
      <c r="D2" s="1301" t="s">
        <v>1076</v>
      </c>
      <c r="E2" s="1301" t="s">
        <v>1077</v>
      </c>
      <c r="F2" s="1301" t="s">
        <v>1078</v>
      </c>
      <c r="G2" s="1301" t="s">
        <v>1079</v>
      </c>
      <c r="H2" s="1301" t="s">
        <v>1080</v>
      </c>
      <c r="I2" s="1302" t="s">
        <v>1081</v>
      </c>
    </row>
    <row r="3" spans="1:9">
      <c r="A3" s="3247"/>
      <c r="B3" s="3248" t="s">
        <v>1082</v>
      </c>
      <c r="C3" s="3248"/>
      <c r="D3" s="1303"/>
      <c r="E3" s="1301"/>
      <c r="F3" s="1304"/>
      <c r="G3" s="1304"/>
      <c r="H3" s="1305"/>
      <c r="I3" s="1306">
        <f>ROUND(D3*E3*F3*G3*H3/10000,0)</f>
        <v>0</v>
      </c>
    </row>
    <row r="4" spans="1:9">
      <c r="A4" s="3247"/>
      <c r="B4" s="3248" t="s">
        <v>1083</v>
      </c>
      <c r="C4" s="3248"/>
      <c r="D4" s="1303"/>
      <c r="E4" s="1301"/>
      <c r="F4" s="1304"/>
      <c r="G4" s="1304"/>
      <c r="H4" s="1305"/>
      <c r="I4" s="1306">
        <f t="shared" ref="I4:I9" si="0">ROUND(D4*E4*F4*G4*H4/10000,0)</f>
        <v>0</v>
      </c>
    </row>
    <row r="5" spans="1:9">
      <c r="A5" s="3247"/>
      <c r="B5" s="3248" t="s">
        <v>1084</v>
      </c>
      <c r="C5" s="3248"/>
      <c r="D5" s="1303"/>
      <c r="E5" s="1301"/>
      <c r="F5" s="1304"/>
      <c r="G5" s="1304"/>
      <c r="H5" s="1305"/>
      <c r="I5" s="1306">
        <f t="shared" si="0"/>
        <v>0</v>
      </c>
    </row>
    <row r="6" spans="1:9">
      <c r="A6" s="3247"/>
      <c r="B6" s="3248" t="s">
        <v>1085</v>
      </c>
      <c r="C6" s="3248"/>
      <c r="D6" s="1303"/>
      <c r="E6" s="1301"/>
      <c r="F6" s="1304"/>
      <c r="G6" s="1304"/>
      <c r="H6" s="1305"/>
      <c r="I6" s="1306">
        <f t="shared" si="0"/>
        <v>0</v>
      </c>
    </row>
    <row r="7" spans="1:9">
      <c r="A7" s="3247"/>
      <c r="B7" s="3248" t="s">
        <v>1086</v>
      </c>
      <c r="C7" s="3248"/>
      <c r="D7" s="1303"/>
      <c r="E7" s="1301"/>
      <c r="F7" s="1304"/>
      <c r="G7" s="1304"/>
      <c r="H7" s="1305"/>
      <c r="I7" s="1306">
        <f t="shared" si="0"/>
        <v>0</v>
      </c>
    </row>
    <row r="8" spans="1:9">
      <c r="A8" s="3247"/>
      <c r="B8" s="3248" t="s">
        <v>1087</v>
      </c>
      <c r="C8" s="3248"/>
      <c r="D8" s="1303"/>
      <c r="E8" s="1301"/>
      <c r="F8" s="1304"/>
      <c r="G8" s="1304"/>
      <c r="H8" s="1305"/>
      <c r="I8" s="1306">
        <f t="shared" si="0"/>
        <v>0</v>
      </c>
    </row>
    <row r="9" spans="1:9">
      <c r="A9" s="3247"/>
      <c r="B9" s="3248" t="s">
        <v>1088</v>
      </c>
      <c r="C9" s="3248"/>
      <c r="D9" s="1303"/>
      <c r="E9" s="1301"/>
      <c r="F9" s="1304"/>
      <c r="G9" s="1304"/>
      <c r="H9" s="1305"/>
      <c r="I9" s="1306">
        <f t="shared" si="0"/>
        <v>0</v>
      </c>
    </row>
    <row r="10" spans="1:9">
      <c r="A10" s="3247"/>
      <c r="B10" s="3249" t="s">
        <v>1089</v>
      </c>
      <c r="C10" s="3249"/>
      <c r="D10" s="1307"/>
      <c r="E10" s="1307" t="e">
        <f>ROUND(D1*10000/D10/H9,0)</f>
        <v>#DIV/0!</v>
      </c>
      <c r="F10" s="1308"/>
      <c r="G10" s="1308"/>
      <c r="H10" s="1309"/>
      <c r="I10" s="1310">
        <f>SUM(I3:I9)</f>
        <v>0</v>
      </c>
    </row>
    <row r="11" spans="1:9" ht="14.25">
      <c r="A11" s="3247" t="s">
        <v>1090</v>
      </c>
      <c r="B11" s="3248" t="s">
        <v>1091</v>
      </c>
      <c r="C11" s="3248"/>
      <c r="D11" s="1303" t="s">
        <v>1092</v>
      </c>
      <c r="E11" s="1303" t="s">
        <v>1093</v>
      </c>
      <c r="F11" s="1304" t="s">
        <v>1094</v>
      </c>
      <c r="G11" s="1304" t="s">
        <v>1080</v>
      </c>
      <c r="H11" s="1311" t="s">
        <v>1095</v>
      </c>
      <c r="I11" s="1302" t="s">
        <v>1081</v>
      </c>
    </row>
    <row r="12" spans="1:9">
      <c r="A12" s="3247"/>
      <c r="B12" s="3248" t="s">
        <v>1096</v>
      </c>
      <c r="C12" s="3248"/>
      <c r="D12" s="1303"/>
      <c r="E12" s="1303"/>
      <c r="F12" s="1304"/>
      <c r="G12" s="1305"/>
      <c r="H12" s="1312"/>
      <c r="I12" s="1302">
        <f>ROUND(D12*E12*F12*G12/10000,0)</f>
        <v>0</v>
      </c>
    </row>
    <row r="13" spans="1:9">
      <c r="A13" s="3247"/>
      <c r="B13" s="3248" t="s">
        <v>1097</v>
      </c>
      <c r="C13" s="3248"/>
      <c r="D13" s="1303"/>
      <c r="E13" s="1303"/>
      <c r="F13" s="1304"/>
      <c r="G13" s="1305"/>
      <c r="H13" s="1312"/>
      <c r="I13" s="1302">
        <f>ROUND(D13*E13*F13*G13/10000,0)</f>
        <v>0</v>
      </c>
    </row>
    <row r="14" spans="1:9">
      <c r="A14" s="3247"/>
      <c r="B14" s="3248" t="s">
        <v>1098</v>
      </c>
      <c r="C14" s="3248"/>
      <c r="D14" s="1303"/>
      <c r="E14" s="1303"/>
      <c r="F14" s="1304"/>
      <c r="G14" s="1305"/>
      <c r="H14" s="1312"/>
      <c r="I14" s="1302">
        <f>ROUND(D14*E14*F14*G14/10000,0)</f>
        <v>0</v>
      </c>
    </row>
    <row r="15" spans="1:9">
      <c r="A15" s="3247"/>
      <c r="B15" s="3249" t="s">
        <v>1089</v>
      </c>
      <c r="C15" s="3249"/>
      <c r="D15" s="1307"/>
      <c r="E15" s="1307">
        <f>SUM(E12:E14)</f>
        <v>0</v>
      </c>
      <c r="F15" s="1308"/>
      <c r="G15" s="1305"/>
      <c r="H15" s="1312"/>
      <c r="I15" s="1313">
        <f>SUM(I12:I14)</f>
        <v>0</v>
      </c>
    </row>
    <row r="16" spans="1:9" ht="24">
      <c r="A16" s="3247" t="s">
        <v>1099</v>
      </c>
      <c r="B16" s="3248" t="s">
        <v>1100</v>
      </c>
      <c r="C16" s="3248"/>
      <c r="D16" s="1303" t="s">
        <v>1076</v>
      </c>
      <c r="E16" s="1314" t="s">
        <v>1101</v>
      </c>
      <c r="F16" s="1304" t="s">
        <v>1102</v>
      </c>
      <c r="G16" s="1305" t="s">
        <v>1080</v>
      </c>
      <c r="H16" s="1311" t="s">
        <v>1095</v>
      </c>
      <c r="I16" s="1302" t="s">
        <v>1081</v>
      </c>
    </row>
    <row r="17" spans="1:9" ht="14.25">
      <c r="A17" s="3247"/>
      <c r="B17" s="3248" t="s">
        <v>1103</v>
      </c>
      <c r="C17" s="3248"/>
      <c r="D17" s="1303"/>
      <c r="E17" s="1303"/>
      <c r="F17" s="1304"/>
      <c r="G17" s="1305"/>
      <c r="H17" s="1315"/>
      <c r="I17" s="1316">
        <f>ROUND(D17*E17*F17*G17/10000,0)</f>
        <v>0</v>
      </c>
    </row>
    <row r="18" spans="1:9" ht="14.25">
      <c r="A18" s="3247"/>
      <c r="B18" s="3248" t="s">
        <v>1104</v>
      </c>
      <c r="C18" s="3248"/>
      <c r="D18" s="1303"/>
      <c r="E18" s="1303"/>
      <c r="F18" s="1304"/>
      <c r="G18" s="1305"/>
      <c r="H18" s="1315"/>
      <c r="I18" s="1316">
        <f>ROUND(D18*E18*F18*G18/10000,0)</f>
        <v>0</v>
      </c>
    </row>
    <row r="19" spans="1:9" ht="14.25">
      <c r="A19" s="3247"/>
      <c r="B19" s="3248" t="s">
        <v>1105</v>
      </c>
      <c r="C19" s="3248"/>
      <c r="D19" s="1303"/>
      <c r="E19" s="1303"/>
      <c r="F19" s="1304"/>
      <c r="G19" s="1305"/>
      <c r="H19" s="1315"/>
      <c r="I19" s="1316">
        <f>ROUND(D19*E19*F19*G19/10000,0)</f>
        <v>0</v>
      </c>
    </row>
    <row r="20" spans="1:9">
      <c r="A20" s="3247"/>
      <c r="B20" s="3249" t="s">
        <v>1089</v>
      </c>
      <c r="C20" s="3249"/>
      <c r="D20" s="1307">
        <f>SUM(D17:D19)</f>
        <v>0</v>
      </c>
      <c r="E20" s="1307"/>
      <c r="F20" s="1308"/>
      <c r="G20" s="1305"/>
      <c r="H20" s="1312"/>
      <c r="I20" s="1313">
        <f>SUM(I17:I19)</f>
        <v>0</v>
      </c>
    </row>
    <row r="21" spans="1:9">
      <c r="A21" s="3247" t="s">
        <v>1106</v>
      </c>
      <c r="B21" s="3250"/>
      <c r="C21" s="3250"/>
      <c r="D21" s="3250"/>
      <c r="E21" s="3250"/>
      <c r="F21" s="3250"/>
      <c r="G21" s="3250"/>
      <c r="H21" s="1765">
        <v>0.1</v>
      </c>
      <c r="I21" s="1310">
        <f>ROUND(I10*H21,0)</f>
        <v>0</v>
      </c>
    </row>
    <row r="22" spans="1:9" ht="14.25">
      <c r="A22" s="3251" t="s">
        <v>1107</v>
      </c>
      <c r="B22" s="3252"/>
      <c r="C22" s="3253"/>
      <c r="D22" s="1317" t="s">
        <v>1108</v>
      </c>
      <c r="E22" s="1317" t="s">
        <v>1109</v>
      </c>
      <c r="F22" s="1318" t="s">
        <v>1110</v>
      </c>
      <c r="G22" s="1318" t="s">
        <v>1111</v>
      </c>
      <c r="H22" s="1311" t="s">
        <v>1112</v>
      </c>
      <c r="I22" s="1302" t="s">
        <v>1113</v>
      </c>
    </row>
    <row r="23" spans="1:9" ht="14.25" thickBot="1">
      <c r="A23" s="3254"/>
      <c r="B23" s="3255"/>
      <c r="C23" s="3256"/>
      <c r="D23" s="1319"/>
      <c r="E23" s="1319"/>
      <c r="F23" s="1319"/>
      <c r="G23" s="1320"/>
      <c r="H23" s="1321"/>
      <c r="I23" s="1322">
        <f>ROUND(E23*D23*F23*(1-G23)/10000,0)</f>
        <v>0</v>
      </c>
    </row>
    <row r="26" spans="1:9">
      <c r="A26" s="1323" t="s">
        <v>1114</v>
      </c>
      <c r="B26" s="1323"/>
      <c r="C26" s="1323"/>
      <c r="D26" s="1323"/>
      <c r="E26" s="3244">
        <f>C27-C30-C31-C32</f>
        <v>0</v>
      </c>
      <c r="F26" s="3244"/>
      <c r="G26" s="3244"/>
      <c r="H26" s="1737" t="s">
        <v>1336</v>
      </c>
    </row>
    <row r="27" spans="1:9">
      <c r="A27" s="1324">
        <v>1</v>
      </c>
      <c r="B27" s="1325" t="s">
        <v>1115</v>
      </c>
      <c r="C27" s="1325">
        <f>C28+C29</f>
        <v>0</v>
      </c>
      <c r="D27" s="1325"/>
      <c r="E27" s="3245"/>
      <c r="F27" s="3245"/>
      <c r="G27" s="3245"/>
    </row>
    <row r="28" spans="1:9">
      <c r="A28" s="1326" t="s">
        <v>1116</v>
      </c>
      <c r="B28" s="1325" t="s">
        <v>1117</v>
      </c>
      <c r="C28" s="1325"/>
      <c r="D28" s="1325"/>
      <c r="E28" s="3245"/>
      <c r="F28" s="3245"/>
      <c r="G28" s="3245"/>
    </row>
    <row r="29" spans="1:9">
      <c r="A29" s="1326" t="s">
        <v>1118</v>
      </c>
      <c r="B29" s="1325" t="s">
        <v>1119</v>
      </c>
      <c r="C29" s="1325"/>
      <c r="D29" s="1325"/>
      <c r="E29" s="1325" t="s">
        <v>1120</v>
      </c>
      <c r="F29" s="1325"/>
      <c r="G29" s="1325"/>
    </row>
    <row r="30" spans="1:9">
      <c r="A30" s="1324">
        <v>2</v>
      </c>
      <c r="B30" s="1325" t="s">
        <v>1121</v>
      </c>
      <c r="C30" s="1325">
        <f>C27*D30</f>
        <v>0</v>
      </c>
      <c r="D30" s="1327">
        <v>0.2</v>
      </c>
      <c r="E30" s="1325" t="s">
        <v>1122</v>
      </c>
      <c r="F30" s="1325"/>
      <c r="G30" s="1325"/>
    </row>
    <row r="31" spans="1:9">
      <c r="A31" s="1324">
        <v>3</v>
      </c>
      <c r="B31" s="1325" t="s">
        <v>1123</v>
      </c>
      <c r="C31" s="1325">
        <f>C25*D31</f>
        <v>0</v>
      </c>
      <c r="D31" s="1327">
        <v>0.15</v>
      </c>
      <c r="E31" s="1325" t="s">
        <v>1124</v>
      </c>
      <c r="F31" s="1325"/>
      <c r="G31" s="1325"/>
    </row>
    <row r="32" spans="1:9">
      <c r="A32" s="1324">
        <v>4</v>
      </c>
      <c r="B32" s="1325" t="s">
        <v>1125</v>
      </c>
      <c r="C32" s="1325">
        <f>C27*D32</f>
        <v>0</v>
      </c>
      <c r="D32" s="1327">
        <v>0.05</v>
      </c>
      <c r="E32" s="3246"/>
      <c r="F32" s="3246"/>
      <c r="G32" s="3246"/>
    </row>
    <row r="33" spans="1:7" hidden="1">
      <c r="A33" s="3241" t="s">
        <v>1126</v>
      </c>
      <c r="B33" s="3242"/>
      <c r="C33" s="3242"/>
      <c r="D33" s="3243"/>
      <c r="E33" s="3244"/>
      <c r="F33" s="3244"/>
      <c r="G33" s="3244"/>
    </row>
    <row r="34" spans="1:7" hidden="1">
      <c r="A34" s="1328">
        <v>1</v>
      </c>
      <c r="B34" s="1325" t="s">
        <v>1127</v>
      </c>
      <c r="C34" s="1325"/>
      <c r="D34" s="1325"/>
      <c r="E34" s="3245"/>
      <c r="F34" s="3245"/>
      <c r="G34" s="3245"/>
    </row>
    <row r="35" spans="1:7" hidden="1">
      <c r="A35" s="1328">
        <v>2</v>
      </c>
      <c r="B35" s="1325" t="s">
        <v>1128</v>
      </c>
      <c r="C35" s="1325"/>
      <c r="D35" s="1325"/>
      <c r="E35" s="3245"/>
      <c r="F35" s="3245"/>
      <c r="G35" s="3245"/>
    </row>
    <row r="36" spans="1:7" hidden="1">
      <c r="A36" s="1328">
        <v>3</v>
      </c>
      <c r="B36" s="1325" t="s">
        <v>1129</v>
      </c>
      <c r="C36" s="1325"/>
      <c r="D36" s="1325"/>
      <c r="E36" s="3245"/>
      <c r="F36" s="3245"/>
      <c r="G36" s="3245"/>
    </row>
    <row r="37" spans="1:7" hidden="1">
      <c r="A37" s="1328">
        <v>4</v>
      </c>
      <c r="B37" s="1325" t="s">
        <v>1130</v>
      </c>
      <c r="C37" s="1325"/>
      <c r="D37" s="1325"/>
      <c r="E37" s="3245"/>
      <c r="F37" s="3245"/>
      <c r="G37" s="3245"/>
    </row>
    <row r="38" spans="1:7" hidden="1">
      <c r="A38" s="3241" t="s">
        <v>1131</v>
      </c>
      <c r="B38" s="3242"/>
      <c r="C38" s="3242"/>
      <c r="D38" s="3243"/>
      <c r="E38" s="3244"/>
      <c r="F38" s="3244"/>
      <c r="G38" s="324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5" customWidth="1"/>
    <col min="2" max="16384" width="9" style="1945"/>
  </cols>
  <sheetData>
    <row r="1" spans="1:1" ht="23.25">
      <c r="A1" s="1944" t="s">
        <v>1606</v>
      </c>
    </row>
    <row r="2" spans="1:1">
      <c r="A2" s="1946"/>
    </row>
    <row r="3" spans="1:1" ht="18">
      <c r="A3" s="1947" t="str">
        <f>项目基本情况!B5&amp;"："</f>
        <v>北京农商银行股份有限公司东城支行：</v>
      </c>
    </row>
    <row r="4" spans="1:1" ht="36">
      <c r="A4" s="1948" t="str">
        <f>"受贵公司委托，我公司对"&amp;项目基本情况!S1&amp;"进行了预评估。"</f>
        <v>受贵公司委托，我公司对北京市朝阳区建国门外郎家园6号“郎园Vintage”项目房地产抵押价值进行了预评估。</v>
      </c>
    </row>
    <row r="5" spans="1:1" ht="18.75">
      <c r="A5" s="1949" t="s">
        <v>1607</v>
      </c>
    </row>
    <row r="6" spans="1:1" ht="18.75">
      <c r="A6" s="1950" t="s">
        <v>1608</v>
      </c>
    </row>
    <row r="7" spans="1:1" ht="72">
      <c r="A7" s="194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建国门外郎家园6号“郎园Vintage”项目房地产，为北京尚博地投资顾问有限公司所有。根据《国有土地使用证》[]，估价对象（分摊）出让国有建设用地使用权面积为18455.76平方米。根据《房屋所有权证》[]、《测绘报告》[]，估价对象建筑面积为27202.3平方米。</v>
      </c>
    </row>
    <row r="8" spans="1:1" ht="57.75">
      <c r="A8" s="1951" t="s">
        <v>1609</v>
      </c>
    </row>
    <row r="9" spans="1:1" ht="18.75">
      <c r="A9" s="1950" t="s">
        <v>1610</v>
      </c>
    </row>
    <row r="10" spans="1:1" ht="90">
      <c r="A10" s="194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建国门外郎家园6号“郎园Vintage”项目房地产,为北京尚博地投资顾问有限公司开发建设的综合项目（商业、办公），该项目尚在开发建设中。根据《国有土地使用证》[]，估价对象（分摊）出让国有建设用地使用权面积为18455.76平方米。根据《房屋所有权证》[]、《测绘报告》[]，估价对象规划建筑面积为27202.3平方米。</v>
      </c>
    </row>
    <row r="11" spans="1:1" ht="76.5">
      <c r="A11" s="1951" t="s">
        <v>1611</v>
      </c>
    </row>
    <row r="12" spans="1:1" ht="18.75">
      <c r="A12" s="1949" t="s">
        <v>1612</v>
      </c>
    </row>
    <row r="13" spans="1:1" ht="38.25" customHeight="1">
      <c r="A13" s="1952" t="str">
        <f>IF(项目基本情况!B8="抵押",IF(项目基本情况!B5=项目基本情况!B6,定义!C51,定义!B51),定义!D51)</f>
        <v>北京尚博地投资顾问有限公司拟使用北京市朝阳区建国门外郎家园6号“郎园Vintage”项目房地产作为抵押担保物，向北京农商银行股份有限公司东城支行办理贷款手续。北京农商银行股份有限公司东城支行特委托北京康正宏基房地产评估有限公司对上述抵押物进行评估。本次评估为确定房地产抵押贷款额度提供参考依据而评估房地产抵押价值。</v>
      </c>
    </row>
    <row r="14" spans="1:1" ht="18.75">
      <c r="A14" s="1953" t="s">
        <v>1613</v>
      </c>
    </row>
    <row r="15" spans="1:1" ht="18">
      <c r="A15" s="1954" t="str">
        <f>TEXT(项目基本情况!D3,"yyyy年m月d日;;")&amp;IF(项目基本情况!D3=项目基本情况!B3,"（评估专业人员实地查勘之日）","")</f>
        <v>2019年5月7日（评估专业人员实地查勘之日）</v>
      </c>
    </row>
    <row r="16" spans="1:1" ht="18.75">
      <c r="A16" s="1953" t="s">
        <v>1614</v>
      </c>
    </row>
    <row r="17" spans="1:1" ht="75">
      <c r="A17" s="1948" t="s">
        <v>1615</v>
      </c>
    </row>
    <row r="18" spans="1:1" ht="54">
      <c r="A18" s="194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5月7日，估价对象规划用途为，土地取得方式为出让，出让国有建设用地使用权剩余土地使用年限为，假定未设立法定优先受偿款下的房地产市场价值。</v>
      </c>
    </row>
    <row r="19" spans="1:1" ht="157.5" customHeight="1">
      <c r="A19" s="194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燃气、通热）、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94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8" t="str">
        <f>IF(项目基本情况!B9="房地产市场价值","——",IF(项目基本情况!E9="——","",定义!C57))</f>
        <v/>
      </c>
    </row>
    <row r="23" spans="1:1" ht="18.75">
      <c r="A23" s="1953" t="s">
        <v>1604</v>
      </c>
    </row>
    <row r="24" spans="1:1" ht="18">
      <c r="A24" s="1955" t="str">
        <f>"本次评估采用的主估价方法为"&amp;结果表!K4&amp;"和"&amp;结果表!L4&amp;"。"</f>
        <v>本次评估采用的主估价方法为成本法和收益法。</v>
      </c>
    </row>
    <row r="25" spans="1:1" ht="18">
      <c r="A25" s="1955"/>
    </row>
    <row r="26" spans="1:1" ht="18.75">
      <c r="A26" s="1956" t="s">
        <v>1605</v>
      </c>
    </row>
    <row r="27" spans="1:1">
      <c r="A27" s="1957"/>
    </row>
    <row r="28" spans="1:1">
      <c r="A28" s="1957"/>
    </row>
    <row r="29" spans="1:1">
      <c r="A29" s="1957"/>
    </row>
    <row r="30" spans="1:1">
      <c r="A30" s="1957"/>
    </row>
    <row r="31" spans="1:1">
      <c r="A31" s="1957"/>
    </row>
    <row r="32" spans="1:1">
      <c r="A32" s="1957"/>
    </row>
    <row r="33" spans="1:1">
      <c r="A33" s="1957"/>
    </row>
    <row r="34" spans="1:1">
      <c r="A34" s="1957"/>
    </row>
    <row r="35" spans="1:1">
      <c r="A35" s="1957"/>
    </row>
    <row r="36" spans="1:1">
      <c r="A36" s="1957"/>
    </row>
    <row r="37" spans="1:1">
      <c r="A37" s="1957"/>
    </row>
    <row r="38" spans="1:1">
      <c r="A38" s="1957"/>
    </row>
    <row r="39" spans="1:1">
      <c r="A39" s="1957"/>
    </row>
    <row r="40" spans="1:1">
      <c r="A40" s="1957"/>
    </row>
    <row r="41" spans="1:1">
      <c r="A41" s="1957"/>
    </row>
    <row r="42" spans="1:1">
      <c r="A42" s="1957"/>
    </row>
    <row r="43" spans="1:1">
      <c r="A43" s="1957"/>
    </row>
    <row r="44" spans="1:1">
      <c r="A44" s="1957"/>
    </row>
    <row r="45" spans="1:1">
      <c r="A45" s="1957"/>
    </row>
    <row r="46" spans="1:1">
      <c r="A46" s="1957"/>
    </row>
    <row r="47" spans="1:1">
      <c r="A47" s="1957"/>
    </row>
    <row r="48" spans="1:1">
      <c r="A48" s="1957"/>
    </row>
  </sheetData>
  <sheetProtection sheet="1" objects="1" scenarios="1" formatCells="0" formatRows="0"/>
  <phoneticPr fontId="89"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33" sqref="J3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7"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2524</v>
      </c>
      <c r="B1" s="2585" t="s">
        <v>2525</v>
      </c>
      <c r="C1" s="1634" t="s">
        <v>2526</v>
      </c>
      <c r="D1" s="1621"/>
      <c r="E1" s="2586"/>
      <c r="F1" s="2587" t="s">
        <v>2527</v>
      </c>
      <c r="G1" s="1631" t="s">
        <v>2528</v>
      </c>
      <c r="H1" s="1630"/>
      <c r="I1" s="1630"/>
      <c r="J1" s="1630"/>
      <c r="K1" s="1632"/>
      <c r="L1" s="1633"/>
      <c r="M1" s="1634"/>
      <c r="N1" s="1634"/>
      <c r="O1" s="1634"/>
      <c r="P1" s="2588"/>
      <c r="Q1" s="1620"/>
      <c r="R1" s="1620"/>
      <c r="S1" s="1620"/>
      <c r="T1" s="1620"/>
      <c r="U1" s="1620"/>
      <c r="V1" s="1620"/>
      <c r="W1" s="1620"/>
      <c r="X1" s="1620"/>
      <c r="Y1" s="1620"/>
      <c r="Z1" s="1620"/>
      <c r="AA1" s="1620"/>
      <c r="AB1" s="1620"/>
      <c r="AC1" s="1628"/>
    </row>
    <row r="2" spans="1:29" s="393" customFormat="1" ht="28.5" customHeight="1" thickTop="1">
      <c r="A2" s="1617" t="s">
        <v>1390</v>
      </c>
      <c r="B2" s="1418" t="e">
        <f ca="1">IF(C2="——",ROUND(C49*D3/10000,0),ROUND(C49*D3/10000,0)-D2)</f>
        <v>#DIV/0!</v>
      </c>
      <c r="C2" s="2589"/>
      <c r="D2" s="1365" t="e">
        <f ca="1">SUMIF(INDIRECT("'"&amp;F2&amp;"'"&amp;"!A:A"),"承租人权益价值",INDIRECT("'"&amp;F2&amp;"'"&amp;"!c:c"))</f>
        <v>#REF!</v>
      </c>
      <c r="E2" s="2590" t="s">
        <v>2529</v>
      </c>
      <c r="F2" s="2591"/>
      <c r="G2" s="1124"/>
      <c r="H2" s="1124"/>
      <c r="I2" s="1124"/>
      <c r="J2" s="1124"/>
      <c r="K2" s="2592"/>
      <c r="L2" s="2593"/>
      <c r="M2" s="2594"/>
      <c r="N2" s="2594"/>
      <c r="O2" s="2594"/>
      <c r="P2" s="2595"/>
      <c r="Q2" s="2596"/>
      <c r="R2" s="2596"/>
      <c r="S2" s="2596"/>
      <c r="T2" s="2596"/>
      <c r="U2" s="2596"/>
      <c r="V2" s="2596"/>
      <c r="W2" s="2596"/>
      <c r="X2" s="2596"/>
      <c r="Y2" s="2596"/>
      <c r="Z2" s="2596"/>
      <c r="AA2" s="2596"/>
      <c r="AB2" s="2596"/>
      <c r="AC2" s="2597"/>
    </row>
    <row r="3" spans="1:29" s="393" customFormat="1" ht="28.5" customHeight="1" thickBot="1">
      <c r="A3" s="247" t="s">
        <v>1391</v>
      </c>
      <c r="B3" s="399" t="e">
        <f ca="1">IF(C2="——",C49,ROUND(B2*10000/D3,0))</f>
        <v>#DIV/0!</v>
      </c>
      <c r="C3" s="400" t="s">
        <v>2530</v>
      </c>
      <c r="D3" s="399">
        <f>IF(D1="",'数据-汇总表'!E3,SUMIF('数据-汇总表'!$C19:$C33,D1,'数据-汇总表'!$E19:$E33))</f>
        <v>27202.3</v>
      </c>
      <c r="E3" s="1124"/>
      <c r="F3" s="2598"/>
      <c r="G3" s="1124"/>
      <c r="H3" s="1124"/>
      <c r="I3" s="1124"/>
      <c r="J3" s="1124"/>
      <c r="K3" s="2592"/>
      <c r="L3" s="2593"/>
      <c r="M3" s="2594"/>
      <c r="N3" s="2594"/>
      <c r="O3" s="2594"/>
      <c r="P3" s="2595"/>
      <c r="Q3" s="2596"/>
      <c r="R3" s="2596"/>
      <c r="S3" s="2596"/>
      <c r="T3" s="2596"/>
      <c r="U3" s="2596"/>
      <c r="V3" s="2596"/>
      <c r="W3" s="2596"/>
      <c r="X3" s="2596"/>
      <c r="Y3" s="2596"/>
      <c r="Z3" s="2596"/>
      <c r="AA3" s="2596"/>
      <c r="AB3" s="2596"/>
      <c r="AC3" s="1282"/>
    </row>
    <row r="4" spans="1:29" ht="15">
      <c r="A4" s="401" t="s">
        <v>2531</v>
      </c>
      <c r="B4" s="402"/>
      <c r="C4" s="3280" t="s">
        <v>2532</v>
      </c>
      <c r="D4" s="3281"/>
      <c r="E4" s="3282" t="s">
        <v>2533</v>
      </c>
      <c r="F4" s="3283"/>
      <c r="G4" s="3280" t="s">
        <v>2534</v>
      </c>
      <c r="H4" s="3281"/>
      <c r="I4" s="3280" t="s">
        <v>2535</v>
      </c>
      <c r="J4" s="3281"/>
      <c r="K4" s="2599" t="s">
        <v>2536</v>
      </c>
      <c r="L4" s="1130"/>
      <c r="M4" s="1131"/>
      <c r="N4" s="1131"/>
      <c r="O4" s="1131"/>
      <c r="P4" s="3284" t="s">
        <v>2537</v>
      </c>
      <c r="Q4" s="3285"/>
      <c r="R4" s="3290" t="s">
        <v>2533</v>
      </c>
      <c r="S4" s="3291"/>
      <c r="T4" s="3290" t="s">
        <v>2534</v>
      </c>
      <c r="U4" s="3291"/>
      <c r="V4" s="3296" t="s">
        <v>2535</v>
      </c>
      <c r="W4" s="3296"/>
      <c r="X4" s="1813"/>
      <c r="Y4" s="3290" t="s">
        <v>2537</v>
      </c>
      <c r="Z4" s="3291"/>
      <c r="AA4" s="3277" t="s">
        <v>2533</v>
      </c>
      <c r="AB4" s="3277" t="s">
        <v>2534</v>
      </c>
      <c r="AC4" s="3277" t="s">
        <v>2535</v>
      </c>
    </row>
    <row r="5" spans="1:29" ht="15">
      <c r="A5" s="404"/>
      <c r="B5" s="405"/>
      <c r="C5" s="3299" t="s">
        <v>2538</v>
      </c>
      <c r="D5" s="3300"/>
      <c r="E5" s="3306" t="s">
        <v>2539</v>
      </c>
      <c r="F5" s="3307"/>
      <c r="G5" s="3299" t="s">
        <v>2540</v>
      </c>
      <c r="H5" s="3300"/>
      <c r="I5" s="3299" t="s">
        <v>2541</v>
      </c>
      <c r="J5" s="3300"/>
      <c r="K5" s="2600"/>
      <c r="L5" s="1130"/>
      <c r="M5" s="1131"/>
      <c r="N5" s="1131"/>
      <c r="O5" s="1131"/>
      <c r="P5" s="3286"/>
      <c r="Q5" s="3287"/>
      <c r="R5" s="3292"/>
      <c r="S5" s="3293"/>
      <c r="T5" s="3292"/>
      <c r="U5" s="3293"/>
      <c r="V5" s="3296"/>
      <c r="W5" s="3296"/>
      <c r="X5" s="1813"/>
      <c r="Y5" s="3292"/>
      <c r="Z5" s="3293"/>
      <c r="AA5" s="3278"/>
      <c r="AB5" s="3278"/>
      <c r="AC5" s="3278"/>
    </row>
    <row r="6" spans="1:29" ht="15.75" thickBot="1">
      <c r="A6" s="406"/>
      <c r="B6" s="407"/>
      <c r="C6" s="3297" t="s">
        <v>2542</v>
      </c>
      <c r="D6" s="3298"/>
      <c r="E6" s="3304" t="s">
        <v>2542</v>
      </c>
      <c r="F6" s="3305"/>
      <c r="G6" s="3297" t="s">
        <v>2542</v>
      </c>
      <c r="H6" s="3298"/>
      <c r="I6" s="3297" t="s">
        <v>2542</v>
      </c>
      <c r="J6" s="3298"/>
      <c r="K6" s="2600" t="s">
        <v>2543</v>
      </c>
      <c r="L6" s="1130"/>
      <c r="M6" s="1131"/>
      <c r="N6" s="1131"/>
      <c r="O6" s="1131"/>
      <c r="P6" s="3288"/>
      <c r="Q6" s="3289"/>
      <c r="R6" s="3292"/>
      <c r="S6" s="3293"/>
      <c r="T6" s="3294"/>
      <c r="U6" s="3295"/>
      <c r="V6" s="3296"/>
      <c r="W6" s="3296"/>
      <c r="X6" s="1813"/>
      <c r="Y6" s="3294"/>
      <c r="Z6" s="3295"/>
      <c r="AA6" s="3279"/>
      <c r="AB6" s="3279"/>
      <c r="AC6" s="3279"/>
    </row>
    <row r="7" spans="1:29" s="117" customFormat="1" ht="15.75" thickBot="1">
      <c r="A7" s="408" t="s">
        <v>2544</v>
      </c>
      <c r="B7" s="409"/>
      <c r="C7" s="410">
        <f>'数据-取费表'!B2</f>
        <v>43592</v>
      </c>
      <c r="D7" s="411">
        <v>100</v>
      </c>
      <c r="E7" s="412"/>
      <c r="F7" s="413">
        <f>SUMIF(58:58,YEAR(E7)&amp;"-"&amp;MONTH(E7),59:59)</f>
        <v>0</v>
      </c>
      <c r="G7" s="412"/>
      <c r="H7" s="411">
        <f>SUMIF(58:58,YEAR(G7)&amp;"-"&amp;MONTH(G7),59:59)</f>
        <v>0</v>
      </c>
      <c r="I7" s="412"/>
      <c r="J7" s="411">
        <f>SUMIF(58:58,YEAR(I7)&amp;"-"&amp;MONTH(I7),59:59)</f>
        <v>0</v>
      </c>
      <c r="K7" s="2601"/>
      <c r="L7" s="1132"/>
      <c r="M7" s="1133"/>
      <c r="N7" s="1133"/>
      <c r="O7" s="1133"/>
      <c r="P7" s="3301" t="s">
        <v>2545</v>
      </c>
      <c r="Q7" s="3303"/>
      <c r="R7" s="770" t="s">
        <v>23</v>
      </c>
      <c r="S7" s="771">
        <f t="shared" ref="S7:S15" si="0">F7</f>
        <v>0</v>
      </c>
      <c r="T7" s="770" t="s">
        <v>23</v>
      </c>
      <c r="U7" s="771">
        <f t="shared" ref="U7:U15" si="1">H7</f>
        <v>0</v>
      </c>
      <c r="V7" s="770" t="s">
        <v>23</v>
      </c>
      <c r="W7" s="771">
        <f t="shared" ref="W7:W15" si="2">J7</f>
        <v>0</v>
      </c>
      <c r="X7" s="772"/>
      <c r="Y7" s="3301" t="s">
        <v>2545</v>
      </c>
      <c r="Z7" s="3302"/>
      <c r="AA7" s="773" t="e">
        <f>D7/F7</f>
        <v>#DIV/0!</v>
      </c>
      <c r="AB7" s="773" t="e">
        <f>D7/H7</f>
        <v>#DIV/0!</v>
      </c>
      <c r="AC7" s="773" t="e">
        <f>D7/J7</f>
        <v>#DIV/0!</v>
      </c>
    </row>
    <row r="8" spans="1:29" s="117" customFormat="1" ht="15.75" thickBot="1">
      <c r="A8" s="408" t="s">
        <v>2546</v>
      </c>
      <c r="B8" s="409"/>
      <c r="C8" s="414" t="s">
        <v>2547</v>
      </c>
      <c r="D8" s="411">
        <v>100</v>
      </c>
      <c r="E8" s="2602"/>
      <c r="F8" s="413">
        <f>SUMIF(61:61,E8,62:62)-SUMIF(61:61,C8,62:62)+100</f>
        <v>0</v>
      </c>
      <c r="G8" s="414"/>
      <c r="H8" s="411">
        <f>SUMIF(61:61,G8,62:62)-SUMIF(61:61,C8,62:62)+100</f>
        <v>0</v>
      </c>
      <c r="I8" s="2602"/>
      <c r="J8" s="411">
        <f>SUMIF(61:61,I8,62:62)-SUMIF(61:61,C8,62:62)+100</f>
        <v>0</v>
      </c>
      <c r="K8" s="2601"/>
      <c r="L8" s="1132"/>
      <c r="M8" s="1133"/>
      <c r="N8" s="1133"/>
      <c r="O8" s="1133"/>
      <c r="P8" s="3301" t="s">
        <v>2548</v>
      </c>
      <c r="Q8" s="3302"/>
      <c r="R8" s="770" t="s">
        <v>23</v>
      </c>
      <c r="S8" s="771">
        <f t="shared" si="0"/>
        <v>0</v>
      </c>
      <c r="T8" s="770" t="s">
        <v>23</v>
      </c>
      <c r="U8" s="771">
        <f t="shared" si="1"/>
        <v>0</v>
      </c>
      <c r="V8" s="770" t="s">
        <v>23</v>
      </c>
      <c r="W8" s="771">
        <f t="shared" si="2"/>
        <v>0</v>
      </c>
      <c r="X8" s="772"/>
      <c r="Y8" s="3301" t="s">
        <v>2548</v>
      </c>
      <c r="Z8" s="3302"/>
      <c r="AA8" s="773" t="e">
        <f t="shared" ref="AA8:AA19" si="3">D8/F8</f>
        <v>#DIV/0!</v>
      </c>
      <c r="AB8" s="773" t="e">
        <f t="shared" ref="AB8:AB19" si="4">D8/H8</f>
        <v>#DIV/0!</v>
      </c>
      <c r="AC8" s="773" t="e">
        <f t="shared" ref="AC8:AC19" si="5">D8/J8</f>
        <v>#DIV/0!</v>
      </c>
    </row>
    <row r="9" spans="1:29" s="117" customFormat="1">
      <c r="A9" s="415" t="s">
        <v>2549</v>
      </c>
      <c r="B9" s="71" t="s">
        <v>2550</v>
      </c>
      <c r="C9" s="416"/>
      <c r="D9" s="135">
        <v>100</v>
      </c>
      <c r="E9" s="417"/>
      <c r="F9" s="418">
        <f>SUMIF(63:63,E9,64:64)-SUMIF(63:63,C9,64:64)+100</f>
        <v>100</v>
      </c>
      <c r="G9" s="419"/>
      <c r="H9" s="135">
        <f>SUMIF(63:63,G9,64:64)-SUMIF(63:63,C9,64:64)+100</f>
        <v>100</v>
      </c>
      <c r="I9" s="419"/>
      <c r="J9" s="135">
        <f>SUMIF(63:63,I9,64:64)-SUMIF(63:63,C9,64:64)+100</f>
        <v>100</v>
      </c>
      <c r="K9" s="2601"/>
      <c r="L9" s="1132"/>
      <c r="M9" s="1133"/>
      <c r="N9" s="1133"/>
      <c r="O9" s="1133"/>
      <c r="P9" s="3276" t="s">
        <v>2551</v>
      </c>
      <c r="Q9" s="1795" t="str">
        <f t="shared" ref="Q9:Q15" si="6">B9</f>
        <v>用途</v>
      </c>
      <c r="R9" s="770" t="s">
        <v>17</v>
      </c>
      <c r="S9" s="771">
        <f t="shared" si="0"/>
        <v>100</v>
      </c>
      <c r="T9" s="770" t="s">
        <v>17</v>
      </c>
      <c r="U9" s="771">
        <f t="shared" si="1"/>
        <v>100</v>
      </c>
      <c r="V9" s="770" t="s">
        <v>17</v>
      </c>
      <c r="W9" s="771">
        <f t="shared" si="2"/>
        <v>100</v>
      </c>
      <c r="X9" s="772"/>
      <c r="Y9" s="3042" t="s">
        <v>2552</v>
      </c>
      <c r="Z9" s="55" t="str">
        <f t="shared" ref="Z9:Z15" si="7">Q9</f>
        <v>用途</v>
      </c>
      <c r="AA9" s="773">
        <f t="shared" si="3"/>
        <v>1</v>
      </c>
      <c r="AB9" s="773">
        <f t="shared" si="4"/>
        <v>1</v>
      </c>
      <c r="AC9" s="773">
        <f t="shared" si="5"/>
        <v>1</v>
      </c>
    </row>
    <row r="10" spans="1:29" s="427" customFormat="1" ht="27">
      <c r="A10" s="421"/>
      <c r="B10" s="422" t="s">
        <v>2553</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276"/>
      <c r="Q10" s="1795" t="str">
        <f t="shared" si="6"/>
        <v>土地使用年限（年）</v>
      </c>
      <c r="R10" s="770" t="s">
        <v>17</v>
      </c>
      <c r="S10" s="771">
        <f t="shared" si="0"/>
        <v>100</v>
      </c>
      <c r="T10" s="770" t="s">
        <v>17</v>
      </c>
      <c r="U10" s="771">
        <f t="shared" si="1"/>
        <v>100</v>
      </c>
      <c r="V10" s="770" t="s">
        <v>17</v>
      </c>
      <c r="W10" s="771">
        <f t="shared" si="2"/>
        <v>100</v>
      </c>
      <c r="X10" s="772"/>
      <c r="Y10" s="3042"/>
      <c r="Z10" s="55" t="str">
        <f t="shared" si="7"/>
        <v>土地使用年限（年）</v>
      </c>
      <c r="AA10" s="773">
        <f t="shared" si="3"/>
        <v>1</v>
      </c>
      <c r="AB10" s="773">
        <f t="shared" si="4"/>
        <v>1</v>
      </c>
      <c r="AC10" s="773">
        <f t="shared" si="5"/>
        <v>1</v>
      </c>
    </row>
    <row r="11" spans="1:29" ht="15">
      <c r="A11" s="428"/>
      <c r="B11" s="422" t="s">
        <v>2554</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276"/>
      <c r="Q11" s="1795" t="str">
        <f t="shared" si="6"/>
        <v>容积率</v>
      </c>
      <c r="R11" s="770" t="s">
        <v>21</v>
      </c>
      <c r="S11" s="771" t="e">
        <f t="shared" si="0"/>
        <v>#N/A</v>
      </c>
      <c r="T11" s="770" t="s">
        <v>21</v>
      </c>
      <c r="U11" s="771" t="e">
        <f t="shared" si="1"/>
        <v>#N/A</v>
      </c>
      <c r="V11" s="770" t="s">
        <v>21</v>
      </c>
      <c r="W11" s="771" t="e">
        <f t="shared" si="2"/>
        <v>#N/A</v>
      </c>
      <c r="X11" s="772"/>
      <c r="Y11" s="3042"/>
      <c r="Z11" s="55" t="str">
        <f t="shared" si="7"/>
        <v>容积率</v>
      </c>
      <c r="AA11" s="773" t="e">
        <f t="shared" si="3"/>
        <v>#N/A</v>
      </c>
      <c r="AB11" s="773" t="e">
        <f t="shared" si="4"/>
        <v>#N/A</v>
      </c>
      <c r="AC11" s="773" t="e">
        <f t="shared" si="5"/>
        <v>#N/A</v>
      </c>
    </row>
    <row r="12" spans="1:29" s="117" customFormat="1" ht="15">
      <c r="A12" s="431"/>
      <c r="B12" s="2603">
        <v>111</v>
      </c>
      <c r="C12" s="432"/>
      <c r="D12" s="433">
        <v>100</v>
      </c>
      <c r="E12" s="432"/>
      <c r="F12" s="425">
        <f>SUMIF(70:70,E12,71:71)-SUMIF(70:70,C12,71:71)+100</f>
        <v>100</v>
      </c>
      <c r="G12" s="432"/>
      <c r="H12" s="136">
        <f>SUMIF(70:70,G12,71:71)-SUMIF(70:70,C12,71:71)+100</f>
        <v>100</v>
      </c>
      <c r="I12" s="432"/>
      <c r="J12" s="136">
        <f>SUMIF(70:70,I12,71:71)-SUMIF(70:70,C12,71:71)+100</f>
        <v>100</v>
      </c>
      <c r="K12" s="2604"/>
      <c r="L12" s="1132"/>
      <c r="M12" s="1133"/>
      <c r="N12" s="1133"/>
      <c r="O12" s="1133"/>
      <c r="P12" s="3276"/>
      <c r="Q12" s="1795">
        <f t="shared" si="6"/>
        <v>111</v>
      </c>
      <c r="R12" s="770" t="s">
        <v>21</v>
      </c>
      <c r="S12" s="771">
        <f t="shared" si="0"/>
        <v>100</v>
      </c>
      <c r="T12" s="770" t="s">
        <v>21</v>
      </c>
      <c r="U12" s="771">
        <f t="shared" si="1"/>
        <v>100</v>
      </c>
      <c r="V12" s="770" t="s">
        <v>21</v>
      </c>
      <c r="W12" s="771">
        <f t="shared" si="2"/>
        <v>100</v>
      </c>
      <c r="X12" s="772"/>
      <c r="Y12" s="3042"/>
      <c r="Z12" s="55">
        <f t="shared" si="7"/>
        <v>111</v>
      </c>
      <c r="AA12" s="773">
        <f>D12/F12</f>
        <v>1</v>
      </c>
      <c r="AB12" s="773">
        <f>D12/H12</f>
        <v>1</v>
      </c>
      <c r="AC12" s="773">
        <f>D12/J12</f>
        <v>1</v>
      </c>
    </row>
    <row r="13" spans="1:29" ht="15">
      <c r="A13" s="428"/>
      <c r="B13" s="2603">
        <v>111</v>
      </c>
      <c r="C13" s="434"/>
      <c r="D13" s="435">
        <v>100</v>
      </c>
      <c r="E13" s="434"/>
      <c r="F13" s="425">
        <f>SUMIF(72:72,E13,73:73)-SUMIF(72:72,C13,73:73)+100</f>
        <v>100</v>
      </c>
      <c r="G13" s="434"/>
      <c r="H13" s="435">
        <f>SUMIF(72:72,G13,73:73)-SUMIF(72:72,C13,73:73)+100</f>
        <v>100</v>
      </c>
      <c r="I13" s="434"/>
      <c r="J13" s="435">
        <f>SUMIF(72:72,I13,73:73)-SUMIF(72:72,C13,73:73)+100</f>
        <v>100</v>
      </c>
      <c r="K13" s="2604"/>
      <c r="L13" s="1140"/>
      <c r="M13" s="1131"/>
      <c r="N13" s="1131"/>
      <c r="O13" s="1131"/>
      <c r="P13" s="3276"/>
      <c r="Q13" s="1795">
        <f t="shared" si="6"/>
        <v>111</v>
      </c>
      <c r="R13" s="770" t="s">
        <v>21</v>
      </c>
      <c r="S13" s="771">
        <f t="shared" si="0"/>
        <v>100</v>
      </c>
      <c r="T13" s="770" t="s">
        <v>21</v>
      </c>
      <c r="U13" s="771">
        <f t="shared" si="1"/>
        <v>100</v>
      </c>
      <c r="V13" s="770" t="s">
        <v>21</v>
      </c>
      <c r="W13" s="771">
        <f t="shared" si="2"/>
        <v>100</v>
      </c>
      <c r="X13" s="772"/>
      <c r="Y13" s="3042"/>
      <c r="Z13" s="55">
        <f t="shared" si="7"/>
        <v>111</v>
      </c>
      <c r="AA13" s="773">
        <f t="shared" si="3"/>
        <v>1</v>
      </c>
      <c r="AB13" s="773">
        <f t="shared" si="4"/>
        <v>1</v>
      </c>
      <c r="AC13" s="773">
        <f t="shared" si="5"/>
        <v>1</v>
      </c>
    </row>
    <row r="14" spans="1:29" ht="15.75" thickBot="1">
      <c r="A14" s="436"/>
      <c r="B14" s="2605">
        <v>111</v>
      </c>
      <c r="C14" s="437"/>
      <c r="D14" s="438">
        <v>100</v>
      </c>
      <c r="E14" s="437"/>
      <c r="F14" s="439">
        <f>SUMIF(74:74,E14,75:75)-SUMIF(74:74,C14,75:75)+100</f>
        <v>100</v>
      </c>
      <c r="G14" s="437"/>
      <c r="H14" s="438">
        <f>SUMIF(74:74,G14,75:75)-SUMIF(74:74,C14,75:75)+100</f>
        <v>100</v>
      </c>
      <c r="I14" s="437"/>
      <c r="J14" s="438">
        <f>SUMIF(74:74,I14,75:75)-SUMIF(74:74,C14,75:75)+100</f>
        <v>100</v>
      </c>
      <c r="K14" s="2604"/>
      <c r="L14" s="1140"/>
      <c r="M14" s="1131"/>
      <c r="N14" s="1131"/>
      <c r="O14" s="1131"/>
      <c r="P14" s="3276"/>
      <c r="Q14" s="1795">
        <f t="shared" si="6"/>
        <v>111</v>
      </c>
      <c r="R14" s="770" t="s">
        <v>21</v>
      </c>
      <c r="S14" s="771">
        <f t="shared" si="0"/>
        <v>100</v>
      </c>
      <c r="T14" s="770" t="s">
        <v>21</v>
      </c>
      <c r="U14" s="771">
        <f t="shared" si="1"/>
        <v>100</v>
      </c>
      <c r="V14" s="770" t="s">
        <v>21</v>
      </c>
      <c r="W14" s="771">
        <f t="shared" si="2"/>
        <v>100</v>
      </c>
      <c r="X14" s="772"/>
      <c r="Y14" s="3042"/>
      <c r="Z14" s="55">
        <f t="shared" si="7"/>
        <v>111</v>
      </c>
      <c r="AA14" s="773">
        <f t="shared" si="3"/>
        <v>1</v>
      </c>
      <c r="AB14" s="773">
        <f t="shared" si="4"/>
        <v>1</v>
      </c>
      <c r="AC14" s="773">
        <f t="shared" si="5"/>
        <v>1</v>
      </c>
    </row>
    <row r="15" spans="1:29" ht="99.75">
      <c r="A15" s="440" t="s">
        <v>2555</v>
      </c>
      <c r="B15" s="69" t="s">
        <v>2083</v>
      </c>
      <c r="C15" s="2606"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74" t="s">
        <v>2556</v>
      </c>
      <c r="Q15" s="1810" t="str">
        <f t="shared" si="6"/>
        <v>居住社区成熟度</v>
      </c>
      <c r="R15" s="774" t="s">
        <v>21</v>
      </c>
      <c r="S15" s="775">
        <f t="shared" si="0"/>
        <v>100</v>
      </c>
      <c r="T15" s="774" t="s">
        <v>21</v>
      </c>
      <c r="U15" s="775">
        <f t="shared" si="1"/>
        <v>100</v>
      </c>
      <c r="V15" s="774" t="s">
        <v>21</v>
      </c>
      <c r="W15" s="775">
        <f t="shared" si="2"/>
        <v>100</v>
      </c>
      <c r="X15" s="1813"/>
      <c r="Y15" s="3267" t="s">
        <v>2556</v>
      </c>
      <c r="Z15" s="1814" t="str">
        <f t="shared" si="7"/>
        <v>居住社区成熟度</v>
      </c>
      <c r="AA15" s="1811">
        <f t="shared" si="3"/>
        <v>1</v>
      </c>
      <c r="AB15" s="1811">
        <f t="shared" si="4"/>
        <v>1</v>
      </c>
      <c r="AC15" s="1811">
        <f t="shared" si="5"/>
        <v>1</v>
      </c>
    </row>
    <row r="16" spans="1:29" ht="15">
      <c r="A16" s="428"/>
      <c r="B16" s="446"/>
      <c r="C16" s="447"/>
      <c r="D16" s="448"/>
      <c r="E16" s="2607"/>
      <c r="F16" s="448"/>
      <c r="G16" s="2608"/>
      <c r="H16" s="450"/>
      <c r="I16" s="2608"/>
      <c r="J16" s="448"/>
      <c r="K16" s="2609"/>
      <c r="L16" s="1140"/>
      <c r="M16" s="1131"/>
      <c r="N16" s="1131"/>
      <c r="O16" s="1131"/>
      <c r="P16" s="3275"/>
      <c r="Q16" s="1810"/>
      <c r="R16" s="774"/>
      <c r="S16" s="775"/>
      <c r="T16" s="774"/>
      <c r="U16" s="775"/>
      <c r="V16" s="774"/>
      <c r="W16" s="775"/>
      <c r="X16" s="1813"/>
      <c r="Y16" s="3268"/>
      <c r="Z16" s="1814"/>
      <c r="AA16" s="1811">
        <v>1</v>
      </c>
      <c r="AB16" s="1811">
        <v>1</v>
      </c>
      <c r="AC16" s="1811">
        <v>1</v>
      </c>
    </row>
    <row r="17" spans="1:29" ht="85.5">
      <c r="A17" s="428"/>
      <c r="B17" s="451" t="s">
        <v>2095</v>
      </c>
      <c r="C17" s="2610"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75"/>
      <c r="Q17" s="1810" t="str">
        <f>B17</f>
        <v>交通便捷度</v>
      </c>
      <c r="R17" s="774" t="s">
        <v>21</v>
      </c>
      <c r="S17" s="775">
        <f>F17</f>
        <v>100</v>
      </c>
      <c r="T17" s="774" t="s">
        <v>21</v>
      </c>
      <c r="U17" s="775">
        <f>H17</f>
        <v>100</v>
      </c>
      <c r="V17" s="774" t="s">
        <v>21</v>
      </c>
      <c r="W17" s="775">
        <f>J17</f>
        <v>100</v>
      </c>
      <c r="X17" s="1813"/>
      <c r="Y17" s="3268"/>
      <c r="Z17" s="1814" t="str">
        <f>Q17</f>
        <v>交通便捷度</v>
      </c>
      <c r="AA17" s="1811">
        <f t="shared" si="3"/>
        <v>1</v>
      </c>
      <c r="AB17" s="1811">
        <f t="shared" si="4"/>
        <v>1</v>
      </c>
      <c r="AC17" s="1811">
        <f t="shared" si="5"/>
        <v>1</v>
      </c>
    </row>
    <row r="18" spans="1:29" ht="15">
      <c r="A18" s="428"/>
      <c r="B18" s="456"/>
      <c r="C18" s="2611"/>
      <c r="D18" s="450"/>
      <c r="E18" s="2612"/>
      <c r="F18" s="450"/>
      <c r="G18" s="2613"/>
      <c r="H18" s="448"/>
      <c r="I18" s="2613"/>
      <c r="J18" s="448"/>
      <c r="K18" s="2609"/>
      <c r="L18" s="1140"/>
      <c r="M18" s="1131"/>
      <c r="N18" s="1131"/>
      <c r="O18" s="1131"/>
      <c r="P18" s="3275"/>
      <c r="Q18" s="1810"/>
      <c r="R18" s="774"/>
      <c r="S18" s="775"/>
      <c r="T18" s="774"/>
      <c r="U18" s="775"/>
      <c r="V18" s="774"/>
      <c r="W18" s="775"/>
      <c r="X18" s="1813"/>
      <c r="Y18" s="3268"/>
      <c r="Z18" s="1814"/>
      <c r="AA18" s="1811">
        <v>1</v>
      </c>
      <c r="AB18" s="1811">
        <v>1</v>
      </c>
      <c r="AC18" s="1811">
        <v>1</v>
      </c>
    </row>
    <row r="19" spans="1:29" ht="42.75">
      <c r="A19" s="428"/>
      <c r="B19" s="451" t="s">
        <v>2093</v>
      </c>
      <c r="C19" s="2610"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75"/>
      <c r="Q19" s="1810" t="str">
        <f>B19</f>
        <v>公共配套设施</v>
      </c>
      <c r="R19" s="774" t="s">
        <v>21</v>
      </c>
      <c r="S19" s="775">
        <f>F19</f>
        <v>100</v>
      </c>
      <c r="T19" s="774" t="s">
        <v>21</v>
      </c>
      <c r="U19" s="775">
        <f>H19</f>
        <v>100</v>
      </c>
      <c r="V19" s="774" t="s">
        <v>21</v>
      </c>
      <c r="W19" s="775">
        <f>J19</f>
        <v>100</v>
      </c>
      <c r="X19" s="1813"/>
      <c r="Y19" s="3268"/>
      <c r="Z19" s="1814" t="str">
        <f>Q19</f>
        <v>公共配套设施</v>
      </c>
      <c r="AA19" s="1811">
        <f t="shared" si="3"/>
        <v>1</v>
      </c>
      <c r="AB19" s="1811">
        <f t="shared" si="4"/>
        <v>1</v>
      </c>
      <c r="AC19" s="1811">
        <f t="shared" si="5"/>
        <v>1</v>
      </c>
    </row>
    <row r="20" spans="1:29" ht="15">
      <c r="A20" s="428"/>
      <c r="B20" s="456"/>
      <c r="C20" s="447"/>
      <c r="D20" s="448"/>
      <c r="E20" s="2607"/>
      <c r="F20" s="448"/>
      <c r="G20" s="2608"/>
      <c r="H20" s="448"/>
      <c r="I20" s="2608"/>
      <c r="J20" s="448"/>
      <c r="K20" s="2609"/>
      <c r="L20" s="1140"/>
      <c r="M20" s="1131"/>
      <c r="N20" s="1131"/>
      <c r="O20" s="1131"/>
      <c r="P20" s="3275"/>
      <c r="Q20" s="1810"/>
      <c r="R20" s="774"/>
      <c r="S20" s="775"/>
      <c r="T20" s="774"/>
      <c r="U20" s="775"/>
      <c r="V20" s="774"/>
      <c r="W20" s="775"/>
      <c r="X20" s="1813"/>
      <c r="Y20" s="3268"/>
      <c r="Z20" s="1814"/>
      <c r="AA20" s="1811">
        <v>1</v>
      </c>
      <c r="AB20" s="1811">
        <v>1</v>
      </c>
      <c r="AC20" s="1811">
        <v>1</v>
      </c>
    </row>
    <row r="21" spans="1:29" ht="28.5">
      <c r="A21" s="428"/>
      <c r="B21" s="1384" t="s">
        <v>2096</v>
      </c>
      <c r="C21" s="2610"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75"/>
      <c r="Q21" s="1810" t="str">
        <f>B21</f>
        <v>基础设施水平</v>
      </c>
      <c r="R21" s="774" t="s">
        <v>17</v>
      </c>
      <c r="S21" s="775">
        <f>F21</f>
        <v>100</v>
      </c>
      <c r="T21" s="774" t="s">
        <v>17</v>
      </c>
      <c r="U21" s="775">
        <f>H21</f>
        <v>100</v>
      </c>
      <c r="V21" s="774" t="s">
        <v>17</v>
      </c>
      <c r="W21" s="775">
        <f>J21</f>
        <v>100</v>
      </c>
      <c r="X21" s="1813"/>
      <c r="Y21" s="3268"/>
      <c r="Z21" s="1814" t="str">
        <f>Q21</f>
        <v>基础设施水平</v>
      </c>
      <c r="AA21" s="1811">
        <f t="shared" ref="AA21" si="8">D21/F21</f>
        <v>1</v>
      </c>
      <c r="AB21" s="1811">
        <f t="shared" ref="AB21" si="9">D21/H21</f>
        <v>1</v>
      </c>
      <c r="AC21" s="1811">
        <f t="shared" ref="AC21" si="10">D21/J21</f>
        <v>1</v>
      </c>
    </row>
    <row r="22" spans="1:29" ht="15">
      <c r="A22" s="428"/>
      <c r="B22" s="1384"/>
      <c r="C22" s="2611"/>
      <c r="D22" s="448"/>
      <c r="E22" s="447"/>
      <c r="F22" s="448"/>
      <c r="G22" s="2614"/>
      <c r="H22" s="448"/>
      <c r="I22" s="447"/>
      <c r="J22" s="448"/>
      <c r="K22" s="2615"/>
      <c r="L22" s="1140"/>
      <c r="M22" s="1131"/>
      <c r="N22" s="1131"/>
      <c r="O22" s="1131"/>
      <c r="P22" s="3275"/>
      <c r="Q22" s="1810"/>
      <c r="R22" s="774"/>
      <c r="S22" s="775"/>
      <c r="T22" s="774"/>
      <c r="U22" s="775"/>
      <c r="V22" s="774"/>
      <c r="W22" s="775"/>
      <c r="X22" s="1813"/>
      <c r="Y22" s="3268"/>
      <c r="Z22" s="1814"/>
      <c r="AA22" s="1811">
        <v>1</v>
      </c>
      <c r="AB22" s="1811">
        <v>1</v>
      </c>
      <c r="AC22" s="1811">
        <v>1</v>
      </c>
    </row>
    <row r="23" spans="1:29" ht="57">
      <c r="A23" s="428"/>
      <c r="B23" s="451" t="s">
        <v>2100</v>
      </c>
      <c r="C23" s="2610"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75"/>
      <c r="Q23" s="1810" t="str">
        <f>B23</f>
        <v>自然及人文环境</v>
      </c>
      <c r="R23" s="774" t="s">
        <v>21</v>
      </c>
      <c r="S23" s="775">
        <f>F23</f>
        <v>100</v>
      </c>
      <c r="T23" s="774" t="s">
        <v>21</v>
      </c>
      <c r="U23" s="775">
        <f>H23</f>
        <v>100</v>
      </c>
      <c r="V23" s="774" t="s">
        <v>21</v>
      </c>
      <c r="W23" s="775">
        <f>J23</f>
        <v>100</v>
      </c>
      <c r="X23" s="1813"/>
      <c r="Y23" s="3268"/>
      <c r="Z23" s="1814" t="str">
        <f>Q23</f>
        <v>自然及人文环境</v>
      </c>
      <c r="AA23" s="1811">
        <f>D23/F23</f>
        <v>1</v>
      </c>
      <c r="AB23" s="1811">
        <f>D23/H23</f>
        <v>1</v>
      </c>
      <c r="AC23" s="1811">
        <f>D23/J23</f>
        <v>1</v>
      </c>
    </row>
    <row r="24" spans="1:29" ht="15">
      <c r="A24" s="428"/>
      <c r="B24" s="456"/>
      <c r="C24" s="447"/>
      <c r="D24" s="448"/>
      <c r="E24" s="2607"/>
      <c r="F24" s="448"/>
      <c r="G24" s="2608"/>
      <c r="H24" s="448"/>
      <c r="I24" s="2608"/>
      <c r="J24" s="448"/>
      <c r="K24" s="2609"/>
      <c r="L24" s="1140"/>
      <c r="M24" s="1131"/>
      <c r="N24" s="1131"/>
      <c r="O24" s="1131"/>
      <c r="P24" s="3275"/>
      <c r="Q24" s="1810"/>
      <c r="R24" s="774"/>
      <c r="S24" s="775"/>
      <c r="T24" s="774"/>
      <c r="U24" s="775"/>
      <c r="V24" s="774"/>
      <c r="W24" s="775"/>
      <c r="X24" s="1813"/>
      <c r="Y24" s="3268"/>
      <c r="Z24" s="1814"/>
      <c r="AA24" s="1811">
        <v>1</v>
      </c>
      <c r="AB24" s="1811">
        <v>1</v>
      </c>
      <c r="AC24" s="1811">
        <v>1</v>
      </c>
    </row>
    <row r="25" spans="1:29" ht="15">
      <c r="A25" s="428"/>
      <c r="B25" s="422" t="s">
        <v>2557</v>
      </c>
      <c r="C25" s="460"/>
      <c r="D25" s="435">
        <v>100</v>
      </c>
      <c r="E25" s="2616"/>
      <c r="F25" s="435">
        <f>SUMIF(86:86,E25,87:87)-SUMIF(86:86,C25,87:87)+100</f>
        <v>100</v>
      </c>
      <c r="G25" s="2617"/>
      <c r="H25" s="435">
        <f>SUMIF(86:86,G25,87:87)-SUMIF(86:86,C25,87:87)+100</f>
        <v>100</v>
      </c>
      <c r="I25" s="2617"/>
      <c r="J25" s="435">
        <f>SUMIF(86:86,I25,87:87)-SUMIF(86:86,C25,87:87)+100</f>
        <v>100</v>
      </c>
      <c r="K25" s="426"/>
      <c r="L25" s="1140"/>
      <c r="M25" s="1131"/>
      <c r="N25" s="1131"/>
      <c r="O25" s="1131"/>
      <c r="P25" s="3275"/>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268"/>
      <c r="Z25" s="1814" t="str">
        <f>Q25</f>
        <v>楼层-1</v>
      </c>
      <c r="AA25" s="1811">
        <f t="shared" ref="AA25:AA46" si="15">D25/F25</f>
        <v>1</v>
      </c>
      <c r="AB25" s="1811">
        <f t="shared" ref="AB25:AB46" si="16">D25/H25</f>
        <v>1</v>
      </c>
      <c r="AC25" s="1811">
        <f t="shared" ref="AC25:AC46" si="17">D25/J25</f>
        <v>1</v>
      </c>
    </row>
    <row r="26" spans="1:29" ht="15">
      <c r="A26" s="428"/>
      <c r="B26" s="422" t="s">
        <v>2558</v>
      </c>
      <c r="C26" s="460"/>
      <c r="D26" s="435">
        <v>100</v>
      </c>
      <c r="E26" s="2616"/>
      <c r="F26" s="435">
        <f>SUMIF(88:88,E26,89:89)-SUMIF(88:88,C26,89:89)+100</f>
        <v>100</v>
      </c>
      <c r="G26" s="2617"/>
      <c r="H26" s="435">
        <f>SUMIF(88:88,G26,89:89)-SUMIF(88:88,C26,89:89)+100</f>
        <v>100</v>
      </c>
      <c r="I26" s="2617"/>
      <c r="J26" s="435">
        <f>SUMIF(88:88,I26,89:89)-SUMIF(88:88,C26,89:89)+100</f>
        <v>100</v>
      </c>
      <c r="K26" s="426"/>
      <c r="L26" s="1140"/>
      <c r="M26" s="1131"/>
      <c r="N26" s="1131"/>
      <c r="O26" s="1131"/>
      <c r="P26" s="3275"/>
      <c r="Q26" s="1810" t="str">
        <f t="shared" si="11"/>
        <v>朝向</v>
      </c>
      <c r="R26" s="774" t="s">
        <v>21</v>
      </c>
      <c r="S26" s="775">
        <f t="shared" si="12"/>
        <v>100</v>
      </c>
      <c r="T26" s="774" t="s">
        <v>21</v>
      </c>
      <c r="U26" s="775">
        <f t="shared" si="13"/>
        <v>100</v>
      </c>
      <c r="V26" s="774" t="s">
        <v>21</v>
      </c>
      <c r="W26" s="775">
        <f t="shared" si="14"/>
        <v>100</v>
      </c>
      <c r="X26" s="1813"/>
      <c r="Y26" s="3268"/>
      <c r="Z26" s="1814" t="str">
        <f>Q26</f>
        <v>朝向</v>
      </c>
      <c r="AA26" s="1811">
        <f t="shared" si="15"/>
        <v>1</v>
      </c>
      <c r="AB26" s="1811">
        <f t="shared" si="16"/>
        <v>1</v>
      </c>
      <c r="AC26" s="1811">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604"/>
      <c r="L27" s="1132"/>
      <c r="M27" s="1133"/>
      <c r="N27" s="1133"/>
      <c r="O27" s="1133"/>
      <c r="P27" s="3275"/>
      <c r="Q27" s="1795">
        <f t="shared" si="11"/>
        <v>111</v>
      </c>
      <c r="R27" s="770" t="s">
        <v>21</v>
      </c>
      <c r="S27" s="771">
        <f t="shared" si="12"/>
        <v>100</v>
      </c>
      <c r="T27" s="770" t="s">
        <v>21</v>
      </c>
      <c r="U27" s="771">
        <f t="shared" si="13"/>
        <v>100</v>
      </c>
      <c r="V27" s="770" t="s">
        <v>21</v>
      </c>
      <c r="W27" s="771">
        <f t="shared" si="14"/>
        <v>100</v>
      </c>
      <c r="X27" s="772"/>
      <c r="Y27" s="3268"/>
      <c r="Z27" s="55">
        <f>Q27</f>
        <v>111</v>
      </c>
      <c r="AA27" s="1811">
        <f t="shared" si="15"/>
        <v>1</v>
      </c>
      <c r="AB27" s="1811">
        <f t="shared" si="16"/>
        <v>1</v>
      </c>
      <c r="AC27" s="1811">
        <f t="shared" si="17"/>
        <v>1</v>
      </c>
    </row>
    <row r="28" spans="1:29" ht="15">
      <c r="A28" s="428"/>
      <c r="B28" s="1386">
        <v>111</v>
      </c>
      <c r="C28" s="434"/>
      <c r="D28" s="435">
        <v>100</v>
      </c>
      <c r="E28" s="434"/>
      <c r="F28" s="435">
        <f>SUMIF(92:92,E28,93:93)-SUMIF(92:92,C28,93:93)+100</f>
        <v>100</v>
      </c>
      <c r="G28" s="2618"/>
      <c r="H28" s="435">
        <f>SUMIF(92:92,G28,93:93)-SUMIF(92:92,C28,93:93)+100</f>
        <v>100</v>
      </c>
      <c r="I28" s="434"/>
      <c r="J28" s="435">
        <f>SUMIF(92:92,I28,93:93)-SUMIF(92:92,C28,93:93)+100</f>
        <v>100</v>
      </c>
      <c r="K28" s="2604"/>
      <c r="L28" s="1140"/>
      <c r="M28" s="1131"/>
      <c r="N28" s="1131"/>
      <c r="O28" s="1131"/>
      <c r="P28" s="3275"/>
      <c r="Q28" s="1810">
        <f t="shared" si="11"/>
        <v>111</v>
      </c>
      <c r="R28" s="774" t="s">
        <v>21</v>
      </c>
      <c r="S28" s="775">
        <f t="shared" si="12"/>
        <v>100</v>
      </c>
      <c r="T28" s="774" t="s">
        <v>21</v>
      </c>
      <c r="U28" s="775">
        <f t="shared" si="13"/>
        <v>100</v>
      </c>
      <c r="V28" s="774" t="s">
        <v>21</v>
      </c>
      <c r="W28" s="775">
        <f t="shared" si="14"/>
        <v>100</v>
      </c>
      <c r="X28" s="1813"/>
      <c r="Y28" s="3268"/>
      <c r="Z28" s="1814">
        <f t="shared" ref="Z28:Z46" si="18">Q28</f>
        <v>111</v>
      </c>
      <c r="AA28" s="1811">
        <f t="shared" si="15"/>
        <v>1</v>
      </c>
      <c r="AB28" s="1811">
        <f t="shared" si="16"/>
        <v>1</v>
      </c>
      <c r="AC28" s="1811">
        <f t="shared" si="17"/>
        <v>1</v>
      </c>
    </row>
    <row r="29" spans="1:29" ht="15">
      <c r="A29" s="428"/>
      <c r="B29" s="1386">
        <v>111</v>
      </c>
      <c r="C29" s="434"/>
      <c r="D29" s="435">
        <v>100</v>
      </c>
      <c r="E29" s="434"/>
      <c r="F29" s="435">
        <f>SUMIF(94:94,E29,95:95)-SUMIF(94:94,C29,95:95)+100</f>
        <v>100</v>
      </c>
      <c r="G29" s="2618"/>
      <c r="H29" s="435">
        <f>SUMIF(94:94,G29,95:95)-SUMIF(94:94,C29,95:95)+100</f>
        <v>100</v>
      </c>
      <c r="I29" s="434"/>
      <c r="J29" s="435">
        <f>SUMIF(94:94,I29,95:95)-SUMIF(94:94,C29,95:95)+100</f>
        <v>100</v>
      </c>
      <c r="K29" s="2604"/>
      <c r="L29" s="1140"/>
      <c r="M29" s="1131"/>
      <c r="N29" s="1131"/>
      <c r="O29" s="1131"/>
      <c r="P29" s="3275"/>
      <c r="Q29" s="1810">
        <f t="shared" si="11"/>
        <v>111</v>
      </c>
      <c r="R29" s="774" t="s">
        <v>21</v>
      </c>
      <c r="S29" s="775">
        <f t="shared" si="12"/>
        <v>100</v>
      </c>
      <c r="T29" s="774" t="s">
        <v>21</v>
      </c>
      <c r="U29" s="775">
        <f t="shared" si="13"/>
        <v>100</v>
      </c>
      <c r="V29" s="774" t="s">
        <v>21</v>
      </c>
      <c r="W29" s="775">
        <f t="shared" si="14"/>
        <v>100</v>
      </c>
      <c r="X29" s="1813"/>
      <c r="Y29" s="3268"/>
      <c r="Z29" s="1814">
        <f t="shared" si="18"/>
        <v>111</v>
      </c>
      <c r="AA29" s="1811">
        <f t="shared" si="15"/>
        <v>1</v>
      </c>
      <c r="AB29" s="1811">
        <f t="shared" si="16"/>
        <v>1</v>
      </c>
      <c r="AC29" s="1811">
        <f t="shared" si="17"/>
        <v>1</v>
      </c>
    </row>
    <row r="30" spans="1:29" ht="15">
      <c r="A30" s="428"/>
      <c r="B30" s="1386">
        <v>111</v>
      </c>
      <c r="C30" s="434"/>
      <c r="D30" s="435">
        <v>100</v>
      </c>
      <c r="E30" s="434"/>
      <c r="F30" s="435">
        <f>SUMIF(96:96,E30,97:97)-SUMIF(96:96,C30,97:97)+100</f>
        <v>100</v>
      </c>
      <c r="G30" s="2618"/>
      <c r="H30" s="435">
        <f>SUMIF(96:96,G30,97:97)-SUMIF(96:96,C30,97:97)+100</f>
        <v>100</v>
      </c>
      <c r="I30" s="434"/>
      <c r="J30" s="435">
        <f>SUMIF(96:96,I30,97:97)-SUMIF(96:96,C30,97:97)+100</f>
        <v>100</v>
      </c>
      <c r="K30" s="2604"/>
      <c r="L30" s="1140"/>
      <c r="M30" s="1131"/>
      <c r="N30" s="1131"/>
      <c r="O30" s="1131"/>
      <c r="P30" s="3275"/>
      <c r="Q30" s="1810">
        <f t="shared" si="11"/>
        <v>111</v>
      </c>
      <c r="R30" s="774" t="s">
        <v>21</v>
      </c>
      <c r="S30" s="775">
        <f t="shared" si="12"/>
        <v>100</v>
      </c>
      <c r="T30" s="774" t="s">
        <v>21</v>
      </c>
      <c r="U30" s="775">
        <f t="shared" si="13"/>
        <v>100</v>
      </c>
      <c r="V30" s="774" t="s">
        <v>21</v>
      </c>
      <c r="W30" s="775">
        <f t="shared" si="14"/>
        <v>100</v>
      </c>
      <c r="X30" s="1813"/>
      <c r="Y30" s="3268"/>
      <c r="Z30" s="1814">
        <f t="shared" si="18"/>
        <v>111</v>
      </c>
      <c r="AA30" s="1811">
        <f t="shared" si="15"/>
        <v>1</v>
      </c>
      <c r="AB30" s="1811">
        <f t="shared" si="16"/>
        <v>1</v>
      </c>
      <c r="AC30" s="1811">
        <f t="shared" si="17"/>
        <v>1</v>
      </c>
    </row>
    <row r="31" spans="1:29" ht="15.75" thickBot="1">
      <c r="A31" s="436"/>
      <c r="B31" s="1386">
        <v>111</v>
      </c>
      <c r="C31" s="437"/>
      <c r="D31" s="438">
        <v>100</v>
      </c>
      <c r="E31" s="437"/>
      <c r="F31" s="438">
        <f>SUMIF(98:98,E31,99:99)-SUMIF(98:98,C31,99:99)+100</f>
        <v>100</v>
      </c>
      <c r="G31" s="2619"/>
      <c r="H31" s="438">
        <f>SUMIF(98:98,G31,99:99)-SUMIF(98:98,C31,99:99)+100</f>
        <v>100</v>
      </c>
      <c r="I31" s="437"/>
      <c r="J31" s="438">
        <f>SUMIF(98:98,I31,99:99)-SUMIF(98:98,C31,99:99)+100</f>
        <v>100</v>
      </c>
      <c r="K31" s="2604"/>
      <c r="L31" s="1140"/>
      <c r="M31" s="1131"/>
      <c r="N31" s="1131"/>
      <c r="O31" s="1131"/>
      <c r="P31" s="3275"/>
      <c r="Q31" s="1810">
        <f t="shared" si="11"/>
        <v>111</v>
      </c>
      <c r="R31" s="774" t="s">
        <v>21</v>
      </c>
      <c r="S31" s="775">
        <f t="shared" si="12"/>
        <v>100</v>
      </c>
      <c r="T31" s="774" t="s">
        <v>21</v>
      </c>
      <c r="U31" s="775">
        <f t="shared" si="13"/>
        <v>100</v>
      </c>
      <c r="V31" s="774" t="s">
        <v>21</v>
      </c>
      <c r="W31" s="775">
        <f t="shared" si="14"/>
        <v>100</v>
      </c>
      <c r="X31" s="1813"/>
      <c r="Y31" s="3268"/>
      <c r="Z31" s="1814">
        <f t="shared" si="18"/>
        <v>111</v>
      </c>
      <c r="AA31" s="1811">
        <f t="shared" si="15"/>
        <v>1</v>
      </c>
      <c r="AB31" s="1811">
        <f t="shared" si="16"/>
        <v>1</v>
      </c>
      <c r="AC31" s="1811">
        <f t="shared" si="17"/>
        <v>1</v>
      </c>
    </row>
    <row r="32" spans="1:29" ht="15">
      <c r="A32" s="440" t="s">
        <v>2559</v>
      </c>
      <c r="B32" s="71" t="s">
        <v>2560</v>
      </c>
      <c r="C32" s="2620"/>
      <c r="D32" s="467">
        <v>100</v>
      </c>
      <c r="E32" s="2621"/>
      <c r="F32" s="461">
        <f>SUMIF(100:100,E32,101:101)-SUMIF(100:100,C32,101:101)+100</f>
        <v>100</v>
      </c>
      <c r="G32" s="2620"/>
      <c r="H32" s="467">
        <f>SUMIF(100:100,G32,101:101)-SUMIF(100:100,C32,101:101)+100</f>
        <v>100</v>
      </c>
      <c r="I32" s="2621"/>
      <c r="J32" s="435">
        <f>SUMIF(100:100,I32,101:101)-SUMIF(100:100,C32,101:101)+100</f>
        <v>100</v>
      </c>
      <c r="K32" s="426"/>
      <c r="L32" s="1140"/>
      <c r="M32" s="1131"/>
      <c r="N32" s="1131"/>
      <c r="O32" s="1131"/>
      <c r="P32" s="3269" t="s">
        <v>2561</v>
      </c>
      <c r="Q32" s="1810" t="str">
        <f t="shared" si="11"/>
        <v>建筑类型</v>
      </c>
      <c r="R32" s="774" t="s">
        <v>21</v>
      </c>
      <c r="S32" s="775">
        <f t="shared" si="12"/>
        <v>100</v>
      </c>
      <c r="T32" s="774" t="s">
        <v>21</v>
      </c>
      <c r="U32" s="775">
        <f t="shared" si="13"/>
        <v>100</v>
      </c>
      <c r="V32" s="774" t="s">
        <v>21</v>
      </c>
      <c r="W32" s="775">
        <f t="shared" si="14"/>
        <v>100</v>
      </c>
      <c r="X32" s="1813"/>
      <c r="Y32" s="3272" t="s">
        <v>2561</v>
      </c>
      <c r="Z32" s="1814" t="str">
        <f t="shared" si="18"/>
        <v>建筑类型</v>
      </c>
      <c r="AA32" s="1811">
        <f t="shared" si="15"/>
        <v>1</v>
      </c>
      <c r="AB32" s="1811">
        <f t="shared" si="16"/>
        <v>1</v>
      </c>
      <c r="AC32" s="1811">
        <f t="shared" si="17"/>
        <v>1</v>
      </c>
    </row>
    <row r="33" spans="1:29" s="471" customFormat="1" ht="15">
      <c r="A33" s="468"/>
      <c r="B33" s="422" t="s">
        <v>2562</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4"/>
      <c r="L33" s="1138"/>
      <c r="M33" s="1141"/>
      <c r="N33" s="1141"/>
      <c r="O33" s="1141"/>
      <c r="P33" s="3270"/>
      <c r="Q33" s="776" t="str">
        <f t="shared" si="11"/>
        <v>项目建筑规模</v>
      </c>
      <c r="R33" s="777" t="s">
        <v>21</v>
      </c>
      <c r="S33" s="778" t="e">
        <f t="shared" si="12"/>
        <v>#N/A</v>
      </c>
      <c r="T33" s="777" t="s">
        <v>21</v>
      </c>
      <c r="U33" s="778" t="e">
        <f t="shared" si="13"/>
        <v>#N/A</v>
      </c>
      <c r="V33" s="777" t="s">
        <v>21</v>
      </c>
      <c r="W33" s="778" t="e">
        <f t="shared" si="14"/>
        <v>#N/A</v>
      </c>
      <c r="X33" s="779"/>
      <c r="Y33" s="3272"/>
      <c r="Z33" s="780" t="str">
        <f t="shared" si="18"/>
        <v>项目建筑规模</v>
      </c>
      <c r="AA33" s="1811" t="e">
        <f t="shared" si="15"/>
        <v>#N/A</v>
      </c>
      <c r="AB33" s="1811" t="e">
        <f t="shared" si="16"/>
        <v>#N/A</v>
      </c>
      <c r="AC33" s="1811" t="e">
        <f t="shared" si="17"/>
        <v>#N/A</v>
      </c>
    </row>
    <row r="34" spans="1:29" ht="15">
      <c r="A34" s="472"/>
      <c r="B34" s="422" t="s">
        <v>2563</v>
      </c>
      <c r="C34" s="2622"/>
      <c r="D34" s="435">
        <v>100</v>
      </c>
      <c r="E34" s="2623"/>
      <c r="F34" s="461">
        <f>SUMIF(105:105,E34,106:106)-SUMIF(105:105,C34,106:106)+100</f>
        <v>100</v>
      </c>
      <c r="G34" s="2622"/>
      <c r="H34" s="435">
        <f>SUMIF(105:105,G34,106:106)-SUMIF(105:105,C34,106:106)+100</f>
        <v>100</v>
      </c>
      <c r="I34" s="2623"/>
      <c r="J34" s="435">
        <f>SUMIF(105:105,I34,106:106)-SUMIF(105:105,C34,106:106)+100</f>
        <v>100</v>
      </c>
      <c r="K34" s="426"/>
      <c r="L34" s="1140"/>
      <c r="M34" s="1131"/>
      <c r="N34" s="1131"/>
      <c r="O34" s="1131"/>
      <c r="P34" s="3270"/>
      <c r="Q34" s="1810" t="str">
        <f t="shared" si="11"/>
        <v>建筑结构</v>
      </c>
      <c r="R34" s="774" t="s">
        <v>21</v>
      </c>
      <c r="S34" s="775">
        <f t="shared" si="12"/>
        <v>100</v>
      </c>
      <c r="T34" s="774" t="s">
        <v>21</v>
      </c>
      <c r="U34" s="775">
        <f t="shared" si="13"/>
        <v>100</v>
      </c>
      <c r="V34" s="774" t="s">
        <v>21</v>
      </c>
      <c r="W34" s="775">
        <f t="shared" si="14"/>
        <v>100</v>
      </c>
      <c r="X34" s="1813"/>
      <c r="Y34" s="3272"/>
      <c r="Z34" s="1814" t="str">
        <f t="shared" si="18"/>
        <v>建筑结构</v>
      </c>
      <c r="AA34" s="1811">
        <f t="shared" si="15"/>
        <v>1</v>
      </c>
      <c r="AB34" s="1811">
        <f t="shared" si="16"/>
        <v>1</v>
      </c>
      <c r="AC34" s="1811">
        <f t="shared" si="17"/>
        <v>1</v>
      </c>
    </row>
    <row r="35" spans="1:29" ht="15">
      <c r="A35" s="472"/>
      <c r="B35" s="422" t="s">
        <v>2564</v>
      </c>
      <c r="C35" s="2616"/>
      <c r="D35" s="435">
        <v>100</v>
      </c>
      <c r="E35" s="2617"/>
      <c r="F35" s="461">
        <f>SUMIF(107:107,E35,108:108)-SUMIF(107:107,C35,108:108)+100</f>
        <v>100</v>
      </c>
      <c r="G35" s="2616"/>
      <c r="H35" s="435">
        <f>SUMIF(107:107,G35,108:108)-SUMIF(107:107,C35,108:108)+100</f>
        <v>100</v>
      </c>
      <c r="I35" s="2617"/>
      <c r="J35" s="435">
        <f>SUMIF(107:107,I35,108:108)-SUMIF(107:107,C35,108:108)+100</f>
        <v>100</v>
      </c>
      <c r="K35" s="426"/>
      <c r="L35" s="1140"/>
      <c r="M35" s="1131"/>
      <c r="N35" s="1131"/>
      <c r="O35" s="1131"/>
      <c r="P35" s="3270"/>
      <c r="Q35" s="1810" t="str">
        <f t="shared" si="11"/>
        <v>建筑品质</v>
      </c>
      <c r="R35" s="774" t="s">
        <v>21</v>
      </c>
      <c r="S35" s="775">
        <f t="shared" si="12"/>
        <v>100</v>
      </c>
      <c r="T35" s="774" t="s">
        <v>21</v>
      </c>
      <c r="U35" s="775">
        <f t="shared" si="13"/>
        <v>100</v>
      </c>
      <c r="V35" s="774" t="s">
        <v>21</v>
      </c>
      <c r="W35" s="775">
        <f t="shared" si="14"/>
        <v>100</v>
      </c>
      <c r="X35" s="1813"/>
      <c r="Y35" s="3272"/>
      <c r="Z35" s="1814" t="str">
        <f t="shared" si="18"/>
        <v>建筑品质</v>
      </c>
      <c r="AA35" s="1811">
        <f t="shared" si="15"/>
        <v>1</v>
      </c>
      <c r="AB35" s="1811">
        <f t="shared" si="16"/>
        <v>1</v>
      </c>
      <c r="AC35" s="1811">
        <f t="shared" si="17"/>
        <v>1</v>
      </c>
    </row>
    <row r="36" spans="1:29" ht="15">
      <c r="A36" s="472"/>
      <c r="B36" s="422" t="s">
        <v>2565</v>
      </c>
      <c r="C36" s="2616"/>
      <c r="D36" s="435">
        <v>100</v>
      </c>
      <c r="E36" s="2617"/>
      <c r="F36" s="461">
        <f>SUMIF(109:109,E36,110:110)-SUMIF(109:109,C36,110:110)+100</f>
        <v>100</v>
      </c>
      <c r="G36" s="2616"/>
      <c r="H36" s="435">
        <f>SUMIF(109:109,G36,110:110)-SUMIF(109:109,C36,110:110)+100</f>
        <v>100</v>
      </c>
      <c r="I36" s="2617"/>
      <c r="J36" s="435">
        <f>SUMIF(109:109,I36,110:110)-SUMIF(109:109,C36,110:110)+100</f>
        <v>100</v>
      </c>
      <c r="K36" s="426"/>
      <c r="L36" s="1140"/>
      <c r="M36" s="1131"/>
      <c r="N36" s="1131"/>
      <c r="O36" s="1131"/>
      <c r="P36" s="3270"/>
      <c r="Q36" s="1810" t="str">
        <f t="shared" si="11"/>
        <v>公共部分装修</v>
      </c>
      <c r="R36" s="774" t="s">
        <v>21</v>
      </c>
      <c r="S36" s="775">
        <f t="shared" si="12"/>
        <v>100</v>
      </c>
      <c r="T36" s="774" t="s">
        <v>21</v>
      </c>
      <c r="U36" s="775">
        <f t="shared" si="13"/>
        <v>100</v>
      </c>
      <c r="V36" s="774" t="s">
        <v>21</v>
      </c>
      <c r="W36" s="775">
        <f t="shared" si="14"/>
        <v>100</v>
      </c>
      <c r="X36" s="1813"/>
      <c r="Y36" s="3272"/>
      <c r="Z36" s="1814" t="str">
        <f t="shared" si="18"/>
        <v>公共部分装修</v>
      </c>
      <c r="AA36" s="1811">
        <f t="shared" si="15"/>
        <v>1</v>
      </c>
      <c r="AB36" s="1811">
        <f t="shared" si="16"/>
        <v>1</v>
      </c>
      <c r="AC36" s="1811">
        <f t="shared" si="17"/>
        <v>1</v>
      </c>
    </row>
    <row r="37" spans="1:29" s="117" customFormat="1" ht="15">
      <c r="A37" s="473"/>
      <c r="B37" s="422" t="s">
        <v>2566</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70"/>
      <c r="Q37" s="1795" t="str">
        <f t="shared" si="11"/>
        <v>成新度</v>
      </c>
      <c r="R37" s="770" t="s">
        <v>21</v>
      </c>
      <c r="S37" s="771" t="e">
        <f t="shared" si="12"/>
        <v>#N/A</v>
      </c>
      <c r="T37" s="770" t="s">
        <v>21</v>
      </c>
      <c r="U37" s="771" t="e">
        <f t="shared" si="13"/>
        <v>#N/A</v>
      </c>
      <c r="V37" s="770" t="s">
        <v>21</v>
      </c>
      <c r="W37" s="771" t="e">
        <f t="shared" si="14"/>
        <v>#N/A</v>
      </c>
      <c r="X37" s="772"/>
      <c r="Y37" s="3272"/>
      <c r="Z37" s="55" t="str">
        <f t="shared" si="18"/>
        <v>成新度</v>
      </c>
      <c r="AA37" s="773" t="e">
        <f t="shared" si="15"/>
        <v>#N/A</v>
      </c>
      <c r="AB37" s="773" t="e">
        <f t="shared" si="16"/>
        <v>#N/A</v>
      </c>
      <c r="AC37" s="773" t="e">
        <f t="shared" si="17"/>
        <v>#N/A</v>
      </c>
    </row>
    <row r="38" spans="1:29" ht="15">
      <c r="A38" s="472"/>
      <c r="B38" s="422" t="s">
        <v>2567</v>
      </c>
      <c r="C38" s="2616"/>
      <c r="D38" s="435">
        <v>100</v>
      </c>
      <c r="E38" s="2617"/>
      <c r="F38" s="461">
        <f>SUMIF(114:114,E38,115:115)-SUMIF(114:114,C38,115:115)+100</f>
        <v>100</v>
      </c>
      <c r="G38" s="2616"/>
      <c r="H38" s="435">
        <f>SUMIF(114:114,G38,115:115)-SUMIF(114:114,C38,115:115)+100</f>
        <v>100</v>
      </c>
      <c r="I38" s="2617"/>
      <c r="J38" s="435">
        <f>SUMIF(114:114,I38,115:115)-SUMIF(114:114,C38,115:115)+100</f>
        <v>100</v>
      </c>
      <c r="K38" s="426"/>
      <c r="L38" s="1140"/>
      <c r="M38" s="1131"/>
      <c r="N38" s="1131"/>
      <c r="O38" s="1131"/>
      <c r="P38" s="3270" t="s">
        <v>2561</v>
      </c>
      <c r="Q38" s="1810" t="str">
        <f t="shared" si="11"/>
        <v>物业管理</v>
      </c>
      <c r="R38" s="774" t="s">
        <v>21</v>
      </c>
      <c r="S38" s="775">
        <f t="shared" si="12"/>
        <v>100</v>
      </c>
      <c r="T38" s="774" t="s">
        <v>21</v>
      </c>
      <c r="U38" s="775">
        <f t="shared" si="13"/>
        <v>100</v>
      </c>
      <c r="V38" s="774" t="s">
        <v>21</v>
      </c>
      <c r="W38" s="775">
        <f t="shared" si="14"/>
        <v>100</v>
      </c>
      <c r="X38" s="1813"/>
      <c r="Y38" s="3272" t="s">
        <v>2561</v>
      </c>
      <c r="Z38" s="1814" t="str">
        <f t="shared" si="18"/>
        <v>物业管理</v>
      </c>
      <c r="AA38" s="1811">
        <f t="shared" si="15"/>
        <v>1</v>
      </c>
      <c r="AB38" s="1811">
        <f t="shared" si="16"/>
        <v>1</v>
      </c>
      <c r="AC38" s="1811">
        <f t="shared" si="17"/>
        <v>1</v>
      </c>
    </row>
    <row r="39" spans="1:29" ht="15">
      <c r="A39" s="472"/>
      <c r="B39" s="422" t="s">
        <v>2568</v>
      </c>
      <c r="C39" s="2616"/>
      <c r="D39" s="435">
        <v>100</v>
      </c>
      <c r="E39" s="2617"/>
      <c r="F39" s="461">
        <f>SUMIF(116:116,E39,117:117)-SUMIF(116:116,C39,117:117)+100</f>
        <v>100</v>
      </c>
      <c r="G39" s="2616"/>
      <c r="H39" s="435">
        <f>SUMIF(116:116,G39,117:117)-SUMIF(116:116,C39,117:117)+100</f>
        <v>100</v>
      </c>
      <c r="I39" s="2617"/>
      <c r="J39" s="435">
        <f>SUMIF(116:116,I39,117:117)-SUMIF(116:116,C39,117:117)+100</f>
        <v>100</v>
      </c>
      <c r="K39" s="426"/>
      <c r="L39" s="1140"/>
      <c r="M39" s="1131"/>
      <c r="N39" s="1131"/>
      <c r="O39" s="1131"/>
      <c r="P39" s="3270"/>
      <c r="Q39" s="1810" t="str">
        <f t="shared" si="11"/>
        <v>市政基础设施</v>
      </c>
      <c r="R39" s="774" t="s">
        <v>21</v>
      </c>
      <c r="S39" s="775">
        <f t="shared" si="12"/>
        <v>100</v>
      </c>
      <c r="T39" s="774" t="s">
        <v>21</v>
      </c>
      <c r="U39" s="775">
        <f t="shared" si="13"/>
        <v>100</v>
      </c>
      <c r="V39" s="774" t="s">
        <v>21</v>
      </c>
      <c r="W39" s="775">
        <f t="shared" si="14"/>
        <v>100</v>
      </c>
      <c r="X39" s="1813"/>
      <c r="Y39" s="3272"/>
      <c r="Z39" s="1814" t="str">
        <f t="shared" si="18"/>
        <v>市政基础设施</v>
      </c>
      <c r="AA39" s="1811">
        <f t="shared" si="15"/>
        <v>1</v>
      </c>
      <c r="AB39" s="1811">
        <f t="shared" si="16"/>
        <v>1</v>
      </c>
      <c r="AC39" s="1811">
        <f t="shared" si="17"/>
        <v>1</v>
      </c>
    </row>
    <row r="40" spans="1:29" ht="15">
      <c r="A40" s="472"/>
      <c r="B40" s="422" t="s">
        <v>2569</v>
      </c>
      <c r="C40" s="2616"/>
      <c r="D40" s="435">
        <v>100</v>
      </c>
      <c r="E40" s="2617"/>
      <c r="F40" s="461">
        <f>SUMIF(118:118,E40,119:119)-SUMIF(118:118,C40,119:119)+100</f>
        <v>100</v>
      </c>
      <c r="G40" s="2616"/>
      <c r="H40" s="435">
        <f>SUMIF(118:118,G40,119:119)-SUMIF(118:118,C40,119:119)+100</f>
        <v>100</v>
      </c>
      <c r="I40" s="2617"/>
      <c r="J40" s="435">
        <f>SUMIF(118:118,I40,119:119)-SUMIF(118:118,C40,119:119)+100</f>
        <v>100</v>
      </c>
      <c r="K40" s="426"/>
      <c r="L40" s="1140"/>
      <c r="M40" s="1131"/>
      <c r="N40" s="1131"/>
      <c r="O40" s="1131"/>
      <c r="P40" s="3270"/>
      <c r="Q40" s="1810" t="str">
        <f t="shared" si="11"/>
        <v>房型</v>
      </c>
      <c r="R40" s="774" t="s">
        <v>21</v>
      </c>
      <c r="S40" s="775">
        <f t="shared" si="12"/>
        <v>100</v>
      </c>
      <c r="T40" s="774" t="s">
        <v>21</v>
      </c>
      <c r="U40" s="775">
        <f t="shared" si="13"/>
        <v>100</v>
      </c>
      <c r="V40" s="774" t="s">
        <v>21</v>
      </c>
      <c r="W40" s="775">
        <f t="shared" si="14"/>
        <v>100</v>
      </c>
      <c r="X40" s="1813"/>
      <c r="Y40" s="3272"/>
      <c r="Z40" s="1814" t="str">
        <f t="shared" si="18"/>
        <v>房型</v>
      </c>
      <c r="AA40" s="1811">
        <f t="shared" si="15"/>
        <v>1</v>
      </c>
      <c r="AB40" s="1811">
        <f t="shared" si="16"/>
        <v>1</v>
      </c>
      <c r="AC40" s="1811">
        <f t="shared" si="17"/>
        <v>1</v>
      </c>
    </row>
    <row r="41" spans="1:29" s="471" customFormat="1" ht="28.5">
      <c r="A41" s="468"/>
      <c r="B41" s="422" t="s">
        <v>2570</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4"/>
      <c r="L41" s="1138"/>
      <c r="M41" s="1141"/>
      <c r="N41" s="1141"/>
      <c r="O41" s="1141"/>
      <c r="P41" s="3270"/>
      <c r="Q41" s="776" t="str">
        <f t="shared" si="11"/>
        <v>单套/主力户型建筑面积</v>
      </c>
      <c r="R41" s="777" t="s">
        <v>21</v>
      </c>
      <c r="S41" s="778">
        <f t="shared" si="12"/>
        <v>100</v>
      </c>
      <c r="T41" s="777" t="s">
        <v>21</v>
      </c>
      <c r="U41" s="778">
        <f t="shared" si="13"/>
        <v>100</v>
      </c>
      <c r="V41" s="777" t="s">
        <v>21</v>
      </c>
      <c r="W41" s="778">
        <f t="shared" si="14"/>
        <v>100</v>
      </c>
      <c r="X41" s="779"/>
      <c r="Y41" s="3272"/>
      <c r="Z41" s="780" t="str">
        <f t="shared" si="18"/>
        <v>单套/主力户型建筑面积</v>
      </c>
      <c r="AA41" s="1811">
        <f t="shared" si="15"/>
        <v>1</v>
      </c>
      <c r="AB41" s="1811">
        <f t="shared" si="16"/>
        <v>1</v>
      </c>
      <c r="AC41" s="1811">
        <f t="shared" si="17"/>
        <v>1</v>
      </c>
    </row>
    <row r="42" spans="1:29" ht="15">
      <c r="A42" s="472"/>
      <c r="B42" s="422" t="s">
        <v>2571</v>
      </c>
      <c r="C42" s="2616"/>
      <c r="D42" s="435">
        <v>100</v>
      </c>
      <c r="E42" s="2617"/>
      <c r="F42" s="461">
        <f>SUMIF(122:122,E42,123:123)-SUMIF(122:122,C42,123:123)+100</f>
        <v>100</v>
      </c>
      <c r="G42" s="2616"/>
      <c r="H42" s="435">
        <f>SUMIF(122:122,G42,123:123)-SUMIF(122:122,C42,123:123)+100</f>
        <v>100</v>
      </c>
      <c r="I42" s="2617"/>
      <c r="J42" s="435">
        <f>SUMIF(122:122,I42,123:123)-SUMIF(122:122,C42,123:123)+100</f>
        <v>100</v>
      </c>
      <c r="K42" s="426"/>
      <c r="L42" s="1140"/>
      <c r="M42" s="1131"/>
      <c r="N42" s="1131"/>
      <c r="O42" s="1131"/>
      <c r="P42" s="3270"/>
      <c r="Q42" s="1810" t="str">
        <f t="shared" si="11"/>
        <v>内部装修</v>
      </c>
      <c r="R42" s="774" t="s">
        <v>21</v>
      </c>
      <c r="S42" s="775">
        <f t="shared" si="12"/>
        <v>100</v>
      </c>
      <c r="T42" s="774" t="s">
        <v>21</v>
      </c>
      <c r="U42" s="775">
        <f t="shared" si="13"/>
        <v>100</v>
      </c>
      <c r="V42" s="774" t="s">
        <v>21</v>
      </c>
      <c r="W42" s="775">
        <f t="shared" si="14"/>
        <v>100</v>
      </c>
      <c r="X42" s="1813"/>
      <c r="Y42" s="3272"/>
      <c r="Z42" s="1814" t="str">
        <f t="shared" si="18"/>
        <v>内部装修</v>
      </c>
      <c r="AA42" s="1811">
        <f t="shared" si="15"/>
        <v>1</v>
      </c>
      <c r="AB42" s="1811">
        <f t="shared" si="16"/>
        <v>1</v>
      </c>
      <c r="AC42" s="1811">
        <f t="shared" si="17"/>
        <v>1</v>
      </c>
    </row>
    <row r="43" spans="1:29" ht="15">
      <c r="A43" s="472"/>
      <c r="B43" s="422" t="s">
        <v>2572</v>
      </c>
      <c r="C43" s="2616"/>
      <c r="D43" s="435">
        <v>100</v>
      </c>
      <c r="E43" s="2617"/>
      <c r="F43" s="461">
        <f>SUMIF(124:124,E43,125:125)-SUMIF(124:124,C43,125:125)+100</f>
        <v>100</v>
      </c>
      <c r="G43" s="2616"/>
      <c r="H43" s="435">
        <f>SUMIF(124:124,G43,125:125)-SUMIF(124:124,C43,125:125)+100</f>
        <v>100</v>
      </c>
      <c r="I43" s="2617"/>
      <c r="J43" s="435">
        <f>SUMIF(124:124,I43,125:125)-SUMIF(124:124,C43,125:125)+100</f>
        <v>100</v>
      </c>
      <c r="K43" s="426"/>
      <c r="L43" s="1140"/>
      <c r="M43" s="1131"/>
      <c r="N43" s="1131"/>
      <c r="O43" s="1131"/>
      <c r="P43" s="3270"/>
      <c r="Q43" s="1810" t="str">
        <f t="shared" si="11"/>
        <v>内部装修维护情况</v>
      </c>
      <c r="R43" s="774" t="s">
        <v>21</v>
      </c>
      <c r="S43" s="775">
        <f t="shared" si="12"/>
        <v>100</v>
      </c>
      <c r="T43" s="774" t="s">
        <v>21</v>
      </c>
      <c r="U43" s="775">
        <f t="shared" si="13"/>
        <v>100</v>
      </c>
      <c r="V43" s="774" t="s">
        <v>21</v>
      </c>
      <c r="W43" s="775">
        <f t="shared" si="14"/>
        <v>100</v>
      </c>
      <c r="X43" s="1813"/>
      <c r="Y43" s="3272"/>
      <c r="Z43" s="1814" t="str">
        <f t="shared" si="18"/>
        <v>内部装修维护情况</v>
      </c>
      <c r="AA43" s="1811">
        <f t="shared" si="15"/>
        <v>1</v>
      </c>
      <c r="AB43" s="1811">
        <f t="shared" si="16"/>
        <v>1</v>
      </c>
      <c r="AC43" s="1811">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4"/>
      <c r="L44" s="1132"/>
      <c r="M44" s="1133"/>
      <c r="N44" s="1133"/>
      <c r="O44" s="1133"/>
      <c r="P44" s="3270"/>
      <c r="Q44" s="1795">
        <f t="shared" si="11"/>
        <v>111</v>
      </c>
      <c r="R44" s="770" t="s">
        <v>21</v>
      </c>
      <c r="S44" s="771">
        <f t="shared" si="12"/>
        <v>100</v>
      </c>
      <c r="T44" s="770" t="s">
        <v>21</v>
      </c>
      <c r="U44" s="771">
        <f t="shared" si="13"/>
        <v>100</v>
      </c>
      <c r="V44" s="770" t="s">
        <v>21</v>
      </c>
      <c r="W44" s="771">
        <f t="shared" si="14"/>
        <v>100</v>
      </c>
      <c r="X44" s="772"/>
      <c r="Y44" s="3272"/>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4"/>
      <c r="L45" s="1140"/>
      <c r="M45" s="1131"/>
      <c r="N45" s="1131"/>
      <c r="O45" s="1131"/>
      <c r="P45" s="3270"/>
      <c r="Q45" s="1810">
        <f t="shared" si="11"/>
        <v>111</v>
      </c>
      <c r="R45" s="774" t="s">
        <v>21</v>
      </c>
      <c r="S45" s="775">
        <f t="shared" si="12"/>
        <v>100</v>
      </c>
      <c r="T45" s="774" t="s">
        <v>21</v>
      </c>
      <c r="U45" s="775">
        <f t="shared" si="13"/>
        <v>100</v>
      </c>
      <c r="V45" s="774" t="s">
        <v>21</v>
      </c>
      <c r="W45" s="775">
        <f t="shared" si="14"/>
        <v>100</v>
      </c>
      <c r="X45" s="1813"/>
      <c r="Y45" s="3272"/>
      <c r="Z45" s="1814">
        <f t="shared" si="18"/>
        <v>111</v>
      </c>
      <c r="AA45" s="1811">
        <f t="shared" si="15"/>
        <v>1</v>
      </c>
      <c r="AB45" s="1811">
        <f t="shared" si="16"/>
        <v>1</v>
      </c>
      <c r="AC45" s="1811">
        <f t="shared" si="17"/>
        <v>1</v>
      </c>
    </row>
    <row r="46" spans="1:29" ht="15.75" thickBot="1">
      <c r="A46" s="478"/>
      <c r="B46" s="2605">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4"/>
      <c r="L46" s="1140"/>
      <c r="M46" s="1131"/>
      <c r="N46" s="1131"/>
      <c r="O46" s="1131"/>
      <c r="P46" s="3271"/>
      <c r="Q46" s="1810">
        <f t="shared" si="11"/>
        <v>111</v>
      </c>
      <c r="R46" s="774" t="s">
        <v>20</v>
      </c>
      <c r="S46" s="775">
        <f t="shared" si="12"/>
        <v>100</v>
      </c>
      <c r="T46" s="774" t="s">
        <v>20</v>
      </c>
      <c r="U46" s="775">
        <f t="shared" si="13"/>
        <v>100</v>
      </c>
      <c r="V46" s="774" t="s">
        <v>20</v>
      </c>
      <c r="W46" s="775">
        <f t="shared" si="14"/>
        <v>100</v>
      </c>
      <c r="X46" s="1813"/>
      <c r="Y46" s="3273"/>
      <c r="Z46" s="1814">
        <f t="shared" si="18"/>
        <v>111</v>
      </c>
      <c r="AA46" s="1811">
        <f t="shared" si="15"/>
        <v>1</v>
      </c>
      <c r="AB46" s="1811">
        <f t="shared" si="16"/>
        <v>1</v>
      </c>
      <c r="AC46" s="1811">
        <f t="shared" si="17"/>
        <v>1</v>
      </c>
    </row>
    <row r="47" spans="1:29" ht="15">
      <c r="A47" s="479" t="s">
        <v>2573</v>
      </c>
      <c r="B47" s="480"/>
      <c r="C47" s="1407" t="s">
        <v>19</v>
      </c>
      <c r="D47" s="1408"/>
      <c r="E47" s="1409"/>
      <c r="F47" s="1410"/>
      <c r="G47" s="1411"/>
      <c r="H47" s="1412"/>
      <c r="I47" s="1409"/>
      <c r="J47" s="1412"/>
      <c r="K47" s="2624"/>
      <c r="L47" s="1143"/>
      <c r="M47" s="1144"/>
      <c r="N47" s="1131"/>
      <c r="O47" s="1144"/>
      <c r="P47" s="3265" t="str">
        <f>A47</f>
        <v>成交单价（元/平方米）</v>
      </c>
      <c r="Q47" s="3265"/>
      <c r="R47" s="3266">
        <f>E47</f>
        <v>0</v>
      </c>
      <c r="S47" s="3266"/>
      <c r="T47" s="3266">
        <f>G47</f>
        <v>0</v>
      </c>
      <c r="U47" s="3266"/>
      <c r="V47" s="3266">
        <f>I47</f>
        <v>0</v>
      </c>
      <c r="W47" s="3266"/>
      <c r="X47" s="759"/>
      <c r="Y47" s="781"/>
      <c r="Z47" s="759"/>
      <c r="AA47" s="759"/>
      <c r="AB47" s="759"/>
      <c r="AC47" s="759"/>
    </row>
    <row r="48" spans="1:29" ht="15.75" thickBot="1">
      <c r="A48" s="486" t="s">
        <v>2574</v>
      </c>
      <c r="B48" s="487"/>
      <c r="C48" s="1413" t="e">
        <f>R49</f>
        <v>#DIV/0!</v>
      </c>
      <c r="D48" s="1414"/>
      <c r="E48" s="1415" t="e">
        <f>R48</f>
        <v>#DIV/0!</v>
      </c>
      <c r="F48" s="1415"/>
      <c r="G48" s="1413" t="e">
        <f>T48</f>
        <v>#DIV/0!</v>
      </c>
      <c r="H48" s="1414"/>
      <c r="I48" s="1415" t="e">
        <f>V48</f>
        <v>#DIV/0!</v>
      </c>
      <c r="J48" s="1414"/>
      <c r="K48" s="2625"/>
      <c r="L48" s="1143"/>
      <c r="M48" s="1144"/>
      <c r="N48" s="1144"/>
      <c r="O48" s="1144"/>
      <c r="P48" s="3265" t="str">
        <f>A48</f>
        <v>比较价值（元/平方米）</v>
      </c>
      <c r="Q48" s="3265"/>
      <c r="R48" s="3266" t="e">
        <f>IF(F1="售价",ROUND(PRODUCT(R47,AA7:AA46),0),ROUND(PRODUCT(R47,AA7:AA46),1))</f>
        <v>#DIV/0!</v>
      </c>
      <c r="S48" s="3266"/>
      <c r="T48" s="3266" t="e">
        <f>IF(F1="售价",ROUND(PRODUCT(T47,AB7:AB46),0),ROUND(PRODUCT(T47,AB7:AB46),1))</f>
        <v>#DIV/0!</v>
      </c>
      <c r="U48" s="3266"/>
      <c r="V48" s="3266" t="e">
        <f>IF(F1="售价",ROUND(PRODUCT(V47,AC7:AC46),0),ROUND(PRODUCT(V47,AC7:AC46),1))</f>
        <v>#DIV/0!</v>
      </c>
      <c r="W48" s="3266"/>
      <c r="X48" s="759"/>
      <c r="Y48" s="759"/>
      <c r="Z48" s="759"/>
      <c r="AA48" s="759"/>
      <c r="AB48" s="759"/>
      <c r="AC48" s="759"/>
    </row>
    <row r="49" spans="1:29" ht="15.75" thickBot="1">
      <c r="A49" s="492" t="s">
        <v>2575</v>
      </c>
      <c r="B49" s="493"/>
      <c r="C49" s="1416" t="e">
        <f>R49</f>
        <v>#DIV/0!</v>
      </c>
      <c r="D49" s="1417"/>
      <c r="E49" s="1417"/>
      <c r="F49" s="1417"/>
      <c r="G49" s="1417"/>
      <c r="H49" s="1417"/>
      <c r="I49" s="1417"/>
      <c r="J49" s="1417"/>
      <c r="K49" s="2626"/>
      <c r="L49" s="1143"/>
      <c r="M49" s="1144"/>
      <c r="N49" s="1144"/>
      <c r="O49" s="1144"/>
      <c r="P49" s="3262" t="str">
        <f>A49</f>
        <v>估价对象XX用房的比较价值（楼面单价，元/平方米）</v>
      </c>
      <c r="Q49" s="3263"/>
      <c r="R49" s="3264" t="e">
        <f>IF(F1="售价",ROUND(AVERAGE(R48:V48),0),ROUND(AVERAGE(R48:V48),1))</f>
        <v>#DIV/0!</v>
      </c>
      <c r="S49" s="3264"/>
      <c r="T49" s="3264"/>
      <c r="U49" s="3264"/>
      <c r="V49" s="3264"/>
      <c r="W49" s="3264"/>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2576</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2577</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2578</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8"/>
    </row>
    <row r="55" spans="1:29" s="502" customFormat="1">
      <c r="A55" s="1145"/>
      <c r="B55" s="1146"/>
      <c r="C55" s="1150"/>
      <c r="D55" s="1145"/>
      <c r="E55" s="1145"/>
      <c r="F55" s="1145"/>
      <c r="G55" s="1145"/>
      <c r="H55" s="1145"/>
      <c r="I55" s="1145"/>
      <c r="J55" s="1145"/>
      <c r="K55" s="1148"/>
      <c r="L55" s="1149"/>
      <c r="M55" s="1145"/>
      <c r="N55" s="1145"/>
      <c r="O55" s="1145"/>
      <c r="P55" s="2628"/>
    </row>
    <row r="56" spans="1:29">
      <c r="A56" s="1144"/>
      <c r="B56" s="1146"/>
      <c r="C56" s="1150"/>
      <c r="D56" s="1144"/>
      <c r="E56" s="1144"/>
      <c r="F56" s="1144"/>
      <c r="G56" s="1144"/>
      <c r="H56" s="1144"/>
      <c r="I56" s="1144"/>
      <c r="J56" s="1144"/>
      <c r="K56" s="1105"/>
      <c r="L56" s="1106"/>
      <c r="M56" s="1144"/>
      <c r="N56" s="1144"/>
      <c r="O56" s="1144"/>
    </row>
    <row r="57" spans="1:29" ht="21.75" thickBot="1">
      <c r="A57" s="763" t="s">
        <v>2579</v>
      </c>
      <c r="B57" s="759"/>
      <c r="C57" s="764"/>
      <c r="D57" s="764"/>
      <c r="E57" s="764"/>
      <c r="F57" s="765"/>
      <c r="G57" s="765"/>
      <c r="H57" s="764"/>
      <c r="I57" s="764"/>
      <c r="J57" s="764"/>
      <c r="K57" s="1160"/>
      <c r="L57" s="1161"/>
      <c r="M57" s="1159"/>
      <c r="N57" s="1159"/>
      <c r="O57" s="1159"/>
      <c r="P57" s="2629"/>
      <c r="Q57" s="504"/>
    </row>
    <row r="58" spans="1:29" s="508" customFormat="1" ht="15">
      <c r="A58" s="505" t="s">
        <v>2580</v>
      </c>
      <c r="B58" s="506"/>
      <c r="C58" s="1576" t="str">
        <f>YEAR(C7)&amp;"-"&amp;MONTH(C7)</f>
        <v>2019-5</v>
      </c>
      <c r="D58" s="1575">
        <f>EDATE(C58,-1)</f>
        <v>43556</v>
      </c>
      <c r="E58" s="1575">
        <f>EDATE(D58,-1)</f>
        <v>43525</v>
      </c>
      <c r="F58" s="1575">
        <f t="shared" ref="F58:O58" si="19">EDATE(E58,-1)</f>
        <v>43497</v>
      </c>
      <c r="G58" s="1575">
        <f t="shared" si="19"/>
        <v>43466</v>
      </c>
      <c r="H58" s="1575">
        <f t="shared" si="19"/>
        <v>43435</v>
      </c>
      <c r="I58" s="1575">
        <f t="shared" si="19"/>
        <v>43405</v>
      </c>
      <c r="J58" s="1575">
        <f t="shared" si="19"/>
        <v>43374</v>
      </c>
      <c r="K58" s="1575">
        <f t="shared" si="19"/>
        <v>43344</v>
      </c>
      <c r="L58" s="1575">
        <f t="shared" si="19"/>
        <v>43313</v>
      </c>
      <c r="M58" s="1575">
        <f t="shared" si="19"/>
        <v>43282</v>
      </c>
      <c r="N58" s="1575">
        <f t="shared" si="19"/>
        <v>43252</v>
      </c>
      <c r="O58" s="1575">
        <f t="shared" si="19"/>
        <v>43221</v>
      </c>
      <c r="P58" s="1570"/>
    </row>
    <row r="59" spans="1:29" s="117" customFormat="1" ht="15">
      <c r="A59" s="509"/>
      <c r="B59" s="2630"/>
      <c r="C59" s="1573">
        <v>100</v>
      </c>
      <c r="D59" s="511"/>
      <c r="E59" s="512"/>
      <c r="F59" s="512"/>
      <c r="G59" s="512"/>
      <c r="H59" s="512"/>
      <c r="I59" s="512"/>
      <c r="J59" s="512"/>
      <c r="K59" s="512"/>
      <c r="L59" s="512"/>
      <c r="M59" s="513"/>
      <c r="N59" s="512"/>
      <c r="O59" s="513"/>
      <c r="P59" s="2631"/>
    </row>
    <row r="60" spans="1:29" s="117" customFormat="1" ht="15.75" thickBot="1">
      <c r="A60" s="515" t="s">
        <v>2581</v>
      </c>
      <c r="B60" s="516"/>
      <c r="C60" s="517"/>
      <c r="D60" s="518"/>
      <c r="E60" s="518"/>
      <c r="F60" s="518"/>
      <c r="G60" s="518"/>
      <c r="H60" s="518"/>
      <c r="I60" s="518"/>
      <c r="J60" s="518"/>
      <c r="K60" s="518"/>
      <c r="L60" s="518"/>
      <c r="M60" s="519"/>
      <c r="N60" s="518"/>
      <c r="O60" s="519"/>
      <c r="P60" s="2631"/>
      <c r="Q60" s="504"/>
    </row>
    <row r="61" spans="1:29" s="117" customFormat="1" ht="15">
      <c r="A61" s="521" t="s">
        <v>2582</v>
      </c>
      <c r="B61" s="510"/>
      <c r="C61" s="522" t="s">
        <v>2583</v>
      </c>
      <c r="D61" s="523"/>
      <c r="E61" s="523"/>
      <c r="F61" s="523"/>
      <c r="G61" s="523"/>
      <c r="H61" s="523"/>
      <c r="I61" s="523"/>
      <c r="J61" s="523"/>
      <c r="K61" s="523"/>
      <c r="L61" s="524"/>
      <c r="M61" s="525"/>
      <c r="N61" s="1151"/>
      <c r="O61" s="1151"/>
      <c r="P61" s="2632"/>
      <c r="Q61" s="504"/>
    </row>
    <row r="62" spans="1:29" s="117" customFormat="1" ht="15.75" thickBot="1">
      <c r="A62" s="521"/>
      <c r="B62" s="510"/>
      <c r="C62" s="511">
        <v>100</v>
      </c>
      <c r="D62" s="512"/>
      <c r="E62" s="512"/>
      <c r="F62" s="512"/>
      <c r="G62" s="512"/>
      <c r="H62" s="512"/>
      <c r="I62" s="512"/>
      <c r="J62" s="512"/>
      <c r="K62" s="512"/>
      <c r="L62" s="512"/>
      <c r="M62" s="514"/>
      <c r="N62" s="1151"/>
      <c r="O62" s="1151"/>
      <c r="P62" s="2631"/>
      <c r="Q62" s="504"/>
    </row>
    <row r="63" spans="1:29">
      <c r="A63" s="527" t="s">
        <v>2584</v>
      </c>
      <c r="B63" s="528" t="s">
        <v>2550</v>
      </c>
      <c r="C63" s="529">
        <f>C9</f>
        <v>0</v>
      </c>
      <c r="D63" s="530"/>
      <c r="E63" s="530"/>
      <c r="F63" s="530"/>
      <c r="G63" s="530"/>
      <c r="H63" s="530"/>
      <c r="I63" s="530"/>
      <c r="J63" s="530"/>
      <c r="K63" s="531"/>
      <c r="L63" s="532"/>
      <c r="M63" s="533"/>
      <c r="N63" s="1152"/>
      <c r="O63" s="1152"/>
      <c r="P63" s="2633"/>
      <c r="Q63" s="504"/>
    </row>
    <row r="64" spans="1:29" ht="15.75" thickBot="1">
      <c r="A64" s="534"/>
      <c r="B64" s="535"/>
      <c r="C64" s="536">
        <v>100</v>
      </c>
      <c r="D64" s="536"/>
      <c r="E64" s="536"/>
      <c r="F64" s="536"/>
      <c r="G64" s="536"/>
      <c r="H64" s="536"/>
      <c r="I64" s="536"/>
      <c r="J64" s="536"/>
      <c r="K64" s="536"/>
      <c r="L64" s="536"/>
      <c r="M64" s="537"/>
      <c r="N64" s="1153"/>
      <c r="O64" s="1153"/>
      <c r="P64" s="2633"/>
      <c r="Q64" s="504"/>
    </row>
    <row r="65" spans="1:17" ht="27.75" thickTop="1">
      <c r="A65" s="534"/>
      <c r="B65" s="538" t="s">
        <v>2553</v>
      </c>
      <c r="C65" s="539" t="s">
        <v>2585</v>
      </c>
      <c r="D65" s="539" t="s">
        <v>2586</v>
      </c>
      <c r="E65" s="539" t="s">
        <v>2587</v>
      </c>
      <c r="F65" s="539" t="s">
        <v>2588</v>
      </c>
      <c r="G65" s="539" t="s">
        <v>2589</v>
      </c>
      <c r="H65" s="539" t="s">
        <v>2590</v>
      </c>
      <c r="I65" s="539" t="s">
        <v>2591</v>
      </c>
      <c r="J65" s="539"/>
      <c r="K65" s="540"/>
      <c r="L65" s="541"/>
      <c r="M65" s="542"/>
      <c r="N65" s="1152"/>
      <c r="O65" s="1152"/>
      <c r="P65" s="2633"/>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33"/>
      <c r="Q66" s="504"/>
    </row>
    <row r="67" spans="1:17" ht="15.75" thickTop="1">
      <c r="A67" s="534"/>
      <c r="B67" s="546" t="s">
        <v>2554</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33"/>
      <c r="Q67" s="504"/>
    </row>
    <row r="68" spans="1:17" ht="15">
      <c r="A68" s="534"/>
      <c r="B68" s="548"/>
      <c r="C68" s="549"/>
      <c r="D68" s="549"/>
      <c r="E68" s="549"/>
      <c r="F68" s="549"/>
      <c r="G68" s="549"/>
      <c r="H68" s="549"/>
      <c r="I68" s="549"/>
      <c r="J68" s="549"/>
      <c r="K68" s="550"/>
      <c r="L68" s="551"/>
      <c r="M68" s="552"/>
      <c r="N68" s="1152"/>
      <c r="O68" s="1152"/>
      <c r="P68" s="2633"/>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33"/>
      <c r="Q69" s="504"/>
    </row>
    <row r="70" spans="1:17" s="471" customFormat="1" ht="15.75" thickTop="1">
      <c r="A70" s="553"/>
      <c r="B70" s="538">
        <f>B12</f>
        <v>111</v>
      </c>
      <c r="C70" s="554"/>
      <c r="D70" s="554"/>
      <c r="E70" s="554"/>
      <c r="F70" s="554"/>
      <c r="G70" s="554"/>
      <c r="H70" s="555"/>
      <c r="I70" s="555"/>
      <c r="J70" s="555"/>
      <c r="K70" s="555"/>
      <c r="L70" s="556"/>
      <c r="M70" s="557"/>
      <c r="N70" s="1154"/>
      <c r="O70" s="1154"/>
      <c r="P70" s="2634"/>
      <c r="Q70" s="559"/>
    </row>
    <row r="71" spans="1:17" s="471" customFormat="1" ht="15.75" thickBot="1">
      <c r="A71" s="553"/>
      <c r="B71" s="543"/>
      <c r="C71" s="560"/>
      <c r="D71" s="536"/>
      <c r="E71" s="536"/>
      <c r="F71" s="536"/>
      <c r="G71" s="536"/>
      <c r="H71" s="536"/>
      <c r="I71" s="536"/>
      <c r="J71" s="536"/>
      <c r="K71" s="536"/>
      <c r="L71" s="536"/>
      <c r="M71" s="537"/>
      <c r="N71" s="1153"/>
      <c r="O71" s="1153"/>
      <c r="P71" s="2634"/>
      <c r="Q71" s="559"/>
    </row>
    <row r="72" spans="1:17" s="471" customFormat="1" ht="15.75" thickTop="1">
      <c r="A72" s="553"/>
      <c r="B72" s="538">
        <f>B13</f>
        <v>111</v>
      </c>
      <c r="C72" s="554"/>
      <c r="D72" s="554"/>
      <c r="E72" s="554"/>
      <c r="F72" s="554"/>
      <c r="G72" s="554"/>
      <c r="H72" s="555"/>
      <c r="I72" s="555"/>
      <c r="J72" s="555"/>
      <c r="K72" s="555"/>
      <c r="L72" s="556"/>
      <c r="M72" s="557"/>
      <c r="N72" s="1154"/>
      <c r="O72" s="1154"/>
      <c r="P72" s="2635"/>
      <c r="Q72" s="561"/>
    </row>
    <row r="73" spans="1:17" s="471" customFormat="1" ht="15.75" thickBot="1">
      <c r="A73" s="553"/>
      <c r="B73" s="543"/>
      <c r="C73" s="560"/>
      <c r="D73" s="560"/>
      <c r="E73" s="560"/>
      <c r="F73" s="560"/>
      <c r="G73" s="560"/>
      <c r="H73" s="562"/>
      <c r="I73" s="562"/>
      <c r="J73" s="562"/>
      <c r="K73" s="562"/>
      <c r="L73" s="562"/>
      <c r="M73" s="563"/>
      <c r="N73" s="1154"/>
      <c r="O73" s="1154"/>
      <c r="P73" s="2634"/>
      <c r="Q73" s="559"/>
    </row>
    <row r="74" spans="1:17" s="471" customFormat="1" ht="15.75" thickTop="1">
      <c r="A74" s="553"/>
      <c r="B74" s="546">
        <f>B14</f>
        <v>111</v>
      </c>
      <c r="C74" s="554"/>
      <c r="D74" s="554"/>
      <c r="E74" s="554"/>
      <c r="F74" s="554"/>
      <c r="G74" s="523"/>
      <c r="H74" s="564"/>
      <c r="I74" s="564"/>
      <c r="J74" s="564"/>
      <c r="K74" s="564"/>
      <c r="L74" s="565"/>
      <c r="M74" s="566"/>
      <c r="N74" s="1154"/>
      <c r="O74" s="1154"/>
      <c r="P74" s="2636"/>
      <c r="Q74" s="559"/>
    </row>
    <row r="75" spans="1:17" s="471" customFormat="1" ht="15.75" thickBot="1">
      <c r="A75" s="568"/>
      <c r="B75" s="569"/>
      <c r="C75" s="570"/>
      <c r="D75" s="570"/>
      <c r="E75" s="570"/>
      <c r="F75" s="570"/>
      <c r="G75" s="570"/>
      <c r="H75" s="571"/>
      <c r="I75" s="571"/>
      <c r="J75" s="571"/>
      <c r="K75" s="571"/>
      <c r="L75" s="571"/>
      <c r="M75" s="572"/>
      <c r="N75" s="1154"/>
      <c r="O75" s="1154"/>
      <c r="P75" s="2634"/>
      <c r="Q75" s="559"/>
    </row>
    <row r="76" spans="1:17">
      <c r="A76" s="527" t="s">
        <v>2555</v>
      </c>
      <c r="B76" s="528" t="s">
        <v>2592</v>
      </c>
      <c r="C76" s="573" t="s">
        <v>2593</v>
      </c>
      <c r="D76" s="573" t="s">
        <v>2594</v>
      </c>
      <c r="E76" s="573" t="s">
        <v>2595</v>
      </c>
      <c r="F76" s="573" t="s">
        <v>2596</v>
      </c>
      <c r="G76" s="573" t="s">
        <v>2597</v>
      </c>
      <c r="H76" s="529"/>
      <c r="I76" s="529"/>
      <c r="J76" s="529"/>
      <c r="K76" s="574"/>
      <c r="L76" s="575"/>
      <c r="M76" s="576"/>
      <c r="N76" s="1152"/>
      <c r="O76" s="1152"/>
      <c r="P76" s="2637"/>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3"/>
      <c r="Q77" s="504"/>
    </row>
    <row r="78" spans="1:17" ht="15.75" thickTop="1">
      <c r="A78" s="534"/>
      <c r="B78" s="538" t="s">
        <v>2598</v>
      </c>
      <c r="C78" s="578" t="s">
        <v>2593</v>
      </c>
      <c r="D78" s="578" t="s">
        <v>2594</v>
      </c>
      <c r="E78" s="578" t="s">
        <v>2595</v>
      </c>
      <c r="F78" s="578" t="s">
        <v>2596</v>
      </c>
      <c r="G78" s="578" t="s">
        <v>2597</v>
      </c>
      <c r="H78" s="539"/>
      <c r="I78" s="539"/>
      <c r="J78" s="539"/>
      <c r="K78" s="540"/>
      <c r="L78" s="541"/>
      <c r="M78" s="542"/>
      <c r="N78" s="1152"/>
      <c r="O78" s="1152"/>
      <c r="P78" s="2633"/>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3"/>
      <c r="Q79" s="504"/>
    </row>
    <row r="80" spans="1:17" ht="15.75" thickTop="1">
      <c r="A80" s="534"/>
      <c r="B80" s="538" t="s">
        <v>2599</v>
      </c>
      <c r="C80" s="578" t="s">
        <v>2593</v>
      </c>
      <c r="D80" s="578" t="s">
        <v>2594</v>
      </c>
      <c r="E80" s="578" t="s">
        <v>2595</v>
      </c>
      <c r="F80" s="578" t="s">
        <v>2596</v>
      </c>
      <c r="G80" s="578" t="s">
        <v>2597</v>
      </c>
      <c r="H80" s="539"/>
      <c r="I80" s="539"/>
      <c r="J80" s="539"/>
      <c r="K80" s="540"/>
      <c r="L80" s="541"/>
      <c r="M80" s="542"/>
      <c r="N80" s="1152"/>
      <c r="O80" s="1152"/>
      <c r="P80" s="2633"/>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3"/>
      <c r="Q81" s="504"/>
    </row>
    <row r="82" spans="1:17" ht="15.75" thickTop="1">
      <c r="A82" s="534"/>
      <c r="B82" s="546" t="s">
        <v>2096</v>
      </c>
      <c r="C82" s="539" t="s">
        <v>2600</v>
      </c>
      <c r="D82" s="539" t="s">
        <v>2601</v>
      </c>
      <c r="E82" s="539" t="s">
        <v>2602</v>
      </c>
      <c r="F82" s="539" t="s">
        <v>2603</v>
      </c>
      <c r="G82" s="539" t="s">
        <v>2604</v>
      </c>
      <c r="H82" s="539"/>
      <c r="I82" s="539"/>
      <c r="J82" s="539"/>
      <c r="K82" s="539"/>
      <c r="L82" s="539"/>
      <c r="M82" s="1382"/>
      <c r="N82" s="1153"/>
      <c r="O82" s="1153"/>
      <c r="P82" s="2633"/>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33"/>
      <c r="Q83" s="504"/>
    </row>
    <row r="84" spans="1:17" ht="15.75" thickTop="1">
      <c r="A84" s="534"/>
      <c r="B84" s="538" t="s">
        <v>2605</v>
      </c>
      <c r="C84" s="578" t="s">
        <v>2593</v>
      </c>
      <c r="D84" s="578" t="s">
        <v>2594</v>
      </c>
      <c r="E84" s="578" t="s">
        <v>2595</v>
      </c>
      <c r="F84" s="578" t="s">
        <v>2596</v>
      </c>
      <c r="G84" s="578" t="s">
        <v>2597</v>
      </c>
      <c r="H84" s="539"/>
      <c r="I84" s="539"/>
      <c r="J84" s="539"/>
      <c r="K84" s="540"/>
      <c r="L84" s="541"/>
      <c r="M84" s="542"/>
      <c r="N84" s="1152"/>
      <c r="O84" s="1152"/>
      <c r="P84" s="2633"/>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3"/>
      <c r="Q85" s="504"/>
    </row>
    <row r="86" spans="1:17" s="117" customFormat="1" ht="15.75" thickTop="1">
      <c r="A86" s="579"/>
      <c r="B86" s="538" t="s">
        <v>2606</v>
      </c>
      <c r="C86" s="554"/>
      <c r="D86" s="554"/>
      <c r="E86" s="554"/>
      <c r="F86" s="554"/>
      <c r="G86" s="554"/>
      <c r="H86" s="554"/>
      <c r="I86" s="554"/>
      <c r="J86" s="554"/>
      <c r="K86" s="554"/>
      <c r="L86" s="580"/>
      <c r="M86" s="581"/>
      <c r="N86" s="1151"/>
      <c r="O86" s="1151"/>
      <c r="P86" s="2633"/>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33"/>
      <c r="Q87" s="504"/>
    </row>
    <row r="88" spans="1:17" s="117" customFormat="1" ht="15.75" thickTop="1">
      <c r="A88" s="579"/>
      <c r="B88" s="538" t="s">
        <v>2607</v>
      </c>
      <c r="C88" s="554"/>
      <c r="D88" s="554"/>
      <c r="E88" s="554"/>
      <c r="F88" s="2638"/>
      <c r="G88" s="554"/>
      <c r="H88" s="554"/>
      <c r="I88" s="554"/>
      <c r="J88" s="554"/>
      <c r="K88" s="554"/>
      <c r="L88" s="554"/>
      <c r="M88" s="581"/>
      <c r="N88" s="1151"/>
      <c r="O88" s="1151"/>
      <c r="P88" s="2633"/>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33"/>
      <c r="Q89" s="504"/>
    </row>
    <row r="90" spans="1:17" s="471" customFormat="1" ht="15.75" thickTop="1">
      <c r="A90" s="553"/>
      <c r="B90" s="538">
        <f>B27</f>
        <v>111</v>
      </c>
      <c r="C90" s="554"/>
      <c r="D90" s="554"/>
      <c r="E90" s="554"/>
      <c r="F90" s="554"/>
      <c r="G90" s="554"/>
      <c r="H90" s="555"/>
      <c r="I90" s="555"/>
      <c r="J90" s="555"/>
      <c r="K90" s="555"/>
      <c r="L90" s="556"/>
      <c r="M90" s="557"/>
      <c r="N90" s="1154"/>
      <c r="O90" s="1154"/>
      <c r="P90" s="2634"/>
      <c r="Q90" s="559"/>
    </row>
    <row r="91" spans="1:17" s="471" customFormat="1" ht="15.75" thickBot="1">
      <c r="A91" s="553"/>
      <c r="B91" s="543"/>
      <c r="C91" s="560"/>
      <c r="D91" s="560"/>
      <c r="E91" s="560"/>
      <c r="F91" s="560"/>
      <c r="G91" s="560"/>
      <c r="H91" s="562"/>
      <c r="I91" s="562"/>
      <c r="J91" s="562"/>
      <c r="K91" s="562"/>
      <c r="L91" s="562"/>
      <c r="M91" s="563"/>
      <c r="N91" s="1154"/>
      <c r="O91" s="1154"/>
      <c r="P91" s="2634"/>
      <c r="Q91" s="559"/>
    </row>
    <row r="92" spans="1:17" ht="15.75" thickTop="1">
      <c r="A92" s="534"/>
      <c r="B92" s="538">
        <f>B28</f>
        <v>111</v>
      </c>
      <c r="C92" s="554"/>
      <c r="D92" s="554"/>
      <c r="E92" s="554"/>
      <c r="F92" s="554"/>
      <c r="G92" s="583"/>
      <c r="H92" s="583"/>
      <c r="I92" s="583"/>
      <c r="J92" s="583"/>
      <c r="K92" s="584"/>
      <c r="L92" s="585"/>
      <c r="M92" s="586"/>
      <c r="N92" s="1152"/>
      <c r="O92" s="1152"/>
      <c r="P92" s="2633"/>
      <c r="Q92" s="504"/>
    </row>
    <row r="93" spans="1:17" ht="15.75" thickBot="1">
      <c r="A93" s="534"/>
      <c r="B93" s="543"/>
      <c r="C93" s="560"/>
      <c r="D93" s="536"/>
      <c r="E93" s="536"/>
      <c r="F93" s="536"/>
      <c r="G93" s="536"/>
      <c r="H93" s="536"/>
      <c r="I93" s="536"/>
      <c r="J93" s="536"/>
      <c r="K93" s="536"/>
      <c r="L93" s="536"/>
      <c r="M93" s="537"/>
      <c r="N93" s="1153"/>
      <c r="O93" s="1153"/>
      <c r="P93" s="2633"/>
      <c r="Q93" s="504"/>
    </row>
    <row r="94" spans="1:17" ht="15.75" thickTop="1">
      <c r="A94" s="534"/>
      <c r="B94" s="538">
        <f>B29</f>
        <v>111</v>
      </c>
      <c r="C94" s="554"/>
      <c r="D94" s="554"/>
      <c r="E94" s="554"/>
      <c r="F94" s="554"/>
      <c r="G94" s="583"/>
      <c r="H94" s="583"/>
      <c r="I94" s="583"/>
      <c r="J94" s="583"/>
      <c r="K94" s="584"/>
      <c r="L94" s="585"/>
      <c r="M94" s="586"/>
      <c r="N94" s="1152"/>
      <c r="O94" s="1152"/>
      <c r="P94" s="2633"/>
      <c r="Q94" s="504"/>
    </row>
    <row r="95" spans="1:17" ht="15.75" thickBot="1">
      <c r="A95" s="534"/>
      <c r="B95" s="543"/>
      <c r="C95" s="560"/>
      <c r="D95" s="560"/>
      <c r="E95" s="560"/>
      <c r="F95" s="560"/>
      <c r="G95" s="536"/>
      <c r="H95" s="536"/>
      <c r="I95" s="536"/>
      <c r="J95" s="536"/>
      <c r="K95" s="536"/>
      <c r="L95" s="536"/>
      <c r="M95" s="537"/>
      <c r="N95" s="1153"/>
      <c r="O95" s="1153"/>
      <c r="P95" s="2633"/>
      <c r="Q95" s="504"/>
    </row>
    <row r="96" spans="1:17" ht="15.75" thickTop="1">
      <c r="A96" s="534"/>
      <c r="B96" s="538">
        <f>B30</f>
        <v>111</v>
      </c>
      <c r="C96" s="554"/>
      <c r="D96" s="554"/>
      <c r="E96" s="554"/>
      <c r="F96" s="554"/>
      <c r="G96" s="583"/>
      <c r="H96" s="583"/>
      <c r="I96" s="583"/>
      <c r="J96" s="583"/>
      <c r="K96" s="584"/>
      <c r="L96" s="585"/>
      <c r="M96" s="586"/>
      <c r="N96" s="1152"/>
      <c r="O96" s="1152"/>
      <c r="P96" s="2633"/>
      <c r="Q96" s="504"/>
    </row>
    <row r="97" spans="1:17" ht="15.75" thickBot="1">
      <c r="A97" s="534"/>
      <c r="B97" s="543"/>
      <c r="C97" s="570"/>
      <c r="D97" s="570"/>
      <c r="E97" s="570"/>
      <c r="F97" s="570"/>
      <c r="G97" s="536"/>
      <c r="H97" s="536"/>
      <c r="I97" s="536"/>
      <c r="J97" s="536"/>
      <c r="K97" s="536"/>
      <c r="L97" s="536"/>
      <c r="M97" s="537"/>
      <c r="N97" s="1153"/>
      <c r="O97" s="1153"/>
      <c r="P97" s="2633"/>
      <c r="Q97" s="504"/>
    </row>
    <row r="98" spans="1:17" ht="15.75" thickTop="1">
      <c r="A98" s="534"/>
      <c r="B98" s="546">
        <f>B31</f>
        <v>111</v>
      </c>
      <c r="C98" s="587"/>
      <c r="D98" s="587"/>
      <c r="E98" s="587"/>
      <c r="F98" s="587"/>
      <c r="G98" s="587"/>
      <c r="H98" s="587"/>
      <c r="I98" s="587"/>
      <c r="J98" s="587"/>
      <c r="K98" s="588"/>
      <c r="L98" s="589"/>
      <c r="M98" s="590"/>
      <c r="N98" s="1152"/>
      <c r="O98" s="1152"/>
      <c r="P98" s="2633"/>
      <c r="Q98" s="504"/>
    </row>
    <row r="99" spans="1:17" ht="15.75" thickBot="1">
      <c r="A99" s="2639"/>
      <c r="B99" s="569"/>
      <c r="C99" s="591"/>
      <c r="D99" s="591"/>
      <c r="E99" s="591"/>
      <c r="F99" s="591"/>
      <c r="G99" s="591"/>
      <c r="H99" s="591"/>
      <c r="I99" s="591"/>
      <c r="J99" s="591"/>
      <c r="K99" s="591"/>
      <c r="L99" s="591"/>
      <c r="M99" s="592"/>
      <c r="N99" s="1153"/>
      <c r="O99" s="1153"/>
      <c r="P99" s="2633"/>
      <c r="Q99" s="504"/>
    </row>
    <row r="100" spans="1:17">
      <c r="A100" s="527" t="s">
        <v>2559</v>
      </c>
      <c r="B100" s="528" t="s">
        <v>2608</v>
      </c>
      <c r="C100" s="530"/>
      <c r="D100" s="530"/>
      <c r="E100" s="530"/>
      <c r="F100" s="530"/>
      <c r="G100" s="530"/>
      <c r="H100" s="530"/>
      <c r="I100" s="530"/>
      <c r="J100" s="530"/>
      <c r="K100" s="531"/>
      <c r="L100" s="532"/>
      <c r="M100" s="533"/>
      <c r="N100" s="1152"/>
      <c r="O100" s="1152"/>
      <c r="P100" s="2633"/>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33"/>
      <c r="Q101" s="504"/>
    </row>
    <row r="102" spans="1:17" ht="15.75" thickTop="1">
      <c r="A102" s="534"/>
      <c r="B102" s="538" t="s">
        <v>2609</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33"/>
      <c r="Q102" s="504"/>
    </row>
    <row r="103" spans="1:17" s="471" customFormat="1">
      <c r="A103" s="593"/>
      <c r="B103" s="594"/>
      <c r="C103" s="595"/>
      <c r="D103" s="595"/>
      <c r="E103" s="595"/>
      <c r="F103" s="595"/>
      <c r="G103" s="595"/>
      <c r="H103" s="595"/>
      <c r="I103" s="595"/>
      <c r="J103" s="596"/>
      <c r="K103" s="596"/>
      <c r="L103" s="597"/>
      <c r="M103" s="598"/>
      <c r="N103" s="1154"/>
      <c r="O103" s="1154"/>
      <c r="P103" s="2634"/>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34"/>
      <c r="Q104" s="559"/>
    </row>
    <row r="105" spans="1:17" ht="15" thickTop="1">
      <c r="A105" s="599"/>
      <c r="B105" s="538" t="s">
        <v>2610</v>
      </c>
      <c r="C105" s="554"/>
      <c r="D105" s="554"/>
      <c r="E105" s="583"/>
      <c r="F105" s="583"/>
      <c r="G105" s="583"/>
      <c r="H105" s="583"/>
      <c r="I105" s="583"/>
      <c r="J105" s="583"/>
      <c r="K105" s="584"/>
      <c r="L105" s="585"/>
      <c r="M105" s="586"/>
      <c r="N105" s="1152"/>
      <c r="O105" s="1152"/>
      <c r="P105" s="2633"/>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33"/>
      <c r="Q106" s="504"/>
    </row>
    <row r="107" spans="1:17" ht="15" thickTop="1">
      <c r="A107" s="599"/>
      <c r="B107" s="538" t="s">
        <v>2611</v>
      </c>
      <c r="C107" s="583"/>
      <c r="D107" s="583"/>
      <c r="E107" s="583"/>
      <c r="F107" s="583"/>
      <c r="G107" s="583"/>
      <c r="H107" s="583"/>
      <c r="I107" s="583"/>
      <c r="J107" s="583"/>
      <c r="K107" s="584"/>
      <c r="L107" s="585"/>
      <c r="M107" s="586"/>
      <c r="N107" s="1152"/>
      <c r="O107" s="1152"/>
      <c r="P107" s="2633"/>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33"/>
      <c r="Q108" s="504"/>
    </row>
    <row r="109" spans="1:17" ht="15" thickTop="1">
      <c r="A109" s="599"/>
      <c r="B109" s="538" t="s">
        <v>2612</v>
      </c>
      <c r="C109" s="554"/>
      <c r="D109" s="554"/>
      <c r="E109" s="554"/>
      <c r="F109" s="583"/>
      <c r="G109" s="583"/>
      <c r="H109" s="583"/>
      <c r="I109" s="583"/>
      <c r="J109" s="583"/>
      <c r="K109" s="584"/>
      <c r="L109" s="585"/>
      <c r="M109" s="586"/>
      <c r="N109" s="1152"/>
      <c r="O109" s="1152"/>
      <c r="P109" s="2633"/>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33"/>
      <c r="Q110" s="504"/>
    </row>
    <row r="111" spans="1:17" s="471" customFormat="1" ht="15" thickTop="1">
      <c r="A111" s="593"/>
      <c r="B111" s="538" t="s">
        <v>1993</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34"/>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34"/>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34"/>
      <c r="Q113" s="559"/>
    </row>
    <row r="114" spans="1:17" ht="15" thickTop="1">
      <c r="A114" s="599"/>
      <c r="B114" s="538" t="s">
        <v>2613</v>
      </c>
      <c r="C114" s="554"/>
      <c r="D114" s="554"/>
      <c r="E114" s="583"/>
      <c r="F114" s="583"/>
      <c r="G114" s="583"/>
      <c r="H114" s="583"/>
      <c r="I114" s="583"/>
      <c r="J114" s="583"/>
      <c r="K114" s="584"/>
      <c r="L114" s="585"/>
      <c r="M114" s="586"/>
      <c r="N114" s="1152"/>
      <c r="O114" s="1152"/>
      <c r="P114" s="2633"/>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33"/>
      <c r="Q115" s="504"/>
    </row>
    <row r="116" spans="1:17" ht="15" thickTop="1">
      <c r="A116" s="599"/>
      <c r="B116" s="538" t="s">
        <v>2614</v>
      </c>
      <c r="C116" s="554"/>
      <c r="D116" s="554"/>
      <c r="E116" s="554"/>
      <c r="F116" s="554"/>
      <c r="G116" s="554"/>
      <c r="H116" s="583"/>
      <c r="I116" s="583"/>
      <c r="J116" s="583"/>
      <c r="K116" s="584"/>
      <c r="L116" s="585"/>
      <c r="M116" s="586"/>
      <c r="N116" s="1152"/>
      <c r="O116" s="1152"/>
      <c r="P116" s="2633"/>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3"/>
      <c r="Q117" s="504"/>
    </row>
    <row r="118" spans="1:17" ht="15" thickTop="1">
      <c r="A118" s="599"/>
      <c r="B118" s="538" t="s">
        <v>2615</v>
      </c>
      <c r="C118" s="583"/>
      <c r="D118" s="583"/>
      <c r="E118" s="583"/>
      <c r="F118" s="583"/>
      <c r="G118" s="583"/>
      <c r="H118" s="583"/>
      <c r="I118" s="583"/>
      <c r="J118" s="583"/>
      <c r="K118" s="584"/>
      <c r="L118" s="585"/>
      <c r="M118" s="586"/>
      <c r="N118" s="1152"/>
      <c r="O118" s="1152"/>
      <c r="P118" s="2633"/>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33"/>
      <c r="Q119" s="504"/>
    </row>
    <row r="120" spans="1:17" s="471" customFormat="1" ht="28.5" thickTop="1">
      <c r="A120" s="593"/>
      <c r="B120" s="538" t="s">
        <v>2570</v>
      </c>
      <c r="C120" s="554"/>
      <c r="D120" s="554"/>
      <c r="E120" s="554"/>
      <c r="F120" s="554"/>
      <c r="G120" s="554"/>
      <c r="H120" s="554"/>
      <c r="I120" s="554"/>
      <c r="J120" s="554"/>
      <c r="K120" s="554"/>
      <c r="L120" s="580"/>
      <c r="M120" s="581"/>
      <c r="N120" s="1154"/>
      <c r="O120" s="1154"/>
      <c r="P120" s="2634"/>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34"/>
      <c r="Q121" s="559"/>
    </row>
    <row r="122" spans="1:17" ht="15" thickTop="1">
      <c r="A122" s="599"/>
      <c r="B122" s="538" t="s">
        <v>2616</v>
      </c>
      <c r="C122" s="554"/>
      <c r="D122" s="554"/>
      <c r="E122" s="554"/>
      <c r="F122" s="583"/>
      <c r="G122" s="583"/>
      <c r="H122" s="583"/>
      <c r="I122" s="583"/>
      <c r="J122" s="583"/>
      <c r="K122" s="584"/>
      <c r="L122" s="585"/>
      <c r="M122" s="586"/>
      <c r="N122" s="1152"/>
      <c r="O122" s="1152"/>
      <c r="P122" s="2633"/>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33"/>
      <c r="Q123" s="504"/>
    </row>
    <row r="124" spans="1:17" ht="15" thickTop="1">
      <c r="A124" s="599"/>
      <c r="B124" s="538" t="s">
        <v>2617</v>
      </c>
      <c r="C124" s="578" t="s">
        <v>2593</v>
      </c>
      <c r="D124" s="578" t="s">
        <v>2594</v>
      </c>
      <c r="E124" s="578" t="s">
        <v>2595</v>
      </c>
      <c r="F124" s="578" t="s">
        <v>2596</v>
      </c>
      <c r="G124" s="578" t="s">
        <v>2597</v>
      </c>
      <c r="H124" s="539"/>
      <c r="I124" s="539"/>
      <c r="J124" s="539"/>
      <c r="K124" s="540"/>
      <c r="L124" s="541"/>
      <c r="M124" s="542"/>
      <c r="N124" s="1152"/>
      <c r="O124" s="1152"/>
      <c r="P124" s="2634"/>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3"/>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4"/>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4"/>
      <c r="Q127" s="559"/>
    </row>
    <row r="128" spans="1:17" ht="15" thickTop="1">
      <c r="A128" s="599"/>
      <c r="B128" s="538">
        <f>B45</f>
        <v>111</v>
      </c>
      <c r="C128" s="554"/>
      <c r="D128" s="554"/>
      <c r="E128" s="554"/>
      <c r="F128" s="554"/>
      <c r="G128" s="583"/>
      <c r="H128" s="583"/>
      <c r="I128" s="583"/>
      <c r="J128" s="583"/>
      <c r="K128" s="584"/>
      <c r="L128" s="585"/>
      <c r="M128" s="586"/>
      <c r="N128" s="1152"/>
      <c r="O128" s="1152"/>
      <c r="P128" s="2633"/>
      <c r="Q128" s="504"/>
    </row>
    <row r="129" spans="1:17" ht="15.75" thickBot="1">
      <c r="A129" s="534"/>
      <c r="B129" s="543"/>
      <c r="C129" s="560"/>
      <c r="D129" s="560"/>
      <c r="E129" s="560"/>
      <c r="F129" s="560"/>
      <c r="G129" s="536"/>
      <c r="H129" s="536"/>
      <c r="I129" s="536"/>
      <c r="J129" s="536"/>
      <c r="K129" s="536"/>
      <c r="L129" s="536"/>
      <c r="M129" s="537"/>
      <c r="N129" s="1153"/>
      <c r="O129" s="1153"/>
      <c r="P129" s="2633"/>
      <c r="Q129" s="504"/>
    </row>
    <row r="130" spans="1:17" ht="15" thickTop="1">
      <c r="A130" s="599"/>
      <c r="B130" s="546">
        <f>B46</f>
        <v>111</v>
      </c>
      <c r="C130" s="554"/>
      <c r="D130" s="554"/>
      <c r="E130" s="554"/>
      <c r="F130" s="554"/>
      <c r="G130" s="587"/>
      <c r="H130" s="587"/>
      <c r="I130" s="587"/>
      <c r="J130" s="587"/>
      <c r="K130" s="523"/>
      <c r="L130" s="524"/>
      <c r="M130" s="590"/>
      <c r="N130" s="1152"/>
      <c r="O130" s="1152"/>
      <c r="P130" s="2633"/>
      <c r="Q130" s="504"/>
    </row>
    <row r="131" spans="1:17" ht="15.75" thickBot="1">
      <c r="A131" s="2639"/>
      <c r="B131" s="569"/>
      <c r="C131" s="570"/>
      <c r="D131" s="570"/>
      <c r="E131" s="570"/>
      <c r="F131" s="570"/>
      <c r="G131" s="591"/>
      <c r="H131" s="591"/>
      <c r="I131" s="591"/>
      <c r="J131" s="591"/>
      <c r="K131" s="591"/>
      <c r="L131" s="591"/>
      <c r="M131" s="592"/>
      <c r="N131" s="1153"/>
      <c r="O131" s="1153"/>
      <c r="P131" s="2633"/>
      <c r="Q131" s="504"/>
    </row>
    <row r="136" spans="1:17" ht="15" thickBot="1">
      <c r="B136" s="2640" t="s">
        <v>2618</v>
      </c>
    </row>
    <row r="137" spans="1:17" ht="15">
      <c r="B137" s="2641" t="s">
        <v>2619</v>
      </c>
      <c r="C137" s="2642"/>
      <c r="D137" s="2642"/>
      <c r="E137" s="2642"/>
      <c r="F137" s="2642"/>
      <c r="G137" s="2643"/>
      <c r="H137" s="2644"/>
      <c r="I137" s="2645" t="s">
        <v>2620</v>
      </c>
      <c r="J137" s="2642"/>
      <c r="K137" s="2646"/>
    </row>
    <row r="138" spans="1:17" ht="15">
      <c r="B138" s="2647"/>
      <c r="C138" s="146" t="s">
        <v>2621</v>
      </c>
      <c r="D138" s="146" t="s">
        <v>2622</v>
      </c>
      <c r="E138" s="2648" t="s">
        <v>2623</v>
      </c>
      <c r="F138" s="2649" t="s">
        <v>2624</v>
      </c>
      <c r="G138" s="146" t="s">
        <v>2622</v>
      </c>
      <c r="H138" s="147" t="s">
        <v>2623</v>
      </c>
      <c r="I138" s="2650"/>
      <c r="J138" s="146" t="s">
        <v>2625</v>
      </c>
      <c r="K138" s="147" t="s">
        <v>2626</v>
      </c>
    </row>
    <row r="139" spans="1:17" ht="15">
      <c r="B139" s="1084">
        <v>6</v>
      </c>
      <c r="C139" s="1085">
        <v>96</v>
      </c>
      <c r="D139" s="2651" t="s">
        <v>2627</v>
      </c>
      <c r="E139" s="1086">
        <v>100</v>
      </c>
      <c r="F139" s="1087">
        <v>102.5</v>
      </c>
      <c r="G139" s="2651" t="s">
        <v>2627</v>
      </c>
      <c r="H139" s="1088">
        <v>105</v>
      </c>
      <c r="I139" s="2652" t="s">
        <v>2628</v>
      </c>
      <c r="J139" s="1085">
        <v>20</v>
      </c>
      <c r="K139" s="1089">
        <f>C145/(J139-2)</f>
        <v>4.0555555555555553E-3</v>
      </c>
    </row>
    <row r="140" spans="1:17" ht="15">
      <c r="B140" s="1090">
        <v>5</v>
      </c>
      <c r="C140" s="1091">
        <v>100</v>
      </c>
      <c r="D140" s="1091"/>
      <c r="E140" s="1092"/>
      <c r="F140" s="1093">
        <v>102</v>
      </c>
      <c r="G140" s="1091"/>
      <c r="H140" s="1094"/>
      <c r="I140" s="2653" t="s">
        <v>2629</v>
      </c>
      <c r="J140" s="315">
        <f>ROUNDUP((J139-1)/2,0)</f>
        <v>10</v>
      </c>
      <c r="K140" s="1095">
        <v>100</v>
      </c>
    </row>
    <row r="141" spans="1:17" ht="15">
      <c r="B141" s="1090">
        <v>4</v>
      </c>
      <c r="C141" s="1091">
        <v>102</v>
      </c>
      <c r="D141" s="1091"/>
      <c r="E141" s="1092"/>
      <c r="F141" s="1093">
        <v>101.5</v>
      </c>
      <c r="G141" s="1091"/>
      <c r="H141" s="1094"/>
      <c r="I141" s="2653" t="s">
        <v>2630</v>
      </c>
      <c r="J141" s="315">
        <v>1</v>
      </c>
      <c r="K141" s="1096">
        <f>ROUND(100+(J141-J140)*K139*100,1)</f>
        <v>96.4</v>
      </c>
    </row>
    <row r="142" spans="1:17" ht="15">
      <c r="B142" s="1090">
        <v>3</v>
      </c>
      <c r="C142" s="1091">
        <v>103</v>
      </c>
      <c r="D142" s="1091"/>
      <c r="E142" s="1092"/>
      <c r="F142" s="1093">
        <v>101</v>
      </c>
      <c r="G142" s="1091"/>
      <c r="H142" s="1094"/>
      <c r="I142" s="2653" t="s">
        <v>2631</v>
      </c>
      <c r="J142" s="315">
        <f>J139</f>
        <v>20</v>
      </c>
      <c r="K142" s="1097">
        <v>95</v>
      </c>
    </row>
    <row r="143" spans="1:17" ht="15">
      <c r="B143" s="1090">
        <v>2</v>
      </c>
      <c r="C143" s="1091">
        <v>100</v>
      </c>
      <c r="D143" s="1091"/>
      <c r="E143" s="1092"/>
      <c r="F143" s="1093">
        <v>100.5</v>
      </c>
      <c r="G143" s="1091"/>
      <c r="H143" s="1094"/>
      <c r="I143" s="2653" t="s">
        <v>2632</v>
      </c>
      <c r="J143" s="1091">
        <v>15</v>
      </c>
      <c r="K143" s="1096">
        <f>ROUND(100+(J143-J140)*K139*100,1)</f>
        <v>102</v>
      </c>
    </row>
    <row r="144" spans="1:17" ht="15">
      <c r="B144" s="1090">
        <v>1</v>
      </c>
      <c r="C144" s="1091">
        <v>98</v>
      </c>
      <c r="D144" s="2654" t="s">
        <v>2633</v>
      </c>
      <c r="E144" s="1092">
        <v>102</v>
      </c>
      <c r="F144" s="1098">
        <v>100</v>
      </c>
      <c r="G144" s="2654" t="s">
        <v>2633</v>
      </c>
      <c r="H144" s="1094">
        <v>105</v>
      </c>
      <c r="I144" s="2653" t="s">
        <v>2632</v>
      </c>
      <c r="J144" s="1091">
        <v>18</v>
      </c>
      <c r="K144" s="1096">
        <f>ROUND(100+(J144-J140)*K139*100,1)</f>
        <v>103.2</v>
      </c>
    </row>
    <row r="145" spans="2:11" ht="15.75" thickBot="1">
      <c r="B145" s="2655" t="s">
        <v>2634</v>
      </c>
      <c r="C145" s="1099">
        <f>ROUND(MAX(C139:C144)/MIN(C139:C144)-1,3)</f>
        <v>7.2999999999999995E-2</v>
      </c>
      <c r="D145" s="1100"/>
      <c r="E145" s="1100"/>
      <c r="F145" s="2656" t="s">
        <v>2635</v>
      </c>
      <c r="G145" s="2657"/>
      <c r="H145" s="2658"/>
      <c r="I145" s="2659" t="s">
        <v>2632</v>
      </c>
      <c r="J145" s="1101">
        <v>8</v>
      </c>
      <c r="K145" s="1102">
        <f>ROUND(100+(J145-J140)*K139*100,1)</f>
        <v>99.2</v>
      </c>
    </row>
    <row r="147" spans="2:11">
      <c r="B147" s="2640" t="s">
        <v>2636</v>
      </c>
    </row>
    <row r="148" spans="2:11">
      <c r="B148" s="2640" t="s">
        <v>2637</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7" type="noConversion"/>
  <conditionalFormatting sqref="F52 H52 J52">
    <cfRule type="containsText" dxfId="117" priority="15" stopIfTrue="1" operator="containsText" text="超过">
      <formula>NOT(ISERROR(SEARCH("超过",F52)))</formula>
    </cfRule>
  </conditionalFormatting>
  <conditionalFormatting sqref="J54">
    <cfRule type="containsText" dxfId="116" priority="14" stopIfTrue="1" operator="containsText" text="超过">
      <formula>NOT(ISERROR(SEARCH("超过",J54)))</formula>
    </cfRule>
  </conditionalFormatting>
  <conditionalFormatting sqref="H54">
    <cfRule type="containsText" dxfId="115" priority="13" stopIfTrue="1" operator="containsText" text="超过">
      <formula>NOT(ISERROR(SEARCH("超过",H54)))</formula>
    </cfRule>
  </conditionalFormatting>
  <conditionalFormatting sqref="F54">
    <cfRule type="containsText" dxfId="114" priority="12" stopIfTrue="1" operator="containsText" text="超过">
      <formula>NOT(ISERROR(SEARCH("超过",F54)))</formula>
    </cfRule>
  </conditionalFormatting>
  <conditionalFormatting sqref="F53 H53 J53">
    <cfRule type="containsText" dxfId="113" priority="11" stopIfTrue="1" operator="containsText" text="超过">
      <formula>NOT(ISERROR(SEARCH("超过",F53)))</formula>
    </cfRule>
  </conditionalFormatting>
  <conditionalFormatting sqref="E52">
    <cfRule type="expression" dxfId="112" priority="10" stopIfTrue="1">
      <formula>$F$52="超过30%"</formula>
    </cfRule>
  </conditionalFormatting>
  <conditionalFormatting sqref="G54">
    <cfRule type="expression" dxfId="111" priority="8" stopIfTrue="1">
      <formula>$H$54="超过30%"</formula>
    </cfRule>
  </conditionalFormatting>
  <conditionalFormatting sqref="E53">
    <cfRule type="expression" dxfId="110" priority="7" stopIfTrue="1">
      <formula>$F$53="超过20%"</formula>
    </cfRule>
  </conditionalFormatting>
  <conditionalFormatting sqref="E54">
    <cfRule type="expression" dxfId="109" priority="6" stopIfTrue="1">
      <formula>$F$54="超过30%"</formula>
    </cfRule>
  </conditionalFormatting>
  <conditionalFormatting sqref="G52">
    <cfRule type="expression" dxfId="108" priority="5" stopIfTrue="1">
      <formula>$H$52="超过30%"</formula>
    </cfRule>
  </conditionalFormatting>
  <conditionalFormatting sqref="G53">
    <cfRule type="expression" dxfId="107" priority="4" stopIfTrue="1">
      <formula>$H$53="超过20%"</formula>
    </cfRule>
  </conditionalFormatting>
  <conditionalFormatting sqref="I52">
    <cfRule type="expression" dxfId="106" priority="3" stopIfTrue="1">
      <formula>$J$52="超过30%"</formula>
    </cfRule>
  </conditionalFormatting>
  <conditionalFormatting sqref="I53">
    <cfRule type="expression" dxfId="105" priority="2" stopIfTrue="1">
      <formula>$J$53="超过20%"</formula>
    </cfRule>
  </conditionalFormatting>
  <conditionalFormatting sqref="I54">
    <cfRule type="expression" dxfId="10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J33" sqref="J3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7"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2524</v>
      </c>
      <c r="B1" s="2585" t="s">
        <v>2638</v>
      </c>
      <c r="C1" s="1634" t="s">
        <v>2526</v>
      </c>
      <c r="D1" s="1621"/>
      <c r="E1" s="2660"/>
      <c r="F1" s="2587"/>
      <c r="G1" s="1631" t="s">
        <v>2639</v>
      </c>
      <c r="H1" s="1630"/>
      <c r="I1" s="1630"/>
      <c r="J1" s="1630"/>
      <c r="K1" s="1632"/>
      <c r="L1" s="1633"/>
      <c r="M1" s="1634"/>
      <c r="N1" s="1634"/>
      <c r="O1" s="1634"/>
      <c r="P1" s="2661"/>
      <c r="Q1" s="2662"/>
      <c r="R1" s="2662"/>
      <c r="S1" s="2662"/>
      <c r="T1" s="2662"/>
      <c r="U1" s="2662"/>
      <c r="V1" s="2662"/>
      <c r="W1" s="2662"/>
      <c r="X1" s="2662"/>
      <c r="Y1" s="2662"/>
      <c r="Z1" s="2662"/>
      <c r="AA1" s="2662"/>
      <c r="AB1" s="2662"/>
      <c r="AC1" s="2663"/>
    </row>
    <row r="2" spans="1:29" s="398" customFormat="1" ht="28.5" customHeight="1" thickTop="1">
      <c r="A2" s="1617" t="s">
        <v>2323</v>
      </c>
      <c r="B2" s="1418" t="e">
        <f ca="1">IF(C2="——",ROUND(C49*D3/10000,0),ROUND(C49*D3/10000,0)-D2)</f>
        <v>#DIV/0!</v>
      </c>
      <c r="C2" s="2589"/>
      <c r="D2" s="1365" t="e">
        <f ca="1">SUMIF(INDIRECT("'"&amp;F2&amp;"'"&amp;"!A:A"),"承租人权益价值",INDIRECT("'"&amp;F2&amp;"'"&amp;"!c:c"))</f>
        <v>#REF!</v>
      </c>
      <c r="E2" s="2590" t="s">
        <v>2324</v>
      </c>
      <c r="F2" s="2591"/>
      <c r="G2" s="1125"/>
      <c r="H2" s="1125"/>
      <c r="I2" s="1125"/>
      <c r="J2" s="1125"/>
      <c r="K2" s="1125"/>
      <c r="L2" s="1128"/>
      <c r="M2" s="1129"/>
      <c r="N2" s="1129"/>
      <c r="O2" s="1129"/>
      <c r="P2" s="2664"/>
      <c r="Q2" s="1129"/>
      <c r="R2" s="1129"/>
      <c r="S2" s="1129"/>
      <c r="T2" s="1129"/>
      <c r="U2" s="1129"/>
      <c r="V2" s="1129"/>
      <c r="W2" s="1129"/>
      <c r="X2" s="1129"/>
      <c r="Y2" s="1129"/>
      <c r="Z2" s="1129"/>
      <c r="AA2" s="1129"/>
      <c r="AB2" s="1129"/>
      <c r="AC2" s="2665"/>
    </row>
    <row r="3" spans="1:29" s="398" customFormat="1" ht="28.5" customHeight="1" thickBot="1">
      <c r="A3" s="247" t="s">
        <v>2325</v>
      </c>
      <c r="B3" s="609" t="e">
        <f ca="1">IF(C2="——",C49,ROUND(B2*10000/D3,0))</f>
        <v>#DIV/0!</v>
      </c>
      <c r="C3" s="400" t="s">
        <v>2640</v>
      </c>
      <c r="D3" s="399">
        <f>IF(D1="",'数据-汇总表'!E3,SUMIF('数据-汇总表'!$C19:$C33,D1,'数据-汇总表'!$E19:$E33))</f>
        <v>27202.3</v>
      </c>
      <c r="E3" s="2666"/>
      <c r="F3" s="1126"/>
      <c r="G3" s="1125"/>
      <c r="H3" s="1125"/>
      <c r="I3" s="1125"/>
      <c r="J3" s="1125"/>
      <c r="K3" s="1127"/>
      <c r="L3" s="1128"/>
      <c r="M3" s="1129"/>
      <c r="N3" s="1129"/>
      <c r="O3" s="1129"/>
      <c r="P3" s="2664"/>
      <c r="Q3" s="1129"/>
      <c r="R3" s="1129"/>
      <c r="S3" s="1129"/>
      <c r="T3" s="1129"/>
      <c r="U3" s="1129"/>
      <c r="V3" s="1129"/>
      <c r="W3" s="1129"/>
      <c r="X3" s="1129"/>
      <c r="Y3" s="1129"/>
      <c r="Z3" s="1129"/>
      <c r="AA3" s="1129"/>
      <c r="AB3" s="1129"/>
      <c r="AC3" s="2666"/>
    </row>
    <row r="4" spans="1:29" ht="15">
      <c r="A4" s="401" t="s">
        <v>2641</v>
      </c>
      <c r="B4" s="402"/>
      <c r="C4" s="3280" t="s">
        <v>2642</v>
      </c>
      <c r="D4" s="3281"/>
      <c r="E4" s="3282" t="s">
        <v>2643</v>
      </c>
      <c r="F4" s="3283"/>
      <c r="G4" s="3280" t="s">
        <v>2644</v>
      </c>
      <c r="H4" s="3281"/>
      <c r="I4" s="3280" t="s">
        <v>2645</v>
      </c>
      <c r="J4" s="3281"/>
      <c r="K4" s="610" t="s">
        <v>2646</v>
      </c>
      <c r="L4" s="1130"/>
      <c r="M4" s="1131"/>
      <c r="N4" s="1131"/>
      <c r="O4" s="1131"/>
      <c r="P4" s="3284" t="s">
        <v>2647</v>
      </c>
      <c r="Q4" s="3285"/>
      <c r="R4" s="3290" t="s">
        <v>2643</v>
      </c>
      <c r="S4" s="3291"/>
      <c r="T4" s="3290" t="s">
        <v>2644</v>
      </c>
      <c r="U4" s="3291"/>
      <c r="V4" s="3296" t="s">
        <v>2645</v>
      </c>
      <c r="W4" s="3296"/>
      <c r="X4" s="1813"/>
      <c r="Y4" s="3290" t="s">
        <v>2647</v>
      </c>
      <c r="Z4" s="3291"/>
      <c r="AA4" s="3277" t="s">
        <v>2643</v>
      </c>
      <c r="AB4" s="3296" t="s">
        <v>2644</v>
      </c>
      <c r="AC4" s="3277" t="s">
        <v>2645</v>
      </c>
    </row>
    <row r="5" spans="1:29" ht="15">
      <c r="A5" s="404"/>
      <c r="B5" s="405"/>
      <c r="C5" s="3299" t="s">
        <v>2538</v>
      </c>
      <c r="D5" s="3300"/>
      <c r="E5" s="3306" t="s">
        <v>2539</v>
      </c>
      <c r="F5" s="3307"/>
      <c r="G5" s="3299" t="s">
        <v>2540</v>
      </c>
      <c r="H5" s="3300"/>
      <c r="I5" s="3299" t="s">
        <v>2541</v>
      </c>
      <c r="J5" s="3300"/>
      <c r="K5" s="610"/>
      <c r="L5" s="1130"/>
      <c r="M5" s="1131"/>
      <c r="N5" s="1131"/>
      <c r="O5" s="1131"/>
      <c r="P5" s="3286"/>
      <c r="Q5" s="3287"/>
      <c r="R5" s="3292"/>
      <c r="S5" s="3293"/>
      <c r="T5" s="3292"/>
      <c r="U5" s="3293"/>
      <c r="V5" s="3296"/>
      <c r="W5" s="3296"/>
      <c r="X5" s="1813"/>
      <c r="Y5" s="3292"/>
      <c r="Z5" s="3293"/>
      <c r="AA5" s="3278"/>
      <c r="AB5" s="3296"/>
      <c r="AC5" s="3278"/>
    </row>
    <row r="6" spans="1:29" ht="15.75" thickBot="1">
      <c r="A6" s="406"/>
      <c r="B6" s="407"/>
      <c r="C6" s="3297" t="s">
        <v>2542</v>
      </c>
      <c r="D6" s="3298"/>
      <c r="E6" s="3304" t="s">
        <v>2542</v>
      </c>
      <c r="F6" s="3305"/>
      <c r="G6" s="3297" t="s">
        <v>2542</v>
      </c>
      <c r="H6" s="3298"/>
      <c r="I6" s="3297" t="s">
        <v>2542</v>
      </c>
      <c r="J6" s="3298"/>
      <c r="K6" s="610" t="s">
        <v>2543</v>
      </c>
      <c r="L6" s="1130"/>
      <c r="M6" s="1131"/>
      <c r="N6" s="1131"/>
      <c r="O6" s="1131"/>
      <c r="P6" s="3288"/>
      <c r="Q6" s="3289"/>
      <c r="R6" s="3292"/>
      <c r="S6" s="3293"/>
      <c r="T6" s="3294"/>
      <c r="U6" s="3295"/>
      <c r="V6" s="3296"/>
      <c r="W6" s="3296"/>
      <c r="X6" s="1813"/>
      <c r="Y6" s="3294"/>
      <c r="Z6" s="3295"/>
      <c r="AA6" s="3279"/>
      <c r="AB6" s="3296"/>
      <c r="AC6" s="3279"/>
    </row>
    <row r="7" spans="1:29" s="117" customFormat="1" ht="15.75" thickBot="1">
      <c r="A7" s="408" t="s">
        <v>2544</v>
      </c>
      <c r="B7" s="409"/>
      <c r="C7" s="410">
        <f>'数据-取费表'!B2</f>
        <v>43592</v>
      </c>
      <c r="D7" s="411">
        <v>100</v>
      </c>
      <c r="E7" s="412"/>
      <c r="F7" s="413">
        <f>SUMIF(58:58,YEAR(E7)&amp;"-"&amp;MONTH(E7),59:59)</f>
        <v>0</v>
      </c>
      <c r="G7" s="412"/>
      <c r="H7" s="411">
        <f>SUMIF(58:58,YEAR(G7)&amp;"-"&amp;MONTH(G7),59:59)</f>
        <v>0</v>
      </c>
      <c r="I7" s="412"/>
      <c r="J7" s="411">
        <f>SUMIF(58:58,YEAR(I7)&amp;"-"&amp;MONTH(I7),59:59)</f>
        <v>0</v>
      </c>
      <c r="K7" s="611"/>
      <c r="L7" s="1132"/>
      <c r="M7" s="1133"/>
      <c r="N7" s="1133"/>
      <c r="O7" s="1133"/>
      <c r="P7" s="3301" t="s">
        <v>2545</v>
      </c>
      <c r="Q7" s="3303"/>
      <c r="R7" s="770" t="s">
        <v>17</v>
      </c>
      <c r="S7" s="771">
        <f t="shared" ref="S7:S15" si="0">F7</f>
        <v>0</v>
      </c>
      <c r="T7" s="770" t="s">
        <v>17</v>
      </c>
      <c r="U7" s="771">
        <f t="shared" ref="U7:U15" si="1">H7</f>
        <v>0</v>
      </c>
      <c r="V7" s="770" t="s">
        <v>17</v>
      </c>
      <c r="W7" s="771">
        <f t="shared" ref="W7:W15" si="2">J7</f>
        <v>0</v>
      </c>
      <c r="X7" s="772"/>
      <c r="Y7" s="3301" t="s">
        <v>2545</v>
      </c>
      <c r="Z7" s="3302"/>
      <c r="AA7" s="773" t="e">
        <f>D7/F7</f>
        <v>#DIV/0!</v>
      </c>
      <c r="AB7" s="773" t="e">
        <f>D7/H7</f>
        <v>#DIV/0!</v>
      </c>
      <c r="AC7" s="773" t="e">
        <f>D7/J7</f>
        <v>#DIV/0!</v>
      </c>
    </row>
    <row r="8" spans="1:29" s="117" customFormat="1" ht="15.75" thickBot="1">
      <c r="A8" s="408" t="s">
        <v>2546</v>
      </c>
      <c r="B8" s="409"/>
      <c r="C8" s="414" t="s">
        <v>2648</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301" t="s">
        <v>2548</v>
      </c>
      <c r="Q8" s="3302"/>
      <c r="R8" s="770" t="s">
        <v>17</v>
      </c>
      <c r="S8" s="771">
        <f t="shared" si="0"/>
        <v>0</v>
      </c>
      <c r="T8" s="770" t="s">
        <v>17</v>
      </c>
      <c r="U8" s="771">
        <f t="shared" si="1"/>
        <v>0</v>
      </c>
      <c r="V8" s="770" t="s">
        <v>17</v>
      </c>
      <c r="W8" s="771">
        <f t="shared" si="2"/>
        <v>0</v>
      </c>
      <c r="X8" s="772"/>
      <c r="Y8" s="3301" t="s">
        <v>2548</v>
      </c>
      <c r="Z8" s="3302"/>
      <c r="AA8" s="773" t="e">
        <f t="shared" ref="AA8:AA46" si="3">D8/F8</f>
        <v>#DIV/0!</v>
      </c>
      <c r="AB8" s="773" t="e">
        <f t="shared" ref="AB8:AB46" si="4">D8/H8</f>
        <v>#DIV/0!</v>
      </c>
      <c r="AC8" s="773" t="e">
        <f t="shared" ref="AC8:AC46" si="5">D8/J8</f>
        <v>#DIV/0!</v>
      </c>
    </row>
    <row r="9" spans="1:29" s="117" customFormat="1">
      <c r="A9" s="415" t="s">
        <v>2549</v>
      </c>
      <c r="B9" s="71" t="s">
        <v>2550</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276" t="s">
        <v>2551</v>
      </c>
      <c r="Q9" s="1795" t="str">
        <f t="shared" ref="Q9:Q15" si="6">B9</f>
        <v>用途</v>
      </c>
      <c r="R9" s="770" t="s">
        <v>17</v>
      </c>
      <c r="S9" s="771">
        <f t="shared" si="0"/>
        <v>100</v>
      </c>
      <c r="T9" s="770" t="s">
        <v>17</v>
      </c>
      <c r="U9" s="771">
        <f t="shared" si="1"/>
        <v>100</v>
      </c>
      <c r="V9" s="770" t="s">
        <v>17</v>
      </c>
      <c r="W9" s="771">
        <f t="shared" si="2"/>
        <v>100</v>
      </c>
      <c r="X9" s="772"/>
      <c r="Y9" s="3042" t="s">
        <v>2552</v>
      </c>
      <c r="Z9" s="55" t="str">
        <f t="shared" ref="Z9:Z15" si="7">Q9</f>
        <v>用途</v>
      </c>
      <c r="AA9" s="773">
        <f t="shared" si="3"/>
        <v>1</v>
      </c>
      <c r="AB9" s="773">
        <f t="shared" si="4"/>
        <v>1</v>
      </c>
      <c r="AC9" s="773">
        <f t="shared" si="5"/>
        <v>1</v>
      </c>
    </row>
    <row r="10" spans="1:29" s="427" customFormat="1" ht="27">
      <c r="A10" s="421"/>
      <c r="B10" s="422" t="s">
        <v>2553</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276"/>
      <c r="Q10" s="1795" t="str">
        <f t="shared" si="6"/>
        <v>土地使用年限（年）</v>
      </c>
      <c r="R10" s="770" t="s">
        <v>17</v>
      </c>
      <c r="S10" s="771">
        <f t="shared" si="0"/>
        <v>100</v>
      </c>
      <c r="T10" s="770" t="s">
        <v>17</v>
      </c>
      <c r="U10" s="771">
        <f t="shared" si="1"/>
        <v>100</v>
      </c>
      <c r="V10" s="770" t="s">
        <v>17</v>
      </c>
      <c r="W10" s="771">
        <f t="shared" si="2"/>
        <v>100</v>
      </c>
      <c r="X10" s="772"/>
      <c r="Y10" s="3042"/>
      <c r="Z10" s="55" t="str">
        <f t="shared" si="7"/>
        <v>土地使用年限（年）</v>
      </c>
      <c r="AA10" s="773">
        <f t="shared" si="3"/>
        <v>1</v>
      </c>
      <c r="AB10" s="773">
        <f t="shared" si="4"/>
        <v>1</v>
      </c>
      <c r="AC10" s="773">
        <f t="shared" si="5"/>
        <v>1</v>
      </c>
    </row>
    <row r="11" spans="1:29" ht="15">
      <c r="A11" s="428"/>
      <c r="B11" s="422" t="s">
        <v>2554</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276"/>
      <c r="Q11" s="1795" t="str">
        <f t="shared" si="6"/>
        <v>容积率</v>
      </c>
      <c r="R11" s="770" t="s">
        <v>17</v>
      </c>
      <c r="S11" s="771" t="e">
        <f t="shared" si="0"/>
        <v>#N/A</v>
      </c>
      <c r="T11" s="770" t="s">
        <v>17</v>
      </c>
      <c r="U11" s="771" t="e">
        <f t="shared" si="1"/>
        <v>#N/A</v>
      </c>
      <c r="V11" s="770" t="s">
        <v>17</v>
      </c>
      <c r="W11" s="771" t="e">
        <f t="shared" si="2"/>
        <v>#N/A</v>
      </c>
      <c r="X11" s="772"/>
      <c r="Y11" s="3042"/>
      <c r="Z11" s="55" t="str">
        <f t="shared" si="7"/>
        <v>容积率</v>
      </c>
      <c r="AA11" s="773" t="e">
        <f t="shared" si="3"/>
        <v>#N/A</v>
      </c>
      <c r="AB11" s="773" t="e">
        <f t="shared" si="4"/>
        <v>#N/A</v>
      </c>
      <c r="AC11" s="773" t="e">
        <f t="shared" si="5"/>
        <v>#N/A</v>
      </c>
    </row>
    <row r="12" spans="1:29" s="117" customFormat="1" ht="15">
      <c r="A12" s="431"/>
      <c r="B12" s="2603">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276"/>
      <c r="Q12" s="1795">
        <f t="shared" si="6"/>
        <v>111</v>
      </c>
      <c r="R12" s="770" t="s">
        <v>17</v>
      </c>
      <c r="S12" s="771">
        <f t="shared" si="0"/>
        <v>100</v>
      </c>
      <c r="T12" s="770" t="s">
        <v>17</v>
      </c>
      <c r="U12" s="771">
        <f t="shared" si="1"/>
        <v>100</v>
      </c>
      <c r="V12" s="770" t="s">
        <v>17</v>
      </c>
      <c r="W12" s="771">
        <f t="shared" si="2"/>
        <v>100</v>
      </c>
      <c r="X12" s="772"/>
      <c r="Y12" s="3042"/>
      <c r="Z12" s="55">
        <f t="shared" si="7"/>
        <v>111</v>
      </c>
      <c r="AA12" s="773">
        <f>D12/F12</f>
        <v>1</v>
      </c>
      <c r="AB12" s="773">
        <f>D12/H12</f>
        <v>1</v>
      </c>
      <c r="AC12" s="773">
        <f>D12/J12</f>
        <v>1</v>
      </c>
    </row>
    <row r="13" spans="1:29" ht="15">
      <c r="A13" s="428"/>
      <c r="B13" s="2603">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276"/>
      <c r="Q13" s="1795">
        <f t="shared" si="6"/>
        <v>111</v>
      </c>
      <c r="R13" s="770" t="s">
        <v>17</v>
      </c>
      <c r="S13" s="771">
        <f t="shared" si="0"/>
        <v>100</v>
      </c>
      <c r="T13" s="770" t="s">
        <v>17</v>
      </c>
      <c r="U13" s="771">
        <f t="shared" si="1"/>
        <v>100</v>
      </c>
      <c r="V13" s="770" t="s">
        <v>17</v>
      </c>
      <c r="W13" s="771">
        <f t="shared" si="2"/>
        <v>100</v>
      </c>
      <c r="X13" s="772"/>
      <c r="Y13" s="3042"/>
      <c r="Z13" s="55">
        <f t="shared" si="7"/>
        <v>111</v>
      </c>
      <c r="AA13" s="773">
        <f t="shared" si="3"/>
        <v>1</v>
      </c>
      <c r="AB13" s="773">
        <f t="shared" si="4"/>
        <v>1</v>
      </c>
      <c r="AC13" s="773">
        <f t="shared" si="5"/>
        <v>1</v>
      </c>
    </row>
    <row r="14" spans="1:29" ht="15.75" thickBot="1">
      <c r="A14" s="436"/>
      <c r="B14" s="2605">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276"/>
      <c r="Q14" s="1795">
        <f t="shared" si="6"/>
        <v>111</v>
      </c>
      <c r="R14" s="770" t="s">
        <v>17</v>
      </c>
      <c r="S14" s="771">
        <f t="shared" si="0"/>
        <v>100</v>
      </c>
      <c r="T14" s="770" t="s">
        <v>17</v>
      </c>
      <c r="U14" s="771">
        <f t="shared" si="1"/>
        <v>100</v>
      </c>
      <c r="V14" s="770" t="s">
        <v>17</v>
      </c>
      <c r="W14" s="771">
        <f t="shared" si="2"/>
        <v>100</v>
      </c>
      <c r="X14" s="772"/>
      <c r="Y14" s="3042"/>
      <c r="Z14" s="55">
        <f t="shared" si="7"/>
        <v>111</v>
      </c>
      <c r="AA14" s="773">
        <f t="shared" si="3"/>
        <v>1</v>
      </c>
      <c r="AB14" s="773">
        <f t="shared" si="4"/>
        <v>1</v>
      </c>
      <c r="AC14" s="773">
        <f t="shared" si="5"/>
        <v>1</v>
      </c>
    </row>
    <row r="15" spans="1:29" ht="71.25">
      <c r="A15" s="440" t="s">
        <v>2555</v>
      </c>
      <c r="B15" s="69" t="s">
        <v>2649</v>
      </c>
      <c r="C15" s="2606"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74" t="s">
        <v>2556</v>
      </c>
      <c r="Q15" s="1810" t="str">
        <f t="shared" si="6"/>
        <v>商业繁华度</v>
      </c>
      <c r="R15" s="774" t="s">
        <v>17</v>
      </c>
      <c r="S15" s="775">
        <f t="shared" si="0"/>
        <v>100</v>
      </c>
      <c r="T15" s="774" t="s">
        <v>17</v>
      </c>
      <c r="U15" s="775">
        <f t="shared" si="1"/>
        <v>100</v>
      </c>
      <c r="V15" s="774" t="s">
        <v>17</v>
      </c>
      <c r="W15" s="775">
        <f t="shared" si="2"/>
        <v>100</v>
      </c>
      <c r="X15" s="1813"/>
      <c r="Y15" s="3267" t="s">
        <v>2556</v>
      </c>
      <c r="Z15" s="1814" t="str">
        <f t="shared" si="7"/>
        <v>商业繁华度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1"/>
      <c r="P16" s="3275"/>
      <c r="Q16" s="1810"/>
      <c r="R16" s="774"/>
      <c r="S16" s="775"/>
      <c r="T16" s="774"/>
      <c r="U16" s="775"/>
      <c r="V16" s="774"/>
      <c r="W16" s="775"/>
      <c r="X16" s="1813"/>
      <c r="Y16" s="3268"/>
      <c r="Z16" s="1814"/>
      <c r="AA16" s="1811">
        <v>1</v>
      </c>
      <c r="AB16" s="1811">
        <v>1</v>
      </c>
      <c r="AC16" s="1811">
        <v>1</v>
      </c>
    </row>
    <row r="17" spans="1:29" ht="85.5">
      <c r="A17" s="428"/>
      <c r="B17" s="451" t="s">
        <v>2095</v>
      </c>
      <c r="C17" s="2610"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75"/>
      <c r="Q17" s="1810" t="str">
        <f>B17</f>
        <v>交通便捷度</v>
      </c>
      <c r="R17" s="774" t="s">
        <v>17</v>
      </c>
      <c r="S17" s="775">
        <f>F17</f>
        <v>100</v>
      </c>
      <c r="T17" s="774" t="s">
        <v>17</v>
      </c>
      <c r="U17" s="775">
        <f>H17</f>
        <v>100</v>
      </c>
      <c r="V17" s="774" t="s">
        <v>17</v>
      </c>
      <c r="W17" s="775">
        <f>J17</f>
        <v>100</v>
      </c>
      <c r="X17" s="1813"/>
      <c r="Y17" s="3268"/>
      <c r="Z17" s="1814" t="str">
        <f>Q17</f>
        <v>交通便捷度</v>
      </c>
      <c r="AA17" s="1811">
        <f t="shared" si="3"/>
        <v>1</v>
      </c>
      <c r="AB17" s="1811">
        <f t="shared" si="4"/>
        <v>1</v>
      </c>
      <c r="AC17" s="1811">
        <f t="shared" si="5"/>
        <v>1</v>
      </c>
    </row>
    <row r="18" spans="1:29" ht="15">
      <c r="A18" s="428"/>
      <c r="B18" s="456"/>
      <c r="C18" s="2611"/>
      <c r="D18" s="450"/>
      <c r="E18" s="2613"/>
      <c r="F18" s="453"/>
      <c r="G18" s="2612"/>
      <c r="H18" s="448"/>
      <c r="I18" s="2613"/>
      <c r="J18" s="448"/>
      <c r="K18" s="615"/>
      <c r="L18" s="1140"/>
      <c r="M18" s="1131"/>
      <c r="N18" s="1131"/>
      <c r="O18" s="1131"/>
      <c r="P18" s="3275"/>
      <c r="Q18" s="1810"/>
      <c r="R18" s="774"/>
      <c r="S18" s="775"/>
      <c r="T18" s="774"/>
      <c r="U18" s="775"/>
      <c r="V18" s="774"/>
      <c r="W18" s="775"/>
      <c r="X18" s="1813"/>
      <c r="Y18" s="3268"/>
      <c r="Z18" s="1814"/>
      <c r="AA18" s="1811">
        <v>1</v>
      </c>
      <c r="AB18" s="1811">
        <v>1</v>
      </c>
      <c r="AC18" s="1811">
        <v>1</v>
      </c>
    </row>
    <row r="19" spans="1:29" ht="42.75">
      <c r="A19" s="428"/>
      <c r="B19" s="451" t="s">
        <v>2650</v>
      </c>
      <c r="C19" s="2610"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75"/>
      <c r="Q19" s="1810" t="str">
        <f>B19</f>
        <v>公共配套设施</v>
      </c>
      <c r="R19" s="774" t="s">
        <v>17</v>
      </c>
      <c r="S19" s="775">
        <f>F19</f>
        <v>100</v>
      </c>
      <c r="T19" s="774" t="s">
        <v>17</v>
      </c>
      <c r="U19" s="775">
        <f>H19</f>
        <v>100</v>
      </c>
      <c r="V19" s="774" t="s">
        <v>17</v>
      </c>
      <c r="W19" s="775">
        <f>J19</f>
        <v>100</v>
      </c>
      <c r="X19" s="1813"/>
      <c r="Y19" s="3268"/>
      <c r="Z19" s="1814" t="str">
        <f>Q19</f>
        <v>公共配套设施</v>
      </c>
      <c r="AA19" s="1811">
        <f t="shared" si="3"/>
        <v>1</v>
      </c>
      <c r="AB19" s="1811">
        <f t="shared" si="4"/>
        <v>1</v>
      </c>
      <c r="AC19" s="1811">
        <f t="shared" si="5"/>
        <v>1</v>
      </c>
    </row>
    <row r="20" spans="1:29" ht="15">
      <c r="A20" s="428"/>
      <c r="B20" s="456"/>
      <c r="C20" s="447"/>
      <c r="D20" s="448"/>
      <c r="E20" s="2608"/>
      <c r="F20" s="449"/>
      <c r="G20" s="2607"/>
      <c r="H20" s="448"/>
      <c r="I20" s="2608"/>
      <c r="J20" s="448"/>
      <c r="K20" s="615"/>
      <c r="L20" s="1140"/>
      <c r="M20" s="1131"/>
      <c r="N20" s="1131"/>
      <c r="O20" s="1131"/>
      <c r="P20" s="3275"/>
      <c r="Q20" s="1810"/>
      <c r="R20" s="774"/>
      <c r="S20" s="775"/>
      <c r="T20" s="774"/>
      <c r="U20" s="775"/>
      <c r="V20" s="774"/>
      <c r="W20" s="775"/>
      <c r="X20" s="1813"/>
      <c r="Y20" s="3268"/>
      <c r="Z20" s="1814"/>
      <c r="AA20" s="1811">
        <v>1</v>
      </c>
      <c r="AB20" s="1811">
        <v>1</v>
      </c>
      <c r="AC20" s="1811">
        <v>1</v>
      </c>
    </row>
    <row r="21" spans="1:29" ht="28.5">
      <c r="A21" s="428"/>
      <c r="B21" s="1384" t="s">
        <v>2651</v>
      </c>
      <c r="C21" s="2610"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75"/>
      <c r="Q21" s="1810" t="str">
        <f>B21</f>
        <v>基础设施水平</v>
      </c>
      <c r="R21" s="774" t="s">
        <v>17</v>
      </c>
      <c r="S21" s="775">
        <f>F21</f>
        <v>100</v>
      </c>
      <c r="T21" s="774" t="s">
        <v>17</v>
      </c>
      <c r="U21" s="775">
        <f>H21</f>
        <v>100</v>
      </c>
      <c r="V21" s="774" t="s">
        <v>17</v>
      </c>
      <c r="W21" s="775">
        <f>J21</f>
        <v>100</v>
      </c>
      <c r="X21" s="1813"/>
      <c r="Y21" s="3268"/>
      <c r="Z21" s="1814" t="str">
        <f>Q21</f>
        <v>基础设施水平</v>
      </c>
      <c r="AA21" s="1811">
        <f t="shared" ref="AA21" si="8">D21/F21</f>
        <v>1</v>
      </c>
      <c r="AB21" s="1811">
        <f t="shared" ref="AB21" si="9">D21/H21</f>
        <v>1</v>
      </c>
      <c r="AC21" s="1811">
        <f t="shared" ref="AC21" si="10">D21/J21</f>
        <v>1</v>
      </c>
    </row>
    <row r="22" spans="1:29" ht="15">
      <c r="A22" s="428"/>
      <c r="B22" s="1384"/>
      <c r="C22" s="2611"/>
      <c r="D22" s="448"/>
      <c r="E22" s="447"/>
      <c r="F22" s="449"/>
      <c r="G22" s="447"/>
      <c r="H22" s="448"/>
      <c r="I22" s="447"/>
      <c r="J22" s="448"/>
      <c r="K22" s="1383"/>
      <c r="L22" s="1140"/>
      <c r="M22" s="1131"/>
      <c r="N22" s="1131"/>
      <c r="O22" s="1131"/>
      <c r="P22" s="3275"/>
      <c r="Q22" s="1810"/>
      <c r="R22" s="774"/>
      <c r="S22" s="775"/>
      <c r="T22" s="774"/>
      <c r="U22" s="775"/>
      <c r="V22" s="774"/>
      <c r="W22" s="775"/>
      <c r="X22" s="1813"/>
      <c r="Y22" s="3268"/>
      <c r="Z22" s="1814"/>
      <c r="AA22" s="1811">
        <v>1</v>
      </c>
      <c r="AB22" s="1811">
        <v>1</v>
      </c>
      <c r="AC22" s="1811">
        <v>1</v>
      </c>
    </row>
    <row r="23" spans="1:29" ht="57">
      <c r="A23" s="428"/>
      <c r="B23" s="451" t="s">
        <v>2100</v>
      </c>
      <c r="C23" s="2667"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75"/>
      <c r="Q23" s="1810" t="str">
        <f>B23</f>
        <v>自然及人文环境</v>
      </c>
      <c r="R23" s="774" t="s">
        <v>17</v>
      </c>
      <c r="S23" s="775">
        <f>F23</f>
        <v>100</v>
      </c>
      <c r="T23" s="774" t="s">
        <v>17</v>
      </c>
      <c r="U23" s="775">
        <f>H23</f>
        <v>100</v>
      </c>
      <c r="V23" s="774" t="s">
        <v>17</v>
      </c>
      <c r="W23" s="775">
        <f>J23</f>
        <v>100</v>
      </c>
      <c r="X23" s="1813"/>
      <c r="Y23" s="3268"/>
      <c r="Z23" s="1814" t="str">
        <f>Q23</f>
        <v>自然及人文环境</v>
      </c>
      <c r="AA23" s="1811">
        <f t="shared" si="3"/>
        <v>1</v>
      </c>
      <c r="AB23" s="1811">
        <f t="shared" si="4"/>
        <v>1</v>
      </c>
      <c r="AC23" s="1811">
        <f t="shared" si="5"/>
        <v>1</v>
      </c>
    </row>
    <row r="24" spans="1:29" ht="15">
      <c r="A24" s="428"/>
      <c r="B24" s="456"/>
      <c r="C24" s="447"/>
      <c r="D24" s="448"/>
      <c r="E24" s="2608"/>
      <c r="F24" s="449"/>
      <c r="G24" s="2607"/>
      <c r="H24" s="448"/>
      <c r="I24" s="2608"/>
      <c r="J24" s="448"/>
      <c r="K24" s="615"/>
      <c r="L24" s="1140"/>
      <c r="M24" s="1131"/>
      <c r="N24" s="1131"/>
      <c r="O24" s="1131"/>
      <c r="P24" s="3275"/>
      <c r="Q24" s="1810"/>
      <c r="R24" s="774"/>
      <c r="S24" s="775"/>
      <c r="T24" s="774"/>
      <c r="U24" s="775"/>
      <c r="V24" s="774"/>
      <c r="W24" s="775"/>
      <c r="X24" s="1813"/>
      <c r="Y24" s="3268"/>
      <c r="Z24" s="1814"/>
      <c r="AA24" s="1811">
        <v>1</v>
      </c>
      <c r="AB24" s="1811">
        <v>1</v>
      </c>
      <c r="AC24" s="1811">
        <v>1</v>
      </c>
    </row>
    <row r="25" spans="1:29" ht="15">
      <c r="A25" s="428"/>
      <c r="B25" s="422" t="s">
        <v>2652</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75"/>
      <c r="Q25" s="1810" t="str">
        <f t="shared" ref="Q25:Q46" si="11">B25</f>
        <v>临街状况</v>
      </c>
      <c r="R25" s="774" t="s">
        <v>17</v>
      </c>
      <c r="S25" s="775">
        <f>F25</f>
        <v>100</v>
      </c>
      <c r="T25" s="774" t="s">
        <v>17</v>
      </c>
      <c r="U25" s="775">
        <f>H25</f>
        <v>100</v>
      </c>
      <c r="V25" s="774" t="s">
        <v>17</v>
      </c>
      <c r="W25" s="775">
        <f>J25</f>
        <v>100</v>
      </c>
      <c r="X25" s="1813"/>
      <c r="Y25" s="3268"/>
      <c r="Z25" s="1814" t="str">
        <f>Q25</f>
        <v>临街状况</v>
      </c>
      <c r="AA25" s="1811">
        <f t="shared" si="3"/>
        <v>1</v>
      </c>
      <c r="AB25" s="1811">
        <f t="shared" si="4"/>
        <v>1</v>
      </c>
      <c r="AC25" s="1811">
        <f t="shared" si="5"/>
        <v>1</v>
      </c>
    </row>
    <row r="26" spans="1:29" ht="15">
      <c r="A26" s="428"/>
      <c r="B26" s="1386" t="s">
        <v>2653</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75"/>
      <c r="Q26" s="1810" t="str">
        <f t="shared" si="11"/>
        <v>平面位置/可视性</v>
      </c>
      <c r="R26" s="774" t="s">
        <v>17</v>
      </c>
      <c r="S26" s="775">
        <f>F26</f>
        <v>100</v>
      </c>
      <c r="T26" s="774" t="s">
        <v>17</v>
      </c>
      <c r="U26" s="775">
        <f>H26</f>
        <v>100</v>
      </c>
      <c r="V26" s="774" t="s">
        <v>17</v>
      </c>
      <c r="W26" s="775">
        <f>J26</f>
        <v>100</v>
      </c>
      <c r="X26" s="1813"/>
      <c r="Y26" s="3268"/>
      <c r="Z26" s="1814" t="str">
        <f>Q26</f>
        <v>平面位置/可视性</v>
      </c>
      <c r="AA26" s="1811">
        <f t="shared" si="3"/>
        <v>1</v>
      </c>
      <c r="AB26" s="1811">
        <f t="shared" si="4"/>
        <v>1</v>
      </c>
      <c r="AC26" s="1811">
        <f t="shared" si="5"/>
        <v>1</v>
      </c>
    </row>
    <row r="27" spans="1:29" s="117" customFormat="1" ht="15">
      <c r="A27" s="431"/>
      <c r="B27" s="451" t="s">
        <v>2654</v>
      </c>
      <c r="C27" s="2668"/>
      <c r="D27" s="462">
        <v>100</v>
      </c>
      <c r="E27" s="2668"/>
      <c r="F27" s="464">
        <f>SUMIF(90:90,E27,91:91)-SUMIF(90:90,C27,91:91)+100</f>
        <v>100</v>
      </c>
      <c r="G27" s="2668"/>
      <c r="H27" s="462">
        <f>SUMIF(90:90,G27,91:91)-SUMIF(90:90,C27,91:91)+100</f>
        <v>100</v>
      </c>
      <c r="I27" s="2668"/>
      <c r="J27" s="462">
        <f>SUMIF(90:90,I27,91:91)-SUMIF(90:90,C27,91:91)+100</f>
        <v>100</v>
      </c>
      <c r="K27" s="612"/>
      <c r="L27" s="1132"/>
      <c r="M27" s="1133"/>
      <c r="N27" s="1133"/>
      <c r="O27" s="1133"/>
      <c r="P27" s="3275"/>
      <c r="Q27" s="1795" t="str">
        <f t="shared" si="11"/>
        <v>人流量</v>
      </c>
      <c r="R27" s="770" t="s">
        <v>17</v>
      </c>
      <c r="S27" s="771">
        <f>F27</f>
        <v>100</v>
      </c>
      <c r="T27" s="770" t="s">
        <v>17</v>
      </c>
      <c r="U27" s="771">
        <f>H27</f>
        <v>100</v>
      </c>
      <c r="V27" s="770" t="s">
        <v>17</v>
      </c>
      <c r="W27" s="771">
        <f>J27</f>
        <v>100</v>
      </c>
      <c r="X27" s="772"/>
      <c r="Y27" s="3268"/>
      <c r="Z27" s="55" t="str">
        <f>Q27</f>
        <v>人流量</v>
      </c>
      <c r="AA27" s="1811">
        <f>D27/F27</f>
        <v>1</v>
      </c>
      <c r="AB27" s="1811">
        <f>D27/H27</f>
        <v>1</v>
      </c>
      <c r="AC27" s="1811">
        <f>D27/J27</f>
        <v>1</v>
      </c>
    </row>
    <row r="28" spans="1:29" ht="15">
      <c r="A28" s="428"/>
      <c r="B28" s="422" t="s">
        <v>2655</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75"/>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268"/>
      <c r="Z28" s="1814" t="str">
        <f t="shared" ref="Z28:Z46" si="15">Q28</f>
        <v>楼层</v>
      </c>
      <c r="AA28" s="1811">
        <f t="shared" si="3"/>
        <v>1</v>
      </c>
      <c r="AB28" s="1811">
        <f t="shared" si="4"/>
        <v>1</v>
      </c>
      <c r="AC28" s="1811">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75"/>
      <c r="Q29" s="1810">
        <f t="shared" si="11"/>
        <v>111</v>
      </c>
      <c r="R29" s="774" t="s">
        <v>17</v>
      </c>
      <c r="S29" s="775">
        <f t="shared" si="12"/>
        <v>100</v>
      </c>
      <c r="T29" s="774" t="s">
        <v>17</v>
      </c>
      <c r="U29" s="775">
        <f t="shared" si="13"/>
        <v>100</v>
      </c>
      <c r="V29" s="774" t="s">
        <v>17</v>
      </c>
      <c r="W29" s="775">
        <f t="shared" si="14"/>
        <v>100</v>
      </c>
      <c r="X29" s="1813"/>
      <c r="Y29" s="3268"/>
      <c r="Z29" s="1814">
        <f t="shared" si="15"/>
        <v>111</v>
      </c>
      <c r="AA29" s="1811">
        <f t="shared" si="3"/>
        <v>1</v>
      </c>
      <c r="AB29" s="1811">
        <f t="shared" si="4"/>
        <v>1</v>
      </c>
      <c r="AC29" s="1811">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75"/>
      <c r="Q30" s="1810">
        <f t="shared" si="11"/>
        <v>111</v>
      </c>
      <c r="R30" s="774" t="s">
        <v>17</v>
      </c>
      <c r="S30" s="775">
        <f t="shared" si="12"/>
        <v>100</v>
      </c>
      <c r="T30" s="774" t="s">
        <v>17</v>
      </c>
      <c r="U30" s="775">
        <f t="shared" si="13"/>
        <v>100</v>
      </c>
      <c r="V30" s="774" t="s">
        <v>17</v>
      </c>
      <c r="W30" s="775">
        <f t="shared" si="14"/>
        <v>100</v>
      </c>
      <c r="X30" s="1813"/>
      <c r="Y30" s="3268"/>
      <c r="Z30" s="1814">
        <f t="shared" si="15"/>
        <v>111</v>
      </c>
      <c r="AA30" s="1811">
        <f t="shared" si="3"/>
        <v>1</v>
      </c>
      <c r="AB30" s="1811">
        <f t="shared" si="4"/>
        <v>1</v>
      </c>
      <c r="AC30" s="1811">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75"/>
      <c r="Q31" s="1810">
        <f t="shared" si="11"/>
        <v>111</v>
      </c>
      <c r="R31" s="774" t="s">
        <v>17</v>
      </c>
      <c r="S31" s="775">
        <f t="shared" si="12"/>
        <v>100</v>
      </c>
      <c r="T31" s="774" t="s">
        <v>17</v>
      </c>
      <c r="U31" s="775">
        <f t="shared" si="13"/>
        <v>100</v>
      </c>
      <c r="V31" s="774" t="s">
        <v>17</v>
      </c>
      <c r="W31" s="775">
        <f t="shared" si="14"/>
        <v>100</v>
      </c>
      <c r="X31" s="1813"/>
      <c r="Y31" s="3268"/>
      <c r="Z31" s="1814">
        <f t="shared" si="15"/>
        <v>111</v>
      </c>
      <c r="AA31" s="1811">
        <f t="shared" si="3"/>
        <v>1</v>
      </c>
      <c r="AB31" s="1811">
        <f t="shared" si="4"/>
        <v>1</v>
      </c>
      <c r="AC31" s="1811">
        <f t="shared" si="5"/>
        <v>1</v>
      </c>
    </row>
    <row r="32" spans="1:29" ht="15">
      <c r="A32" s="440" t="s">
        <v>2559</v>
      </c>
      <c r="B32" s="71" t="s">
        <v>2656</v>
      </c>
      <c r="C32" s="2620"/>
      <c r="D32" s="467">
        <v>100</v>
      </c>
      <c r="E32" s="2620"/>
      <c r="F32" s="461">
        <f>SUMIF(100:100,E32,101:101)-SUMIF(100:100,C32,101:101)+100</f>
        <v>100</v>
      </c>
      <c r="G32" s="2620"/>
      <c r="H32" s="435">
        <f>SUMIF(100:100,G32,101:101)-SUMIF(100:100,C32,101:101)+100</f>
        <v>100</v>
      </c>
      <c r="I32" s="2620"/>
      <c r="J32" s="467">
        <f>SUMIF(100:100,I32,101:101)-SUMIF(100:100,C32,101:101)+100</f>
        <v>100</v>
      </c>
      <c r="K32" s="612"/>
      <c r="L32" s="1140"/>
      <c r="M32" s="1131"/>
      <c r="N32" s="1131"/>
      <c r="O32" s="1131"/>
      <c r="P32" s="3269" t="s">
        <v>2561</v>
      </c>
      <c r="Q32" s="1810" t="str">
        <f t="shared" si="11"/>
        <v>商业类型</v>
      </c>
      <c r="R32" s="774" t="s">
        <v>17</v>
      </c>
      <c r="S32" s="775">
        <f t="shared" si="12"/>
        <v>100</v>
      </c>
      <c r="T32" s="774" t="s">
        <v>17</v>
      </c>
      <c r="U32" s="775">
        <f t="shared" si="13"/>
        <v>100</v>
      </c>
      <c r="V32" s="774" t="s">
        <v>17</v>
      </c>
      <c r="W32" s="775">
        <f t="shared" si="14"/>
        <v>100</v>
      </c>
      <c r="X32" s="1813"/>
      <c r="Y32" s="3272" t="s">
        <v>2561</v>
      </c>
      <c r="Z32" s="1814" t="str">
        <f t="shared" si="15"/>
        <v>商业类型</v>
      </c>
      <c r="AA32" s="1811">
        <f t="shared" si="3"/>
        <v>1</v>
      </c>
      <c r="AB32" s="1811">
        <f t="shared" si="4"/>
        <v>1</v>
      </c>
      <c r="AC32" s="1811">
        <f t="shared" si="5"/>
        <v>1</v>
      </c>
    </row>
    <row r="33" spans="1:29" s="471" customFormat="1" ht="15">
      <c r="A33" s="468"/>
      <c r="B33" s="422" t="s">
        <v>2562</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70"/>
      <c r="Q33" s="776" t="str">
        <f t="shared" si="11"/>
        <v>项目建筑规模</v>
      </c>
      <c r="R33" s="777" t="s">
        <v>17</v>
      </c>
      <c r="S33" s="778" t="e">
        <f t="shared" si="12"/>
        <v>#N/A</v>
      </c>
      <c r="T33" s="777" t="s">
        <v>17</v>
      </c>
      <c r="U33" s="778" t="e">
        <f t="shared" si="13"/>
        <v>#N/A</v>
      </c>
      <c r="V33" s="777" t="s">
        <v>17</v>
      </c>
      <c r="W33" s="778" t="e">
        <f t="shared" si="14"/>
        <v>#N/A</v>
      </c>
      <c r="X33" s="779"/>
      <c r="Y33" s="3272"/>
      <c r="Z33" s="780" t="str">
        <f t="shared" si="15"/>
        <v>项目建筑规模</v>
      </c>
      <c r="AA33" s="1811" t="e">
        <f t="shared" si="3"/>
        <v>#N/A</v>
      </c>
      <c r="AB33" s="1811" t="e">
        <f t="shared" si="4"/>
        <v>#N/A</v>
      </c>
      <c r="AC33" s="1811" t="e">
        <f t="shared" si="5"/>
        <v>#N/A</v>
      </c>
    </row>
    <row r="34" spans="1:29" ht="15">
      <c r="A34" s="472"/>
      <c r="B34" s="422" t="s">
        <v>2563</v>
      </c>
      <c r="C34" s="2622"/>
      <c r="D34" s="435">
        <v>100</v>
      </c>
      <c r="E34" s="2622"/>
      <c r="F34" s="461">
        <f>SUMIF(105:105,E34,106:106)-SUMIF(105:105,C34,106:106)+100</f>
        <v>100</v>
      </c>
      <c r="G34" s="2622"/>
      <c r="H34" s="435">
        <f>SUMIF(105:105,G34,106:106)-SUMIF(105:105,C34,106:106)+100</f>
        <v>100</v>
      </c>
      <c r="I34" s="2622"/>
      <c r="J34" s="435">
        <f>SUMIF(105:105,I34,106:106)-SUMIF(105:105,C34,106:106)+100</f>
        <v>100</v>
      </c>
      <c r="K34" s="612"/>
      <c r="L34" s="1140"/>
      <c r="M34" s="1131"/>
      <c r="N34" s="1131"/>
      <c r="O34" s="1131"/>
      <c r="P34" s="3270"/>
      <c r="Q34" s="1810" t="str">
        <f t="shared" si="11"/>
        <v>建筑结构</v>
      </c>
      <c r="R34" s="774" t="s">
        <v>17</v>
      </c>
      <c r="S34" s="775">
        <f t="shared" si="12"/>
        <v>100</v>
      </c>
      <c r="T34" s="774" t="s">
        <v>17</v>
      </c>
      <c r="U34" s="775">
        <f t="shared" si="13"/>
        <v>100</v>
      </c>
      <c r="V34" s="774" t="s">
        <v>17</v>
      </c>
      <c r="W34" s="775">
        <f t="shared" si="14"/>
        <v>100</v>
      </c>
      <c r="X34" s="1813"/>
      <c r="Y34" s="3272"/>
      <c r="Z34" s="1814" t="str">
        <f t="shared" si="15"/>
        <v>建筑结构</v>
      </c>
      <c r="AA34" s="1811">
        <f t="shared" si="3"/>
        <v>1</v>
      </c>
      <c r="AB34" s="1811">
        <f t="shared" si="4"/>
        <v>1</v>
      </c>
      <c r="AC34" s="1811">
        <f t="shared" si="5"/>
        <v>1</v>
      </c>
    </row>
    <row r="35" spans="1:29" ht="15">
      <c r="A35" s="472"/>
      <c r="B35" s="422" t="s">
        <v>2657</v>
      </c>
      <c r="C35" s="2616"/>
      <c r="D35" s="435">
        <v>100</v>
      </c>
      <c r="E35" s="2616"/>
      <c r="F35" s="461">
        <f>SUMIF(107:107,E35,108:108)-SUMIF(107:107,C35,108:108)+100</f>
        <v>100</v>
      </c>
      <c r="G35" s="2616"/>
      <c r="H35" s="435">
        <f>SUMIF(107:107,G35,108:108)-SUMIF(107:107,C35,108:108)+100</f>
        <v>100</v>
      </c>
      <c r="I35" s="2616"/>
      <c r="J35" s="435">
        <f>SUMIF(107:107,I35,108:108)-SUMIF(107:107,C35,108:108)+100</f>
        <v>100</v>
      </c>
      <c r="K35" s="612"/>
      <c r="L35" s="1140"/>
      <c r="M35" s="1131"/>
      <c r="N35" s="1131"/>
      <c r="O35" s="1131"/>
      <c r="P35" s="3270"/>
      <c r="Q35" s="1810" t="str">
        <f t="shared" si="11"/>
        <v>公共部分装修</v>
      </c>
      <c r="R35" s="774" t="s">
        <v>17</v>
      </c>
      <c r="S35" s="775">
        <f t="shared" si="12"/>
        <v>100</v>
      </c>
      <c r="T35" s="774" t="s">
        <v>17</v>
      </c>
      <c r="U35" s="775">
        <f t="shared" si="13"/>
        <v>100</v>
      </c>
      <c r="V35" s="774" t="s">
        <v>17</v>
      </c>
      <c r="W35" s="775">
        <f t="shared" si="14"/>
        <v>100</v>
      </c>
      <c r="X35" s="1813"/>
      <c r="Y35" s="3272"/>
      <c r="Z35" s="1814" t="str">
        <f t="shared" si="15"/>
        <v>公共部分装修</v>
      </c>
      <c r="AA35" s="1811">
        <f t="shared" si="3"/>
        <v>1</v>
      </c>
      <c r="AB35" s="1811">
        <f t="shared" si="4"/>
        <v>1</v>
      </c>
      <c r="AC35" s="1811">
        <f t="shared" si="5"/>
        <v>1</v>
      </c>
    </row>
    <row r="36" spans="1:29" ht="15">
      <c r="A36" s="472"/>
      <c r="B36" s="422" t="s">
        <v>2658</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70"/>
      <c r="Q36" s="1810" t="str">
        <f t="shared" si="11"/>
        <v>成新度</v>
      </c>
      <c r="R36" s="774" t="s">
        <v>17</v>
      </c>
      <c r="S36" s="775" t="e">
        <f t="shared" si="12"/>
        <v>#N/A</v>
      </c>
      <c r="T36" s="774" t="s">
        <v>17</v>
      </c>
      <c r="U36" s="775" t="e">
        <f t="shared" si="13"/>
        <v>#N/A</v>
      </c>
      <c r="V36" s="774" t="s">
        <v>17</v>
      </c>
      <c r="W36" s="775" t="e">
        <f t="shared" si="14"/>
        <v>#N/A</v>
      </c>
      <c r="X36" s="1813"/>
      <c r="Y36" s="3272"/>
      <c r="Z36" s="1814" t="str">
        <f t="shared" si="15"/>
        <v>成新度</v>
      </c>
      <c r="AA36" s="1811" t="e">
        <f t="shared" si="3"/>
        <v>#N/A</v>
      </c>
      <c r="AB36" s="1811" t="e">
        <f t="shared" si="4"/>
        <v>#N/A</v>
      </c>
      <c r="AC36" s="1811" t="e">
        <f t="shared" si="5"/>
        <v>#N/A</v>
      </c>
    </row>
    <row r="37" spans="1:29" s="117" customFormat="1" ht="15">
      <c r="A37" s="473"/>
      <c r="B37" s="422" t="s">
        <v>2659</v>
      </c>
      <c r="C37" s="2616"/>
      <c r="D37" s="136">
        <v>100</v>
      </c>
      <c r="E37" s="2616"/>
      <c r="F37" s="461">
        <f>SUMIF(112:112,E37,113:113)-SUMIF(112:112,C37,113:113)+100</f>
        <v>100</v>
      </c>
      <c r="G37" s="2616"/>
      <c r="H37" s="435">
        <f>SUMIF(112:112,G37,113:113)-SUMIF(112:112,C37,113:113)+100</f>
        <v>100</v>
      </c>
      <c r="I37" s="2616"/>
      <c r="J37" s="435">
        <f>SUMIF(112:112,I37,113:113)-SUMIF(112:112,C37,113:113)+100</f>
        <v>100</v>
      </c>
      <c r="K37" s="612"/>
      <c r="L37" s="1132"/>
      <c r="M37" s="1133"/>
      <c r="N37" s="1133"/>
      <c r="O37" s="1133"/>
      <c r="P37" s="3270"/>
      <c r="Q37" s="1795" t="str">
        <f t="shared" si="11"/>
        <v>市政基础设施</v>
      </c>
      <c r="R37" s="770" t="s">
        <v>17</v>
      </c>
      <c r="S37" s="771">
        <f t="shared" si="12"/>
        <v>100</v>
      </c>
      <c r="T37" s="770" t="s">
        <v>17</v>
      </c>
      <c r="U37" s="771">
        <f t="shared" si="13"/>
        <v>100</v>
      </c>
      <c r="V37" s="770" t="s">
        <v>17</v>
      </c>
      <c r="W37" s="771">
        <f t="shared" si="14"/>
        <v>100</v>
      </c>
      <c r="X37" s="772"/>
      <c r="Y37" s="3272"/>
      <c r="Z37" s="55" t="str">
        <f t="shared" si="15"/>
        <v>市政基础设施</v>
      </c>
      <c r="AA37" s="773">
        <f t="shared" si="3"/>
        <v>1</v>
      </c>
      <c r="AB37" s="773">
        <f t="shared" si="4"/>
        <v>1</v>
      </c>
      <c r="AC37" s="773">
        <f t="shared" si="5"/>
        <v>1</v>
      </c>
    </row>
    <row r="38" spans="1:29" ht="15">
      <c r="A38" s="472"/>
      <c r="B38" s="422" t="s">
        <v>2660</v>
      </c>
      <c r="C38" s="2616"/>
      <c r="D38" s="435">
        <v>100</v>
      </c>
      <c r="E38" s="2616"/>
      <c r="F38" s="461">
        <f>SUMIF(114:114,E38,115:115)-SUMIF(114:114,C38,115:115)+100</f>
        <v>100</v>
      </c>
      <c r="G38" s="2616"/>
      <c r="H38" s="435">
        <f>SUMIF(114:114,G38,115:115)-SUMIF(114:114,C38,115:115)+100</f>
        <v>100</v>
      </c>
      <c r="I38" s="2616"/>
      <c r="J38" s="435">
        <f>SUMIF(114:114,I38,115:115)-SUMIF(114:114,C38,115:115)+100</f>
        <v>100</v>
      </c>
      <c r="K38" s="612"/>
      <c r="L38" s="1140"/>
      <c r="M38" s="1131"/>
      <c r="N38" s="1131"/>
      <c r="O38" s="1131"/>
      <c r="P38" s="3270" t="s">
        <v>2561</v>
      </c>
      <c r="Q38" s="1810" t="str">
        <f t="shared" si="11"/>
        <v>业态</v>
      </c>
      <c r="R38" s="774" t="s">
        <v>17</v>
      </c>
      <c r="S38" s="775">
        <f t="shared" si="12"/>
        <v>100</v>
      </c>
      <c r="T38" s="774" t="s">
        <v>17</v>
      </c>
      <c r="U38" s="775">
        <f t="shared" si="13"/>
        <v>100</v>
      </c>
      <c r="V38" s="774" t="s">
        <v>17</v>
      </c>
      <c r="W38" s="775">
        <f t="shared" si="14"/>
        <v>100</v>
      </c>
      <c r="X38" s="1813"/>
      <c r="Y38" s="3272" t="s">
        <v>2561</v>
      </c>
      <c r="Z38" s="1814" t="str">
        <f t="shared" si="15"/>
        <v>业态</v>
      </c>
      <c r="AA38" s="1811">
        <f t="shared" si="3"/>
        <v>1</v>
      </c>
      <c r="AB38" s="1811">
        <f t="shared" si="4"/>
        <v>1</v>
      </c>
      <c r="AC38" s="1811">
        <f t="shared" si="5"/>
        <v>1</v>
      </c>
    </row>
    <row r="39" spans="1:29" ht="15">
      <c r="A39" s="472"/>
      <c r="B39" s="422" t="s">
        <v>2661</v>
      </c>
      <c r="C39" s="2616"/>
      <c r="D39" s="435">
        <v>100</v>
      </c>
      <c r="E39" s="2616"/>
      <c r="F39" s="461">
        <f>SUMIF(116:116,E39,117:117)-SUMIF(116:116,C39,117:117)+100</f>
        <v>100</v>
      </c>
      <c r="G39" s="2616"/>
      <c r="H39" s="435">
        <f>SUMIF(116:116,G39,117:117)-SUMIF(116:116,C39,117:117)+100</f>
        <v>100</v>
      </c>
      <c r="I39" s="2616"/>
      <c r="J39" s="435">
        <f>SUMIF(116:116,I39,117:117)-SUMIF(116:116,C39,117:117)+100</f>
        <v>100</v>
      </c>
      <c r="K39" s="612"/>
      <c r="L39" s="1140"/>
      <c r="M39" s="1131"/>
      <c r="N39" s="1131"/>
      <c r="O39" s="1131"/>
      <c r="P39" s="3270"/>
      <c r="Q39" s="1810" t="str">
        <f t="shared" si="11"/>
        <v>层高</v>
      </c>
      <c r="R39" s="774" t="s">
        <v>17</v>
      </c>
      <c r="S39" s="775">
        <f t="shared" si="12"/>
        <v>100</v>
      </c>
      <c r="T39" s="774" t="s">
        <v>17</v>
      </c>
      <c r="U39" s="775">
        <f t="shared" si="13"/>
        <v>100</v>
      </c>
      <c r="V39" s="774" t="s">
        <v>17</v>
      </c>
      <c r="W39" s="775">
        <f t="shared" si="14"/>
        <v>100</v>
      </c>
      <c r="X39" s="1813"/>
      <c r="Y39" s="3272"/>
      <c r="Z39" s="1814" t="str">
        <f t="shared" si="15"/>
        <v>层高</v>
      </c>
      <c r="AA39" s="1811">
        <f t="shared" si="3"/>
        <v>1</v>
      </c>
      <c r="AB39" s="1811">
        <f t="shared" si="4"/>
        <v>1</v>
      </c>
      <c r="AC39" s="1811">
        <f t="shared" si="5"/>
        <v>1</v>
      </c>
    </row>
    <row r="40" spans="1:29" ht="15">
      <c r="A40" s="472"/>
      <c r="B40" s="422" t="s">
        <v>2662</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70"/>
      <c r="Q40" s="1810" t="str">
        <f t="shared" si="11"/>
        <v>单套建筑面积</v>
      </c>
      <c r="R40" s="774" t="s">
        <v>17</v>
      </c>
      <c r="S40" s="775">
        <f t="shared" si="12"/>
        <v>100</v>
      </c>
      <c r="T40" s="774" t="s">
        <v>17</v>
      </c>
      <c r="U40" s="775">
        <f t="shared" si="13"/>
        <v>100</v>
      </c>
      <c r="V40" s="774" t="s">
        <v>17</v>
      </c>
      <c r="W40" s="775">
        <f t="shared" si="14"/>
        <v>100</v>
      </c>
      <c r="X40" s="1813"/>
      <c r="Y40" s="3272"/>
      <c r="Z40" s="1814" t="str">
        <f t="shared" si="15"/>
        <v>单套建筑面积</v>
      </c>
      <c r="AA40" s="1811">
        <f t="shared" si="3"/>
        <v>1</v>
      </c>
      <c r="AB40" s="1811">
        <f t="shared" si="4"/>
        <v>1</v>
      </c>
      <c r="AC40" s="1811">
        <f t="shared" si="5"/>
        <v>1</v>
      </c>
    </row>
    <row r="41" spans="1:29" s="471" customFormat="1" ht="15">
      <c r="A41" s="468"/>
      <c r="B41" s="1812" t="s">
        <v>2663</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70"/>
      <c r="Q41" s="776" t="str">
        <f t="shared" si="11"/>
        <v>进深比</v>
      </c>
      <c r="R41" s="777" t="s">
        <v>17</v>
      </c>
      <c r="S41" s="778">
        <f t="shared" si="12"/>
        <v>100</v>
      </c>
      <c r="T41" s="777" t="s">
        <v>17</v>
      </c>
      <c r="U41" s="778">
        <f t="shared" si="13"/>
        <v>100</v>
      </c>
      <c r="V41" s="777" t="s">
        <v>17</v>
      </c>
      <c r="W41" s="778">
        <f t="shared" si="14"/>
        <v>100</v>
      </c>
      <c r="X41" s="779"/>
      <c r="Y41" s="3272"/>
      <c r="Z41" s="780" t="str">
        <f t="shared" si="15"/>
        <v>进深比</v>
      </c>
      <c r="AA41" s="1811">
        <f t="shared" si="3"/>
        <v>1</v>
      </c>
      <c r="AB41" s="1811">
        <f t="shared" si="4"/>
        <v>1</v>
      </c>
      <c r="AC41" s="1811">
        <f t="shared" si="5"/>
        <v>1</v>
      </c>
    </row>
    <row r="42" spans="1:29" ht="15">
      <c r="A42" s="472"/>
      <c r="B42" s="422" t="s">
        <v>2664</v>
      </c>
      <c r="C42" s="2616"/>
      <c r="D42" s="435">
        <v>100</v>
      </c>
      <c r="E42" s="2616"/>
      <c r="F42" s="461">
        <f>SUMIF(122:122,E42,123:123)-SUMIF(122:122,C42,123:123)+100</f>
        <v>100</v>
      </c>
      <c r="G42" s="2616"/>
      <c r="H42" s="435">
        <f>SUMIF(122:122,G42,123:123)-SUMIF(122:122,C42,123:123)+100</f>
        <v>100</v>
      </c>
      <c r="I42" s="2616"/>
      <c r="J42" s="435">
        <f>SUMIF(122:122,I42,123:123)-SUMIF(122:122,C42,123:123)+100</f>
        <v>100</v>
      </c>
      <c r="K42" s="612"/>
      <c r="L42" s="1140"/>
      <c r="M42" s="1131"/>
      <c r="N42" s="1131"/>
      <c r="O42" s="1131"/>
      <c r="P42" s="3270"/>
      <c r="Q42" s="1810" t="str">
        <f t="shared" si="11"/>
        <v>内部装修</v>
      </c>
      <c r="R42" s="774" t="s">
        <v>17</v>
      </c>
      <c r="S42" s="775">
        <f t="shared" si="12"/>
        <v>100</v>
      </c>
      <c r="T42" s="774" t="s">
        <v>17</v>
      </c>
      <c r="U42" s="775">
        <f t="shared" si="13"/>
        <v>100</v>
      </c>
      <c r="V42" s="774" t="s">
        <v>17</v>
      </c>
      <c r="W42" s="775">
        <f t="shared" si="14"/>
        <v>100</v>
      </c>
      <c r="X42" s="1813"/>
      <c r="Y42" s="3272"/>
      <c r="Z42" s="1814" t="str">
        <f t="shared" si="15"/>
        <v>内部装修</v>
      </c>
      <c r="AA42" s="1811">
        <f t="shared" si="3"/>
        <v>1</v>
      </c>
      <c r="AB42" s="1811">
        <f t="shared" si="4"/>
        <v>1</v>
      </c>
      <c r="AC42" s="1811">
        <f t="shared" si="5"/>
        <v>1</v>
      </c>
    </row>
    <row r="43" spans="1:29" ht="15">
      <c r="A43" s="472"/>
      <c r="B43" s="422" t="s">
        <v>2572</v>
      </c>
      <c r="C43" s="2616"/>
      <c r="D43" s="435">
        <v>100</v>
      </c>
      <c r="E43" s="2616"/>
      <c r="F43" s="461">
        <f>SUMIF(124:124,E43,125:125)-SUMIF(124:124,C43,125:125)+100</f>
        <v>100</v>
      </c>
      <c r="G43" s="2616"/>
      <c r="H43" s="435">
        <f>SUMIF(124:124,G43,125:125)-SUMIF(124:124,C43,125:125)+100</f>
        <v>100</v>
      </c>
      <c r="I43" s="2616"/>
      <c r="J43" s="435">
        <f>SUMIF(124:124,I43,125:125)-SUMIF(124:124,C43,125:125)+100</f>
        <v>100</v>
      </c>
      <c r="K43" s="612"/>
      <c r="L43" s="1140"/>
      <c r="M43" s="1131"/>
      <c r="N43" s="1131"/>
      <c r="O43" s="1131"/>
      <c r="P43" s="3270"/>
      <c r="Q43" s="1810" t="str">
        <f t="shared" si="11"/>
        <v>内部装修维护情况</v>
      </c>
      <c r="R43" s="774" t="s">
        <v>17</v>
      </c>
      <c r="S43" s="775">
        <f t="shared" si="12"/>
        <v>100</v>
      </c>
      <c r="T43" s="774" t="s">
        <v>17</v>
      </c>
      <c r="U43" s="775">
        <f t="shared" si="13"/>
        <v>100</v>
      </c>
      <c r="V43" s="774" t="s">
        <v>17</v>
      </c>
      <c r="W43" s="775">
        <f t="shared" si="14"/>
        <v>100</v>
      </c>
      <c r="X43" s="1813"/>
      <c r="Y43" s="3272"/>
      <c r="Z43" s="1814" t="str">
        <f t="shared" si="15"/>
        <v>内部装修维护情况</v>
      </c>
      <c r="AA43" s="1811">
        <f t="shared" si="3"/>
        <v>1</v>
      </c>
      <c r="AB43" s="1811">
        <f t="shared" si="4"/>
        <v>1</v>
      </c>
      <c r="AC43" s="1811">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70"/>
      <c r="Q44" s="1795">
        <f t="shared" si="11"/>
        <v>111</v>
      </c>
      <c r="R44" s="770" t="s">
        <v>17</v>
      </c>
      <c r="S44" s="771">
        <f t="shared" si="12"/>
        <v>100</v>
      </c>
      <c r="T44" s="770" t="s">
        <v>17</v>
      </c>
      <c r="U44" s="771">
        <f t="shared" si="13"/>
        <v>100</v>
      </c>
      <c r="V44" s="770" t="s">
        <v>17</v>
      </c>
      <c r="W44" s="771">
        <f t="shared" si="14"/>
        <v>100</v>
      </c>
      <c r="X44" s="772"/>
      <c r="Y44" s="3272"/>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70"/>
      <c r="Q45" s="1810">
        <f t="shared" si="11"/>
        <v>111</v>
      </c>
      <c r="R45" s="774" t="s">
        <v>17</v>
      </c>
      <c r="S45" s="775">
        <f t="shared" si="12"/>
        <v>100</v>
      </c>
      <c r="T45" s="774" t="s">
        <v>17</v>
      </c>
      <c r="U45" s="775">
        <f t="shared" si="13"/>
        <v>100</v>
      </c>
      <c r="V45" s="774" t="s">
        <v>17</v>
      </c>
      <c r="W45" s="775">
        <f t="shared" si="14"/>
        <v>100</v>
      </c>
      <c r="X45" s="1813"/>
      <c r="Y45" s="3272"/>
      <c r="Z45" s="1814">
        <f t="shared" si="15"/>
        <v>111</v>
      </c>
      <c r="AA45" s="1811">
        <f t="shared" si="3"/>
        <v>1</v>
      </c>
      <c r="AB45" s="1811">
        <f t="shared" si="4"/>
        <v>1</v>
      </c>
      <c r="AC45" s="1811">
        <f t="shared" si="5"/>
        <v>1</v>
      </c>
    </row>
    <row r="46" spans="1:29" ht="15.75" thickBot="1">
      <c r="A46" s="478"/>
      <c r="B46" s="2605">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71"/>
      <c r="Q46" s="1810">
        <f t="shared" si="11"/>
        <v>111</v>
      </c>
      <c r="R46" s="774" t="s">
        <v>17</v>
      </c>
      <c r="S46" s="775">
        <f t="shared" si="12"/>
        <v>100</v>
      </c>
      <c r="T46" s="774" t="s">
        <v>17</v>
      </c>
      <c r="U46" s="775">
        <f t="shared" si="13"/>
        <v>100</v>
      </c>
      <c r="V46" s="774" t="s">
        <v>17</v>
      </c>
      <c r="W46" s="775">
        <f t="shared" si="14"/>
        <v>100</v>
      </c>
      <c r="X46" s="1813"/>
      <c r="Y46" s="3273"/>
      <c r="Z46" s="1814">
        <f t="shared" si="15"/>
        <v>111</v>
      </c>
      <c r="AA46" s="1811">
        <f t="shared" si="3"/>
        <v>1</v>
      </c>
      <c r="AB46" s="1811">
        <f t="shared" si="4"/>
        <v>1</v>
      </c>
      <c r="AC46" s="1811">
        <f t="shared" si="5"/>
        <v>1</v>
      </c>
    </row>
    <row r="47" spans="1:29" ht="15">
      <c r="A47" s="479" t="s">
        <v>2573</v>
      </c>
      <c r="B47" s="480"/>
      <c r="C47" s="1407" t="s">
        <v>1</v>
      </c>
      <c r="D47" s="1408"/>
      <c r="E47" s="1409"/>
      <c r="F47" s="1410"/>
      <c r="G47" s="1411"/>
      <c r="H47" s="1412"/>
      <c r="I47" s="1409"/>
      <c r="J47" s="1412"/>
      <c r="K47" s="783"/>
      <c r="L47" s="1143"/>
      <c r="M47" s="1144"/>
      <c r="N47" s="1131"/>
      <c r="O47" s="1144"/>
      <c r="P47" s="3265" t="str">
        <f>A47</f>
        <v>成交单价（元/平方米）</v>
      </c>
      <c r="Q47" s="3265"/>
      <c r="R47" s="3296">
        <f>E47</f>
        <v>0</v>
      </c>
      <c r="S47" s="3296"/>
      <c r="T47" s="3296">
        <f>G47</f>
        <v>0</v>
      </c>
      <c r="U47" s="3296"/>
      <c r="V47" s="3296">
        <f>I47</f>
        <v>0</v>
      </c>
      <c r="W47" s="3296"/>
      <c r="X47" s="759"/>
      <c r="Y47" s="781"/>
      <c r="Z47" s="759"/>
      <c r="AA47" s="759"/>
      <c r="AB47" s="759"/>
      <c r="AC47" s="759"/>
    </row>
    <row r="48" spans="1:29" ht="15.75" thickBot="1">
      <c r="A48" s="486" t="s">
        <v>2665</v>
      </c>
      <c r="B48" s="487"/>
      <c r="C48" s="1413" t="e">
        <f>R49</f>
        <v>#DIV/0!</v>
      </c>
      <c r="D48" s="1414"/>
      <c r="E48" s="1415" t="e">
        <f>R48</f>
        <v>#DIV/0!</v>
      </c>
      <c r="F48" s="1415"/>
      <c r="G48" s="1413" t="e">
        <f>T48</f>
        <v>#DIV/0!</v>
      </c>
      <c r="H48" s="1414"/>
      <c r="I48" s="1415" t="e">
        <f>V48</f>
        <v>#DIV/0!</v>
      </c>
      <c r="J48" s="1414"/>
      <c r="K48" s="784"/>
      <c r="L48" s="1143"/>
      <c r="M48" s="1144"/>
      <c r="N48" s="1131"/>
      <c r="O48" s="1144"/>
      <c r="P48" s="3265" t="str">
        <f>A48</f>
        <v>比较价值（元/平方米）</v>
      </c>
      <c r="Q48" s="3265"/>
      <c r="R48" s="3266" t="e">
        <f>IF(F1="售价",ROUND(PRODUCT(R47,AA7:AA46),0),ROUND(PRODUCT(R47,AA7:AA46),1))</f>
        <v>#DIV/0!</v>
      </c>
      <c r="S48" s="3266"/>
      <c r="T48" s="3266" t="e">
        <f>IF(F1="售价",ROUND(PRODUCT(T47,AB7:AB46),0),ROUND(PRODUCT(T47,AB7:AB46),1))</f>
        <v>#DIV/0!</v>
      </c>
      <c r="U48" s="3266"/>
      <c r="V48" s="3266" t="e">
        <f>IF(F1="售价",ROUND(PRODUCT(V47,AC7:AC46),0),ROUND(PRODUCT(V47,AC7:AC46),1))</f>
        <v>#DIV/0!</v>
      </c>
      <c r="W48" s="3266"/>
      <c r="X48" s="759"/>
      <c r="Y48" s="759"/>
      <c r="Z48" s="759"/>
      <c r="AA48" s="759"/>
      <c r="AB48" s="759"/>
      <c r="AC48" s="759"/>
    </row>
    <row r="49" spans="1:29" ht="15.75" thickBot="1">
      <c r="A49" s="492" t="s">
        <v>2666</v>
      </c>
      <c r="B49" s="493"/>
      <c r="C49" s="1417" t="e">
        <f>R49</f>
        <v>#DIV/0!</v>
      </c>
      <c r="D49" s="1417"/>
      <c r="E49" s="1417"/>
      <c r="F49" s="1417"/>
      <c r="G49" s="1417"/>
      <c r="H49" s="1417"/>
      <c r="I49" s="1417"/>
      <c r="J49" s="1417"/>
      <c r="K49" s="785"/>
      <c r="L49" s="1143"/>
      <c r="M49" s="1144"/>
      <c r="N49" s="1131"/>
      <c r="O49" s="1144"/>
      <c r="P49" s="3262" t="str">
        <f>A49</f>
        <v>估价对象XX用房的比较价值（楼面单价，元/平方米）</v>
      </c>
      <c r="Q49" s="3263"/>
      <c r="R49" s="3264" t="e">
        <f>IF(F1="售价",ROUND(AVERAGE(R48:V48),0),ROUND(AVERAGE(R48:V48),1))</f>
        <v>#DIV/0!</v>
      </c>
      <c r="S49" s="3264"/>
      <c r="T49" s="3264"/>
      <c r="U49" s="3264"/>
      <c r="V49" s="3264"/>
      <c r="W49" s="3264"/>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2667</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2668</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2669</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9"/>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9"/>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2670</v>
      </c>
      <c r="B57" s="759"/>
      <c r="C57" s="764"/>
      <c r="D57" s="764"/>
      <c r="E57" s="764"/>
      <c r="F57" s="765"/>
      <c r="G57" s="765"/>
      <c r="H57" s="764"/>
      <c r="I57" s="764"/>
      <c r="J57" s="764"/>
      <c r="K57" s="766"/>
      <c r="L57" s="1161"/>
      <c r="M57" s="1159"/>
      <c r="N57" s="1159"/>
      <c r="O57" s="1159"/>
      <c r="P57" s="2670"/>
      <c r="Q57" s="2671"/>
      <c r="R57" s="759"/>
      <c r="S57" s="759"/>
      <c r="T57" s="759"/>
      <c r="U57" s="759"/>
      <c r="V57" s="759"/>
      <c r="W57" s="759"/>
      <c r="X57" s="759"/>
      <c r="Y57" s="759"/>
      <c r="Z57" s="759"/>
      <c r="AA57" s="759"/>
      <c r="AB57" s="759"/>
      <c r="AC57" s="759"/>
    </row>
    <row r="58" spans="1:29" s="508" customFormat="1" ht="15">
      <c r="A58" s="505" t="s">
        <v>2544</v>
      </c>
      <c r="B58" s="506"/>
      <c r="C58" s="1574" t="str">
        <f>YEAR(C7)&amp;"-"&amp;MONTH(C7)</f>
        <v>2019-5</v>
      </c>
      <c r="D58" s="1575">
        <f>EDATE(C58,-1)</f>
        <v>43556</v>
      </c>
      <c r="E58" s="1575">
        <f t="shared" ref="E58:N58" si="16">EDATE(D58,-1)</f>
        <v>43525</v>
      </c>
      <c r="F58" s="1575">
        <f t="shared" si="16"/>
        <v>43497</v>
      </c>
      <c r="G58" s="1575">
        <f t="shared" si="16"/>
        <v>43466</v>
      </c>
      <c r="H58" s="1575">
        <f t="shared" si="16"/>
        <v>43435</v>
      </c>
      <c r="I58" s="1575">
        <f t="shared" si="16"/>
        <v>43405</v>
      </c>
      <c r="J58" s="1575">
        <f t="shared" si="16"/>
        <v>43374</v>
      </c>
      <c r="K58" s="1575">
        <f t="shared" si="16"/>
        <v>43344</v>
      </c>
      <c r="L58" s="1575">
        <f t="shared" si="16"/>
        <v>43313</v>
      </c>
      <c r="M58" s="1575">
        <f t="shared" si="16"/>
        <v>43282</v>
      </c>
      <c r="N58" s="1575">
        <f t="shared" si="16"/>
        <v>43252</v>
      </c>
      <c r="O58" s="1575">
        <f>EDATE(N58,-1)</f>
        <v>43221</v>
      </c>
      <c r="P58" s="1570"/>
    </row>
    <row r="59" spans="1:29" s="117" customFormat="1" ht="15">
      <c r="A59" s="509"/>
      <c r="B59" s="510"/>
      <c r="C59" s="1573">
        <v>100</v>
      </c>
      <c r="D59" s="512"/>
      <c r="E59" s="512"/>
      <c r="F59" s="512"/>
      <c r="G59" s="512"/>
      <c r="H59" s="512"/>
      <c r="I59" s="512"/>
      <c r="J59" s="512"/>
      <c r="K59" s="512"/>
      <c r="L59" s="512"/>
      <c r="M59" s="513"/>
      <c r="N59" s="512"/>
      <c r="O59" s="513"/>
      <c r="P59" s="2631"/>
    </row>
    <row r="60" spans="1:29" s="117" customFormat="1" ht="15.75" thickBot="1">
      <c r="A60" s="515" t="s">
        <v>2581</v>
      </c>
      <c r="B60" s="516"/>
      <c r="C60" s="517"/>
      <c r="D60" s="518"/>
      <c r="E60" s="518"/>
      <c r="F60" s="518"/>
      <c r="G60" s="518"/>
      <c r="H60" s="518"/>
      <c r="I60" s="518"/>
      <c r="J60" s="518"/>
      <c r="K60" s="518"/>
      <c r="L60" s="518"/>
      <c r="M60" s="519"/>
      <c r="N60" s="518"/>
      <c r="O60" s="519"/>
      <c r="P60" s="2631"/>
      <c r="Q60" s="504"/>
    </row>
    <row r="61" spans="1:29" s="117" customFormat="1" ht="15">
      <c r="A61" s="521" t="s">
        <v>2546</v>
      </c>
      <c r="B61" s="510"/>
      <c r="C61" s="522" t="s">
        <v>2648</v>
      </c>
      <c r="D61" s="523"/>
      <c r="E61" s="523"/>
      <c r="F61" s="523"/>
      <c r="G61" s="523"/>
      <c r="H61" s="523"/>
      <c r="I61" s="523"/>
      <c r="J61" s="523"/>
      <c r="K61" s="523"/>
      <c r="L61" s="524"/>
      <c r="M61" s="525"/>
      <c r="N61" s="1151"/>
      <c r="O61" s="1151"/>
      <c r="P61" s="2632"/>
      <c r="Q61" s="504"/>
    </row>
    <row r="62" spans="1:29" s="117" customFormat="1" ht="15.75" thickBot="1">
      <c r="A62" s="521"/>
      <c r="B62" s="510"/>
      <c r="C62" s="511">
        <v>100</v>
      </c>
      <c r="D62" s="512"/>
      <c r="E62" s="512"/>
      <c r="F62" s="512"/>
      <c r="G62" s="512"/>
      <c r="H62" s="512"/>
      <c r="I62" s="512"/>
      <c r="J62" s="512"/>
      <c r="K62" s="512"/>
      <c r="L62" s="512"/>
      <c r="M62" s="514"/>
      <c r="N62" s="1151"/>
      <c r="O62" s="1151"/>
      <c r="P62" s="2631"/>
      <c r="Q62" s="504"/>
    </row>
    <row r="63" spans="1:29">
      <c r="A63" s="527" t="s">
        <v>2584</v>
      </c>
      <c r="B63" s="528" t="s">
        <v>2550</v>
      </c>
      <c r="C63" s="529">
        <f>C9</f>
        <v>0</v>
      </c>
      <c r="D63" s="530"/>
      <c r="E63" s="530"/>
      <c r="F63" s="530"/>
      <c r="G63" s="530"/>
      <c r="H63" s="530"/>
      <c r="I63" s="530"/>
      <c r="J63" s="530"/>
      <c r="K63" s="531"/>
      <c r="L63" s="532"/>
      <c r="M63" s="533"/>
      <c r="N63" s="1152"/>
      <c r="O63" s="1152"/>
      <c r="P63" s="2633"/>
      <c r="Q63" s="504"/>
    </row>
    <row r="64" spans="1:29" ht="15.75" thickBot="1">
      <c r="A64" s="534"/>
      <c r="B64" s="535"/>
      <c r="C64" s="536">
        <v>100</v>
      </c>
      <c r="D64" s="536"/>
      <c r="E64" s="536"/>
      <c r="F64" s="536"/>
      <c r="G64" s="536"/>
      <c r="H64" s="536"/>
      <c r="I64" s="536"/>
      <c r="J64" s="536"/>
      <c r="K64" s="536"/>
      <c r="L64" s="536"/>
      <c r="M64" s="537"/>
      <c r="N64" s="1153"/>
      <c r="O64" s="1153"/>
      <c r="P64" s="2633"/>
      <c r="Q64" s="504"/>
    </row>
    <row r="65" spans="1:17" ht="27.75" thickTop="1">
      <c r="A65" s="534"/>
      <c r="B65" s="538" t="s">
        <v>2553</v>
      </c>
      <c r="C65" s="539" t="s">
        <v>2585</v>
      </c>
      <c r="D65" s="539" t="s">
        <v>2586</v>
      </c>
      <c r="E65" s="539" t="s">
        <v>2587</v>
      </c>
      <c r="F65" s="539" t="s">
        <v>2588</v>
      </c>
      <c r="G65" s="539" t="s">
        <v>2589</v>
      </c>
      <c r="H65" s="539" t="s">
        <v>2590</v>
      </c>
      <c r="I65" s="539" t="s">
        <v>2591</v>
      </c>
      <c r="J65" s="539"/>
      <c r="K65" s="540"/>
      <c r="L65" s="541"/>
      <c r="M65" s="542"/>
      <c r="N65" s="1152"/>
      <c r="O65" s="1152"/>
      <c r="P65" s="2633"/>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33"/>
      <c r="Q66" s="504"/>
    </row>
    <row r="67" spans="1:17" ht="15.75" thickTop="1">
      <c r="A67" s="534"/>
      <c r="B67" s="546" t="s">
        <v>2554</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33"/>
      <c r="Q67" s="504"/>
    </row>
    <row r="68" spans="1:17" ht="15">
      <c r="A68" s="534"/>
      <c r="B68" s="548"/>
      <c r="C68" s="549"/>
      <c r="D68" s="549"/>
      <c r="E68" s="549"/>
      <c r="F68" s="549"/>
      <c r="G68" s="549"/>
      <c r="H68" s="549"/>
      <c r="I68" s="549"/>
      <c r="J68" s="549"/>
      <c r="K68" s="550"/>
      <c r="L68" s="551"/>
      <c r="M68" s="552"/>
      <c r="N68" s="1152"/>
      <c r="O68" s="1152"/>
      <c r="P68" s="2633"/>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33"/>
      <c r="Q69" s="504"/>
    </row>
    <row r="70" spans="1:17" s="471" customFormat="1" ht="15.75" thickTop="1">
      <c r="A70" s="553"/>
      <c r="B70" s="538">
        <f>B12</f>
        <v>111</v>
      </c>
      <c r="C70" s="554"/>
      <c r="D70" s="554"/>
      <c r="E70" s="554"/>
      <c r="F70" s="554"/>
      <c r="G70" s="554"/>
      <c r="H70" s="555"/>
      <c r="I70" s="555"/>
      <c r="J70" s="555"/>
      <c r="K70" s="555"/>
      <c r="L70" s="556"/>
      <c r="M70" s="557"/>
      <c r="N70" s="1154"/>
      <c r="O70" s="1154"/>
      <c r="P70" s="2634"/>
      <c r="Q70" s="559"/>
    </row>
    <row r="71" spans="1:17" s="471" customFormat="1" ht="15.75" thickBot="1">
      <c r="A71" s="553"/>
      <c r="B71" s="543"/>
      <c r="C71" s="560"/>
      <c r="D71" s="536"/>
      <c r="E71" s="536"/>
      <c r="F71" s="536"/>
      <c r="G71" s="536"/>
      <c r="H71" s="536"/>
      <c r="I71" s="536"/>
      <c r="J71" s="536"/>
      <c r="K71" s="536"/>
      <c r="L71" s="536"/>
      <c r="M71" s="537"/>
      <c r="N71" s="1153"/>
      <c r="O71" s="1153"/>
      <c r="P71" s="2634"/>
      <c r="Q71" s="559"/>
    </row>
    <row r="72" spans="1:17" s="471" customFormat="1" ht="15.75" thickTop="1">
      <c r="A72" s="553"/>
      <c r="B72" s="538">
        <f>B13</f>
        <v>111</v>
      </c>
      <c r="C72" s="554"/>
      <c r="D72" s="554"/>
      <c r="E72" s="554"/>
      <c r="F72" s="554"/>
      <c r="G72" s="554"/>
      <c r="H72" s="555"/>
      <c r="I72" s="555"/>
      <c r="J72" s="555"/>
      <c r="K72" s="555"/>
      <c r="L72" s="556"/>
      <c r="M72" s="557"/>
      <c r="N72" s="1154"/>
      <c r="O72" s="1154"/>
      <c r="P72" s="2635"/>
      <c r="Q72" s="561"/>
    </row>
    <row r="73" spans="1:17" s="471" customFormat="1" ht="15.75" thickBot="1">
      <c r="A73" s="553"/>
      <c r="B73" s="543"/>
      <c r="C73" s="560"/>
      <c r="D73" s="536"/>
      <c r="E73" s="536"/>
      <c r="F73" s="536"/>
      <c r="G73" s="560"/>
      <c r="H73" s="562"/>
      <c r="I73" s="562"/>
      <c r="J73" s="562"/>
      <c r="K73" s="562"/>
      <c r="L73" s="562"/>
      <c r="M73" s="563"/>
      <c r="N73" s="1154"/>
      <c r="O73" s="1154"/>
      <c r="P73" s="2634"/>
      <c r="Q73" s="559"/>
    </row>
    <row r="74" spans="1:17" s="471" customFormat="1" ht="15.75" thickTop="1">
      <c r="A74" s="553"/>
      <c r="B74" s="546">
        <f>B14</f>
        <v>111</v>
      </c>
      <c r="C74" s="554"/>
      <c r="D74" s="554"/>
      <c r="E74" s="554"/>
      <c r="F74" s="554"/>
      <c r="G74" s="523"/>
      <c r="H74" s="564"/>
      <c r="I74" s="564"/>
      <c r="J74" s="564"/>
      <c r="K74" s="564"/>
      <c r="L74" s="565"/>
      <c r="M74" s="566"/>
      <c r="N74" s="1154"/>
      <c r="O74" s="1154"/>
      <c r="P74" s="2636"/>
      <c r="Q74" s="559"/>
    </row>
    <row r="75" spans="1:17" s="471" customFormat="1" ht="15.75" thickBot="1">
      <c r="A75" s="568"/>
      <c r="B75" s="569"/>
      <c r="C75" s="570"/>
      <c r="D75" s="570"/>
      <c r="E75" s="570"/>
      <c r="F75" s="570"/>
      <c r="G75" s="570"/>
      <c r="H75" s="571"/>
      <c r="I75" s="571"/>
      <c r="J75" s="571"/>
      <c r="K75" s="571"/>
      <c r="L75" s="571"/>
      <c r="M75" s="572"/>
      <c r="N75" s="1154"/>
      <c r="O75" s="1154"/>
      <c r="P75" s="2634"/>
      <c r="Q75" s="559"/>
    </row>
    <row r="76" spans="1:17">
      <c r="A76" s="527" t="s">
        <v>2555</v>
      </c>
      <c r="B76" s="528" t="s">
        <v>2592</v>
      </c>
      <c r="C76" s="573" t="s">
        <v>2593</v>
      </c>
      <c r="D76" s="573" t="s">
        <v>2594</v>
      </c>
      <c r="E76" s="573" t="s">
        <v>2595</v>
      </c>
      <c r="F76" s="573" t="s">
        <v>2596</v>
      </c>
      <c r="G76" s="573" t="s">
        <v>2597</v>
      </c>
      <c r="H76" s="529"/>
      <c r="I76" s="529"/>
      <c r="J76" s="529"/>
      <c r="K76" s="574"/>
      <c r="L76" s="575"/>
      <c r="M76" s="576"/>
      <c r="N76" s="1152"/>
      <c r="O76" s="1152"/>
      <c r="P76" s="2637"/>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3"/>
      <c r="Q77" s="504"/>
    </row>
    <row r="78" spans="1:17" ht="15.75" thickTop="1">
      <c r="A78" s="534"/>
      <c r="B78" s="538" t="s">
        <v>2598</v>
      </c>
      <c r="C78" s="578" t="s">
        <v>2593</v>
      </c>
      <c r="D78" s="578" t="s">
        <v>2594</v>
      </c>
      <c r="E78" s="578" t="s">
        <v>2595</v>
      </c>
      <c r="F78" s="578" t="s">
        <v>2596</v>
      </c>
      <c r="G78" s="578" t="s">
        <v>2597</v>
      </c>
      <c r="H78" s="539"/>
      <c r="I78" s="539"/>
      <c r="J78" s="539"/>
      <c r="K78" s="540"/>
      <c r="L78" s="541"/>
      <c r="M78" s="542"/>
      <c r="N78" s="1152"/>
      <c r="O78" s="1152"/>
      <c r="P78" s="2633"/>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3"/>
      <c r="Q79" s="504"/>
    </row>
    <row r="80" spans="1:17" ht="15.75" thickTop="1">
      <c r="A80" s="534"/>
      <c r="B80" s="538" t="s">
        <v>2599</v>
      </c>
      <c r="C80" s="578" t="s">
        <v>2593</v>
      </c>
      <c r="D80" s="578" t="s">
        <v>2594</v>
      </c>
      <c r="E80" s="578" t="s">
        <v>2595</v>
      </c>
      <c r="F80" s="578" t="s">
        <v>2596</v>
      </c>
      <c r="G80" s="578" t="s">
        <v>2597</v>
      </c>
      <c r="H80" s="539"/>
      <c r="I80" s="539"/>
      <c r="J80" s="539"/>
      <c r="K80" s="540"/>
      <c r="L80" s="541"/>
      <c r="M80" s="542"/>
      <c r="N80" s="1152"/>
      <c r="O80" s="1152"/>
      <c r="P80" s="2633"/>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3"/>
      <c r="Q81" s="504"/>
    </row>
    <row r="82" spans="1:17" ht="15.75" thickTop="1">
      <c r="A82" s="534"/>
      <c r="B82" s="546" t="s">
        <v>2651</v>
      </c>
      <c r="C82" s="660" t="s">
        <v>2671</v>
      </c>
      <c r="D82" s="660" t="s">
        <v>2672</v>
      </c>
      <c r="E82" s="660" t="s">
        <v>2673</v>
      </c>
      <c r="F82" s="660" t="s">
        <v>2674</v>
      </c>
      <c r="G82" s="660" t="s">
        <v>2675</v>
      </c>
      <c r="H82" s="539"/>
      <c r="I82" s="539"/>
      <c r="J82" s="539"/>
      <c r="K82" s="539"/>
      <c r="L82" s="539"/>
      <c r="M82" s="1382"/>
      <c r="N82" s="1153"/>
      <c r="O82" s="1153"/>
      <c r="P82" s="2633"/>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33"/>
      <c r="Q83" s="504"/>
    </row>
    <row r="84" spans="1:17" ht="15.75" thickTop="1">
      <c r="A84" s="534"/>
      <c r="B84" s="538" t="s">
        <v>2605</v>
      </c>
      <c r="C84" s="578" t="s">
        <v>2593</v>
      </c>
      <c r="D84" s="578" t="s">
        <v>2594</v>
      </c>
      <c r="E84" s="578" t="s">
        <v>2595</v>
      </c>
      <c r="F84" s="578" t="s">
        <v>2596</v>
      </c>
      <c r="G84" s="578" t="s">
        <v>2597</v>
      </c>
      <c r="H84" s="539"/>
      <c r="I84" s="539"/>
      <c r="J84" s="539"/>
      <c r="K84" s="540"/>
      <c r="L84" s="541"/>
      <c r="M84" s="542"/>
      <c r="N84" s="1152"/>
      <c r="O84" s="1152"/>
      <c r="P84" s="2633"/>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3"/>
      <c r="Q85" s="504"/>
    </row>
    <row r="86" spans="1:17" s="117" customFormat="1" ht="15.75" thickTop="1">
      <c r="A86" s="579"/>
      <c r="B86" s="538" t="s">
        <v>2676</v>
      </c>
      <c r="C86" s="554"/>
      <c r="D86" s="554"/>
      <c r="E86" s="554"/>
      <c r="F86" s="554"/>
      <c r="G86" s="554"/>
      <c r="H86" s="554"/>
      <c r="I86" s="554"/>
      <c r="J86" s="554"/>
      <c r="K86" s="554"/>
      <c r="L86" s="580"/>
      <c r="M86" s="581"/>
      <c r="N86" s="1151"/>
      <c r="O86" s="1151"/>
      <c r="P86" s="2633"/>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33"/>
      <c r="Q87" s="504"/>
    </row>
    <row r="88" spans="1:17" s="117" customFormat="1" ht="15.75" thickTop="1">
      <c r="A88" s="579"/>
      <c r="B88" s="538" t="str">
        <f>B26</f>
        <v>平面位置/可视性</v>
      </c>
      <c r="C88" s="554"/>
      <c r="D88" s="554"/>
      <c r="E88" s="554"/>
      <c r="F88" s="2638"/>
      <c r="G88" s="554"/>
      <c r="H88" s="554"/>
      <c r="I88" s="554"/>
      <c r="J88" s="554"/>
      <c r="K88" s="554"/>
      <c r="L88" s="554"/>
      <c r="M88" s="581"/>
      <c r="N88" s="1151"/>
      <c r="O88" s="1151"/>
      <c r="P88" s="2633"/>
      <c r="Q88" s="504"/>
    </row>
    <row r="89" spans="1:17" s="117" customFormat="1" ht="15.75" thickBot="1">
      <c r="A89" s="579"/>
      <c r="B89" s="543"/>
      <c r="C89" s="560"/>
      <c r="D89" s="536"/>
      <c r="E89" s="536"/>
      <c r="F89" s="536"/>
      <c r="G89" s="536"/>
      <c r="H89" s="536"/>
      <c r="I89" s="536"/>
      <c r="J89" s="536"/>
      <c r="K89" s="536"/>
      <c r="L89" s="536"/>
      <c r="M89" s="536"/>
      <c r="N89" s="1153"/>
      <c r="O89" s="1153"/>
      <c r="P89" s="2633"/>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34"/>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34"/>
      <c r="Q91" s="559"/>
    </row>
    <row r="92" spans="1:17" ht="15.75" thickTop="1">
      <c r="A92" s="534"/>
      <c r="B92" s="538" t="str">
        <f>B28</f>
        <v>楼层</v>
      </c>
      <c r="C92" s="554"/>
      <c r="D92" s="554"/>
      <c r="E92" s="554"/>
      <c r="F92" s="554"/>
      <c r="G92" s="554"/>
      <c r="H92" s="554"/>
      <c r="I92" s="554"/>
      <c r="J92" s="554"/>
      <c r="K92" s="554"/>
      <c r="L92" s="580"/>
      <c r="M92" s="581"/>
      <c r="N92" s="1152"/>
      <c r="O92" s="1152"/>
      <c r="P92" s="2633"/>
      <c r="Q92" s="504"/>
    </row>
    <row r="93" spans="1:17" ht="15.75" thickBot="1">
      <c r="A93" s="534"/>
      <c r="B93" s="543"/>
      <c r="C93" s="536"/>
      <c r="D93" s="536"/>
      <c r="E93" s="536"/>
      <c r="F93" s="536"/>
      <c r="G93" s="536"/>
      <c r="H93" s="536"/>
      <c r="I93" s="536"/>
      <c r="J93" s="536"/>
      <c r="K93" s="536"/>
      <c r="L93" s="536"/>
      <c r="M93" s="537"/>
      <c r="N93" s="1153"/>
      <c r="O93" s="1153"/>
      <c r="P93" s="2633"/>
      <c r="Q93" s="504"/>
    </row>
    <row r="94" spans="1:17" ht="15.75" thickTop="1">
      <c r="A94" s="534"/>
      <c r="B94" s="538">
        <f>B29</f>
        <v>111</v>
      </c>
      <c r="C94" s="554"/>
      <c r="D94" s="554"/>
      <c r="E94" s="554"/>
      <c r="F94" s="554"/>
      <c r="G94" s="583"/>
      <c r="H94" s="583"/>
      <c r="I94" s="583"/>
      <c r="J94" s="583"/>
      <c r="K94" s="584"/>
      <c r="L94" s="585"/>
      <c r="M94" s="586"/>
      <c r="N94" s="1152"/>
      <c r="O94" s="1152"/>
      <c r="P94" s="2633"/>
      <c r="Q94" s="504"/>
    </row>
    <row r="95" spans="1:17" ht="15.75" thickBot="1">
      <c r="A95" s="534"/>
      <c r="B95" s="543"/>
      <c r="C95" s="560"/>
      <c r="D95" s="536"/>
      <c r="E95" s="536"/>
      <c r="F95" s="536"/>
      <c r="G95" s="536"/>
      <c r="H95" s="536"/>
      <c r="I95" s="536"/>
      <c r="J95" s="536"/>
      <c r="K95" s="536"/>
      <c r="L95" s="536"/>
      <c r="M95" s="537"/>
      <c r="N95" s="1153"/>
      <c r="O95" s="1153"/>
      <c r="P95" s="2633"/>
      <c r="Q95" s="504"/>
    </row>
    <row r="96" spans="1:17" ht="15.75" thickTop="1">
      <c r="A96" s="534"/>
      <c r="B96" s="538">
        <f>B30</f>
        <v>111</v>
      </c>
      <c r="C96" s="554"/>
      <c r="D96" s="554"/>
      <c r="E96" s="554"/>
      <c r="F96" s="554"/>
      <c r="G96" s="583"/>
      <c r="H96" s="583"/>
      <c r="I96" s="583"/>
      <c r="J96" s="583"/>
      <c r="K96" s="584"/>
      <c r="L96" s="585"/>
      <c r="M96" s="586"/>
      <c r="N96" s="1152"/>
      <c r="O96" s="1152"/>
      <c r="P96" s="2633"/>
      <c r="Q96" s="504"/>
    </row>
    <row r="97" spans="1:17" ht="15.75" thickBot="1">
      <c r="A97" s="534"/>
      <c r="B97" s="543"/>
      <c r="C97" s="560"/>
      <c r="D97" s="536"/>
      <c r="E97" s="536"/>
      <c r="F97" s="536"/>
      <c r="G97" s="536"/>
      <c r="H97" s="536"/>
      <c r="I97" s="536"/>
      <c r="J97" s="536"/>
      <c r="K97" s="536"/>
      <c r="L97" s="536"/>
      <c r="M97" s="537"/>
      <c r="N97" s="1153"/>
      <c r="O97" s="1153"/>
      <c r="P97" s="2633"/>
      <c r="Q97" s="504"/>
    </row>
    <row r="98" spans="1:17" ht="15.75" thickTop="1">
      <c r="A98" s="534"/>
      <c r="B98" s="546">
        <f>B31</f>
        <v>111</v>
      </c>
      <c r="C98" s="554"/>
      <c r="D98" s="554"/>
      <c r="E98" s="554"/>
      <c r="F98" s="554"/>
      <c r="G98" s="587"/>
      <c r="H98" s="587"/>
      <c r="I98" s="587"/>
      <c r="J98" s="587"/>
      <c r="K98" s="588"/>
      <c r="L98" s="589"/>
      <c r="M98" s="590"/>
      <c r="N98" s="1152"/>
      <c r="O98" s="1152"/>
      <c r="P98" s="2633"/>
      <c r="Q98" s="504"/>
    </row>
    <row r="99" spans="1:17" ht="15.75" thickBot="1">
      <c r="A99" s="2639"/>
      <c r="B99" s="569"/>
      <c r="C99" s="570"/>
      <c r="D99" s="570"/>
      <c r="E99" s="570"/>
      <c r="F99" s="570"/>
      <c r="G99" s="591"/>
      <c r="H99" s="591"/>
      <c r="I99" s="591"/>
      <c r="J99" s="591"/>
      <c r="K99" s="591"/>
      <c r="L99" s="591"/>
      <c r="M99" s="592"/>
      <c r="N99" s="1153"/>
      <c r="O99" s="1153"/>
      <c r="P99" s="2633"/>
      <c r="Q99" s="504"/>
    </row>
    <row r="100" spans="1:17">
      <c r="A100" s="527" t="s">
        <v>2559</v>
      </c>
      <c r="B100" s="528" t="s">
        <v>2677</v>
      </c>
      <c r="C100" s="530"/>
      <c r="D100" s="530"/>
      <c r="E100" s="530"/>
      <c r="F100" s="530"/>
      <c r="G100" s="530"/>
      <c r="H100" s="530"/>
      <c r="I100" s="530"/>
      <c r="J100" s="530"/>
      <c r="K100" s="531"/>
      <c r="L100" s="532"/>
      <c r="M100" s="533"/>
      <c r="N100" s="1152"/>
      <c r="O100" s="1152"/>
      <c r="P100" s="2633"/>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33"/>
      <c r="Q101" s="504"/>
    </row>
    <row r="102" spans="1:17" ht="15.75" thickTop="1">
      <c r="A102" s="534"/>
      <c r="B102" s="538" t="s">
        <v>2609</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33"/>
      <c r="Q102" s="504"/>
    </row>
    <row r="103" spans="1:17" s="471" customFormat="1">
      <c r="A103" s="593"/>
      <c r="B103" s="594"/>
      <c r="C103" s="595"/>
      <c r="D103" s="595"/>
      <c r="E103" s="595"/>
      <c r="F103" s="595"/>
      <c r="G103" s="595"/>
      <c r="H103" s="595"/>
      <c r="I103" s="595"/>
      <c r="J103" s="596"/>
      <c r="K103" s="596"/>
      <c r="L103" s="597"/>
      <c r="M103" s="598"/>
      <c r="N103" s="1154"/>
      <c r="O103" s="1154"/>
      <c r="P103" s="2634"/>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34"/>
      <c r="Q104" s="559"/>
    </row>
    <row r="105" spans="1:17" ht="15" thickTop="1">
      <c r="A105" s="599"/>
      <c r="B105" s="538" t="s">
        <v>2610</v>
      </c>
      <c r="C105" s="554"/>
      <c r="D105" s="554"/>
      <c r="E105" s="583"/>
      <c r="F105" s="583"/>
      <c r="G105" s="583"/>
      <c r="H105" s="583"/>
      <c r="I105" s="583"/>
      <c r="J105" s="583"/>
      <c r="K105" s="584"/>
      <c r="L105" s="585"/>
      <c r="M105" s="586"/>
      <c r="N105" s="1152"/>
      <c r="O105" s="1152"/>
      <c r="P105" s="2633"/>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33"/>
      <c r="Q106" s="504"/>
    </row>
    <row r="107" spans="1:17" ht="15" thickTop="1">
      <c r="A107" s="599"/>
      <c r="B107" s="538" t="s">
        <v>2612</v>
      </c>
      <c r="C107" s="554"/>
      <c r="D107" s="554"/>
      <c r="E107" s="554"/>
      <c r="F107" s="583"/>
      <c r="G107" s="583"/>
      <c r="H107" s="583"/>
      <c r="I107" s="583"/>
      <c r="J107" s="583"/>
      <c r="K107" s="584"/>
      <c r="L107" s="585"/>
      <c r="M107" s="586"/>
      <c r="N107" s="1152"/>
      <c r="O107" s="1152"/>
      <c r="P107" s="2633"/>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33"/>
      <c r="Q108" s="504"/>
    </row>
    <row r="109" spans="1:17" ht="15" thickTop="1">
      <c r="A109" s="599"/>
      <c r="B109" s="538" t="s">
        <v>1993</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33"/>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33"/>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33"/>
      <c r="Q111" s="504"/>
    </row>
    <row r="112" spans="1:17" s="471" customFormat="1" ht="15" thickTop="1">
      <c r="A112" s="593"/>
      <c r="B112" s="538" t="s">
        <v>2614</v>
      </c>
      <c r="C112" s="554"/>
      <c r="D112" s="554"/>
      <c r="E112" s="554"/>
      <c r="F112" s="554"/>
      <c r="G112" s="554"/>
      <c r="H112" s="583"/>
      <c r="I112" s="583"/>
      <c r="J112" s="583"/>
      <c r="K112" s="584"/>
      <c r="L112" s="585"/>
      <c r="M112" s="586"/>
      <c r="N112" s="1154"/>
      <c r="O112" s="1154"/>
      <c r="P112" s="2634"/>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34"/>
      <c r="Q113" s="559"/>
    </row>
    <row r="114" spans="1:17" ht="15" thickTop="1">
      <c r="A114" s="599"/>
      <c r="B114" s="538" t="s">
        <v>2678</v>
      </c>
      <c r="C114" s="554"/>
      <c r="D114" s="554"/>
      <c r="E114" s="583"/>
      <c r="F114" s="583"/>
      <c r="G114" s="583"/>
      <c r="H114" s="583"/>
      <c r="I114" s="583"/>
      <c r="J114" s="583"/>
      <c r="K114" s="584"/>
      <c r="L114" s="585"/>
      <c r="M114" s="586"/>
      <c r="N114" s="1152"/>
      <c r="O114" s="1152"/>
      <c r="P114" s="2633"/>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33"/>
      <c r="Q115" s="504"/>
    </row>
    <row r="116" spans="1:17" ht="15" thickTop="1">
      <c r="A116" s="599"/>
      <c r="B116" s="538" t="s">
        <v>2679</v>
      </c>
      <c r="C116" s="554"/>
      <c r="D116" s="554"/>
      <c r="E116" s="554"/>
      <c r="F116" s="554"/>
      <c r="G116" s="554"/>
      <c r="H116" s="583"/>
      <c r="I116" s="583"/>
      <c r="J116" s="583"/>
      <c r="K116" s="584"/>
      <c r="L116" s="585"/>
      <c r="M116" s="586"/>
      <c r="N116" s="1152"/>
      <c r="O116" s="1152"/>
      <c r="P116" s="2633"/>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3"/>
      <c r="Q117" s="504"/>
    </row>
    <row r="118" spans="1:17" ht="15" thickTop="1">
      <c r="A118" s="599"/>
      <c r="B118" s="538" t="s">
        <v>2680</v>
      </c>
      <c r="C118" s="627"/>
      <c r="D118" s="627"/>
      <c r="E118" s="627"/>
      <c r="F118" s="627"/>
      <c r="G118" s="627"/>
      <c r="H118" s="555"/>
      <c r="I118" s="555"/>
      <c r="J118" s="555"/>
      <c r="K118" s="555"/>
      <c r="L118" s="556"/>
      <c r="M118" s="557"/>
      <c r="N118" s="1152"/>
      <c r="O118" s="1152"/>
      <c r="P118" s="2633"/>
      <c r="Q118" s="504"/>
    </row>
    <row r="119" spans="1:17" ht="15.75" thickBot="1">
      <c r="A119" s="534"/>
      <c r="B119" s="543"/>
      <c r="C119" s="560"/>
      <c r="D119" s="536"/>
      <c r="E119" s="536"/>
      <c r="F119" s="536"/>
      <c r="G119" s="536"/>
      <c r="H119" s="536"/>
      <c r="I119" s="536"/>
      <c r="J119" s="536"/>
      <c r="K119" s="536"/>
      <c r="L119" s="536"/>
      <c r="M119" s="537"/>
      <c r="N119" s="1153"/>
      <c r="O119" s="1153"/>
      <c r="P119" s="2633"/>
      <c r="Q119" s="504"/>
    </row>
    <row r="120" spans="1:17" s="471" customFormat="1" ht="15" thickTop="1">
      <c r="A120" s="593"/>
      <c r="B120" s="538" t="s">
        <v>2681</v>
      </c>
      <c r="C120" s="583"/>
      <c r="D120" s="583"/>
      <c r="E120" s="583"/>
      <c r="F120" s="583"/>
      <c r="G120" s="555"/>
      <c r="H120" s="555"/>
      <c r="I120" s="555"/>
      <c r="J120" s="555"/>
      <c r="K120" s="555"/>
      <c r="L120" s="556"/>
      <c r="M120" s="557"/>
      <c r="N120" s="1154"/>
      <c r="O120" s="1154"/>
      <c r="P120" s="2634"/>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34"/>
      <c r="Q121" s="559"/>
    </row>
    <row r="122" spans="1:17" ht="15" thickTop="1">
      <c r="A122" s="599"/>
      <c r="B122" s="538" t="s">
        <v>2616</v>
      </c>
      <c r="C122" s="554"/>
      <c r="D122" s="554"/>
      <c r="E122" s="554"/>
      <c r="F122" s="583"/>
      <c r="G122" s="583"/>
      <c r="H122" s="583"/>
      <c r="I122" s="583"/>
      <c r="J122" s="583"/>
      <c r="K122" s="584"/>
      <c r="L122" s="585"/>
      <c r="M122" s="586"/>
      <c r="N122" s="1152"/>
      <c r="O122" s="1152"/>
      <c r="P122" s="2633"/>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33"/>
      <c r="Q123" s="504"/>
    </row>
    <row r="124" spans="1:17" ht="15" thickTop="1">
      <c r="A124" s="599"/>
      <c r="B124" s="538" t="s">
        <v>2617</v>
      </c>
      <c r="C124" s="578" t="s">
        <v>2593</v>
      </c>
      <c r="D124" s="578" t="s">
        <v>2594</v>
      </c>
      <c r="E124" s="578" t="s">
        <v>2595</v>
      </c>
      <c r="F124" s="578" t="s">
        <v>2596</v>
      </c>
      <c r="G124" s="578" t="s">
        <v>2597</v>
      </c>
      <c r="H124" s="539"/>
      <c r="I124" s="539"/>
      <c r="J124" s="539"/>
      <c r="K124" s="540"/>
      <c r="L124" s="541"/>
      <c r="M124" s="542"/>
      <c r="N124" s="1152"/>
      <c r="O124" s="1152"/>
      <c r="P124" s="2634"/>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3"/>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4"/>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4"/>
      <c r="Q127" s="559"/>
    </row>
    <row r="128" spans="1:17" ht="15" thickTop="1">
      <c r="A128" s="599"/>
      <c r="B128" s="538">
        <f>B45</f>
        <v>111</v>
      </c>
      <c r="C128" s="554"/>
      <c r="D128" s="554"/>
      <c r="E128" s="554"/>
      <c r="F128" s="554"/>
      <c r="G128" s="583"/>
      <c r="H128" s="583"/>
      <c r="I128" s="583"/>
      <c r="J128" s="583"/>
      <c r="K128" s="584"/>
      <c r="L128" s="585"/>
      <c r="M128" s="586"/>
      <c r="N128" s="1152"/>
      <c r="O128" s="1152"/>
      <c r="P128" s="2633"/>
      <c r="Q128" s="504"/>
    </row>
    <row r="129" spans="1:17" ht="15.75" thickBot="1">
      <c r="A129" s="534"/>
      <c r="B129" s="543"/>
      <c r="C129" s="560"/>
      <c r="D129" s="536"/>
      <c r="E129" s="536"/>
      <c r="F129" s="536"/>
      <c r="G129" s="536"/>
      <c r="H129" s="536"/>
      <c r="I129" s="536"/>
      <c r="J129" s="536"/>
      <c r="K129" s="536"/>
      <c r="L129" s="536"/>
      <c r="M129" s="537"/>
      <c r="N129" s="1153"/>
      <c r="O129" s="1153"/>
      <c r="P129" s="2633"/>
      <c r="Q129" s="504"/>
    </row>
    <row r="130" spans="1:17" ht="15" thickTop="1">
      <c r="A130" s="599"/>
      <c r="B130" s="546">
        <f>B46</f>
        <v>111</v>
      </c>
      <c r="C130" s="554"/>
      <c r="D130" s="554"/>
      <c r="E130" s="554"/>
      <c r="F130" s="554"/>
      <c r="G130" s="587"/>
      <c r="H130" s="587"/>
      <c r="I130" s="587"/>
      <c r="J130" s="587"/>
      <c r="K130" s="523"/>
      <c r="L130" s="524"/>
      <c r="M130" s="590"/>
      <c r="N130" s="1152"/>
      <c r="O130" s="1152"/>
      <c r="P130" s="2633"/>
      <c r="Q130" s="504"/>
    </row>
    <row r="131" spans="1:17" ht="15.75" thickBot="1">
      <c r="A131" s="2639"/>
      <c r="B131" s="569"/>
      <c r="C131" s="570"/>
      <c r="D131" s="570"/>
      <c r="E131" s="570"/>
      <c r="F131" s="570"/>
      <c r="G131" s="591"/>
      <c r="H131" s="591"/>
      <c r="I131" s="591"/>
      <c r="J131" s="591"/>
      <c r="K131" s="591"/>
      <c r="L131" s="591"/>
      <c r="M131" s="592"/>
      <c r="N131" s="1153"/>
      <c r="O131" s="1153"/>
      <c r="P131" s="2633"/>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3" type="noConversion"/>
  <conditionalFormatting sqref="F52 H52">
    <cfRule type="containsText" dxfId="103" priority="17" stopIfTrue="1" operator="containsText" text="超过">
      <formula>NOT(ISERROR(SEARCH("超过",F52)))</formula>
    </cfRule>
  </conditionalFormatting>
  <conditionalFormatting sqref="H54">
    <cfRule type="containsText" dxfId="102" priority="15" stopIfTrue="1" operator="containsText" text="超过">
      <formula>NOT(ISERROR(SEARCH("超过",H54)))</formula>
    </cfRule>
  </conditionalFormatting>
  <conditionalFormatting sqref="F54">
    <cfRule type="containsText" dxfId="101" priority="14" stopIfTrue="1" operator="containsText" text="超过">
      <formula>NOT(ISERROR(SEARCH("超过",F54)))</formula>
    </cfRule>
  </conditionalFormatting>
  <conditionalFormatting sqref="F53 H53">
    <cfRule type="containsText" dxfId="100" priority="13" stopIfTrue="1" operator="containsText" text="超过">
      <formula>NOT(ISERROR(SEARCH("超过",F53)))</formula>
    </cfRule>
  </conditionalFormatting>
  <conditionalFormatting sqref="E52">
    <cfRule type="expression" dxfId="99" priority="12" stopIfTrue="1">
      <formula>$F$52="超过30%"</formula>
    </cfRule>
  </conditionalFormatting>
  <conditionalFormatting sqref="E53">
    <cfRule type="expression" dxfId="98" priority="11" stopIfTrue="1">
      <formula>$F$53="超过20%"</formula>
    </cfRule>
  </conditionalFormatting>
  <conditionalFormatting sqref="E54">
    <cfRule type="expression" dxfId="97" priority="10" stopIfTrue="1">
      <formula>$F$54="超过30%"</formula>
    </cfRule>
  </conditionalFormatting>
  <conditionalFormatting sqref="G54">
    <cfRule type="expression" dxfId="96" priority="9" stopIfTrue="1">
      <formula>$H$54="超过30%"</formula>
    </cfRule>
  </conditionalFormatting>
  <conditionalFormatting sqref="G52">
    <cfRule type="expression" dxfId="95" priority="8" stopIfTrue="1">
      <formula>$H$52="超过30%"</formula>
    </cfRule>
  </conditionalFormatting>
  <conditionalFormatting sqref="G53">
    <cfRule type="expression" dxfId="94" priority="7" stopIfTrue="1">
      <formula>$H$53="超过20%"</formula>
    </cfRule>
  </conditionalFormatting>
  <conditionalFormatting sqref="J52">
    <cfRule type="containsText" dxfId="93" priority="6" stopIfTrue="1" operator="containsText" text="超过">
      <formula>NOT(ISERROR(SEARCH("超过",J52)))</formula>
    </cfRule>
  </conditionalFormatting>
  <conditionalFormatting sqref="J54">
    <cfRule type="containsText" dxfId="92" priority="5" stopIfTrue="1" operator="containsText" text="超过">
      <formula>NOT(ISERROR(SEARCH("超过",J54)))</formula>
    </cfRule>
  </conditionalFormatting>
  <conditionalFormatting sqref="J53">
    <cfRule type="containsText" dxfId="91" priority="4" stopIfTrue="1" operator="containsText" text="超过">
      <formula>NOT(ISERROR(SEARCH("超过",J53)))</formula>
    </cfRule>
  </conditionalFormatting>
  <conditionalFormatting sqref="I52">
    <cfRule type="expression" dxfId="90" priority="3" stopIfTrue="1">
      <formula>$J$52="超过30%"</formula>
    </cfRule>
  </conditionalFormatting>
  <conditionalFormatting sqref="I53">
    <cfRule type="expression" dxfId="89" priority="2" stopIfTrue="1">
      <formula>$J$53="超过20%"</formula>
    </cfRule>
  </conditionalFormatting>
  <conditionalFormatting sqref="I54">
    <cfRule type="expression" dxfId="8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33" sqref="J3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2524</v>
      </c>
      <c r="B1" s="2672" t="s">
        <v>2682</v>
      </c>
      <c r="C1" s="1620" t="s">
        <v>2526</v>
      </c>
      <c r="D1" s="1621"/>
      <c r="E1" s="1630"/>
      <c r="F1" s="2587"/>
      <c r="G1" s="1631" t="s">
        <v>2639</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2323</v>
      </c>
      <c r="B2" s="1418" t="e">
        <f ca="1">IF(C2="——",ROUND(C50*D3/10000,0),ROUND(C50*D3/10000,0)-D2)</f>
        <v>#DIV/0!</v>
      </c>
      <c r="C2" s="2589"/>
      <c r="D2" s="1365" t="e">
        <f ca="1">SUMIF(INDIRECT("'"&amp;F2&amp;"'"&amp;"!A:A"),"承租人权益价值",INDIRECT("'"&amp;F2&amp;"'"&amp;"!c:c"))</f>
        <v>#REF!</v>
      </c>
      <c r="E2" s="2590" t="s">
        <v>2324</v>
      </c>
      <c r="F2" s="2591"/>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2325</v>
      </c>
      <c r="B3" s="609" t="e">
        <f ca="1">IF(C2="——",C50,ROUND(B2*10000/D3,0))</f>
        <v>#DIV/0!</v>
      </c>
      <c r="C3" s="400" t="s">
        <v>2640</v>
      </c>
      <c r="D3" s="399">
        <f>IF(D1="",'数据-汇总表'!E3,SUMIF('数据-汇总表'!$C19:$C33,D1,'数据-汇总表'!$E19:$E33))</f>
        <v>27202.3</v>
      </c>
      <c r="E3" s="2666"/>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2641</v>
      </c>
      <c r="B4" s="402"/>
      <c r="C4" s="3280" t="s">
        <v>2642</v>
      </c>
      <c r="D4" s="3281"/>
      <c r="E4" s="3282" t="s">
        <v>2643</v>
      </c>
      <c r="F4" s="3283"/>
      <c r="G4" s="3280" t="s">
        <v>2644</v>
      </c>
      <c r="H4" s="3281"/>
      <c r="I4" s="3280" t="s">
        <v>2645</v>
      </c>
      <c r="J4" s="3281"/>
      <c r="K4" s="610" t="s">
        <v>2646</v>
      </c>
      <c r="L4" s="1130"/>
      <c r="M4" s="1131"/>
      <c r="N4" s="1131"/>
      <c r="O4" s="1131"/>
      <c r="P4" s="3314" t="s">
        <v>2647</v>
      </c>
      <c r="Q4" s="3315"/>
      <c r="R4" s="3318" t="s">
        <v>2643</v>
      </c>
      <c r="S4" s="3319"/>
      <c r="T4" s="3318" t="s">
        <v>2644</v>
      </c>
      <c r="U4" s="3319"/>
      <c r="V4" s="3320" t="s">
        <v>2645</v>
      </c>
      <c r="W4" s="3320"/>
      <c r="X4" s="2673"/>
      <c r="Y4" s="3318" t="s">
        <v>2647</v>
      </c>
      <c r="Z4" s="3319"/>
      <c r="AA4" s="3322" t="s">
        <v>2643</v>
      </c>
      <c r="AB4" s="3322" t="s">
        <v>2644</v>
      </c>
      <c r="AC4" s="3311" t="s">
        <v>2645</v>
      </c>
    </row>
    <row r="5" spans="1:29" ht="15">
      <c r="A5" s="404"/>
      <c r="B5" s="405"/>
      <c r="C5" s="3299" t="s">
        <v>2538</v>
      </c>
      <c r="D5" s="3300"/>
      <c r="E5" s="3306" t="s">
        <v>2539</v>
      </c>
      <c r="F5" s="3307"/>
      <c r="G5" s="3299" t="s">
        <v>2540</v>
      </c>
      <c r="H5" s="3300"/>
      <c r="I5" s="3299" t="s">
        <v>2541</v>
      </c>
      <c r="J5" s="3300"/>
      <c r="K5" s="610"/>
      <c r="L5" s="1130"/>
      <c r="M5" s="1131"/>
      <c r="N5" s="1131"/>
      <c r="O5" s="1131"/>
      <c r="P5" s="3316"/>
      <c r="Q5" s="3287"/>
      <c r="R5" s="3292"/>
      <c r="S5" s="3293"/>
      <c r="T5" s="3292"/>
      <c r="U5" s="3293"/>
      <c r="V5" s="3296"/>
      <c r="W5" s="3296"/>
      <c r="X5" s="1813"/>
      <c r="Y5" s="3292"/>
      <c r="Z5" s="3293"/>
      <c r="AA5" s="3278"/>
      <c r="AB5" s="3278"/>
      <c r="AC5" s="3312"/>
    </row>
    <row r="6" spans="1:29" ht="15.75" thickBot="1">
      <c r="A6" s="406"/>
      <c r="B6" s="407"/>
      <c r="C6" s="3297" t="s">
        <v>2542</v>
      </c>
      <c r="D6" s="3298"/>
      <c r="E6" s="3304" t="s">
        <v>2542</v>
      </c>
      <c r="F6" s="3305"/>
      <c r="G6" s="3297" t="s">
        <v>2542</v>
      </c>
      <c r="H6" s="3298"/>
      <c r="I6" s="3297" t="s">
        <v>2542</v>
      </c>
      <c r="J6" s="3298"/>
      <c r="K6" s="610" t="s">
        <v>2543</v>
      </c>
      <c r="L6" s="1130"/>
      <c r="M6" s="1131"/>
      <c r="N6" s="1131"/>
      <c r="O6" s="1131"/>
      <c r="P6" s="3317"/>
      <c r="Q6" s="3289"/>
      <c r="R6" s="3292"/>
      <c r="S6" s="3293"/>
      <c r="T6" s="3294"/>
      <c r="U6" s="3295"/>
      <c r="V6" s="3296"/>
      <c r="W6" s="3296"/>
      <c r="X6" s="1813"/>
      <c r="Y6" s="3294"/>
      <c r="Z6" s="3295"/>
      <c r="AA6" s="3279"/>
      <c r="AB6" s="3279"/>
      <c r="AC6" s="3313"/>
    </row>
    <row r="7" spans="1:29" s="117" customFormat="1" ht="15.75" thickBot="1">
      <c r="A7" s="408" t="s">
        <v>2544</v>
      </c>
      <c r="B7" s="409"/>
      <c r="C7" s="410">
        <f>'数据-取费表'!B2</f>
        <v>43592</v>
      </c>
      <c r="D7" s="411">
        <v>100</v>
      </c>
      <c r="E7" s="412"/>
      <c r="F7" s="413">
        <f>SUMIF(59:59,YEAR(E7)&amp;"-"&amp;MONTH(E7),60:60)</f>
        <v>0</v>
      </c>
      <c r="G7" s="412"/>
      <c r="H7" s="411">
        <f>SUMIF(59:59,YEAR(G7)&amp;"-"&amp;MONTH(G7),60:60)</f>
        <v>0</v>
      </c>
      <c r="I7" s="412"/>
      <c r="J7" s="411">
        <f>SUMIF(59:59,YEAR(I7)&amp;"-"&amp;MONTH(I7),60:60)</f>
        <v>0</v>
      </c>
      <c r="K7" s="611"/>
      <c r="L7" s="1132"/>
      <c r="M7" s="1133"/>
      <c r="N7" s="1133"/>
      <c r="O7" s="1133"/>
      <c r="P7" s="3321" t="s">
        <v>2545</v>
      </c>
      <c r="Q7" s="3303"/>
      <c r="R7" s="770" t="s">
        <v>17</v>
      </c>
      <c r="S7" s="771">
        <f t="shared" ref="S7:S15" si="0">F7</f>
        <v>0</v>
      </c>
      <c r="T7" s="770" t="s">
        <v>17</v>
      </c>
      <c r="U7" s="771">
        <f t="shared" ref="U7:U15" si="1">H7</f>
        <v>0</v>
      </c>
      <c r="V7" s="770" t="s">
        <v>17</v>
      </c>
      <c r="W7" s="771">
        <f t="shared" ref="W7:W15" si="2">J7</f>
        <v>0</v>
      </c>
      <c r="X7" s="772"/>
      <c r="Y7" s="3301" t="s">
        <v>2545</v>
      </c>
      <c r="Z7" s="3302"/>
      <c r="AA7" s="773" t="e">
        <f>D7/F7</f>
        <v>#DIV/0!</v>
      </c>
      <c r="AB7" s="773" t="e">
        <f>D7/H7</f>
        <v>#DIV/0!</v>
      </c>
      <c r="AC7" s="2674" t="e">
        <f>D7/J7</f>
        <v>#DIV/0!</v>
      </c>
    </row>
    <row r="8" spans="1:29" s="117" customFormat="1" ht="15.75" thickBot="1">
      <c r="A8" s="408" t="s">
        <v>2546</v>
      </c>
      <c r="B8" s="409"/>
      <c r="C8" s="414" t="s">
        <v>2648</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321" t="s">
        <v>2548</v>
      </c>
      <c r="Q8" s="3302"/>
      <c r="R8" s="770" t="s">
        <v>17</v>
      </c>
      <c r="S8" s="771">
        <f t="shared" si="0"/>
        <v>0</v>
      </c>
      <c r="T8" s="770" t="s">
        <v>17</v>
      </c>
      <c r="U8" s="771">
        <f t="shared" si="1"/>
        <v>0</v>
      </c>
      <c r="V8" s="770" t="s">
        <v>17</v>
      </c>
      <c r="W8" s="771">
        <f t="shared" si="2"/>
        <v>0</v>
      </c>
      <c r="X8" s="772"/>
      <c r="Y8" s="3301" t="s">
        <v>2548</v>
      </c>
      <c r="Z8" s="3302"/>
      <c r="AA8" s="773" t="e">
        <f t="shared" ref="AA8:AA47" si="3">D8/F8</f>
        <v>#DIV/0!</v>
      </c>
      <c r="AB8" s="773" t="e">
        <f t="shared" ref="AB8:AB47" si="4">D8/H8</f>
        <v>#DIV/0!</v>
      </c>
      <c r="AC8" s="2674" t="e">
        <f t="shared" ref="AC8:AC47" si="5">D8/J8</f>
        <v>#DIV/0!</v>
      </c>
    </row>
    <row r="9" spans="1:29" s="117" customFormat="1">
      <c r="A9" s="415" t="s">
        <v>2549</v>
      </c>
      <c r="B9" s="71" t="s">
        <v>2550</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276" t="s">
        <v>2551</v>
      </c>
      <c r="Q9" s="1795" t="str">
        <f t="shared" ref="Q9:Q15" si="6">B9</f>
        <v>用途</v>
      </c>
      <c r="R9" s="770" t="s">
        <v>17</v>
      </c>
      <c r="S9" s="771">
        <f t="shared" si="0"/>
        <v>100</v>
      </c>
      <c r="T9" s="770" t="s">
        <v>17</v>
      </c>
      <c r="U9" s="771">
        <f t="shared" si="1"/>
        <v>100</v>
      </c>
      <c r="V9" s="770" t="s">
        <v>17</v>
      </c>
      <c r="W9" s="771">
        <f t="shared" si="2"/>
        <v>100</v>
      </c>
      <c r="X9" s="772"/>
      <c r="Y9" s="3042" t="s">
        <v>2552</v>
      </c>
      <c r="Z9" s="55" t="str">
        <f t="shared" ref="Z9:Z15" si="7">Q9</f>
        <v>用途</v>
      </c>
      <c r="AA9" s="773">
        <f t="shared" si="3"/>
        <v>1</v>
      </c>
      <c r="AB9" s="773">
        <f t="shared" si="4"/>
        <v>1</v>
      </c>
      <c r="AC9" s="2674">
        <f t="shared" si="5"/>
        <v>1</v>
      </c>
    </row>
    <row r="10" spans="1:29" s="427" customFormat="1" ht="27">
      <c r="A10" s="421"/>
      <c r="B10" s="422" t="s">
        <v>2553</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276"/>
      <c r="Q10" s="1795" t="str">
        <f t="shared" si="6"/>
        <v>土地使用年限（年）</v>
      </c>
      <c r="R10" s="770" t="s">
        <v>17</v>
      </c>
      <c r="S10" s="771">
        <f t="shared" si="0"/>
        <v>100</v>
      </c>
      <c r="T10" s="770" t="s">
        <v>17</v>
      </c>
      <c r="U10" s="771">
        <f t="shared" si="1"/>
        <v>100</v>
      </c>
      <c r="V10" s="770" t="s">
        <v>17</v>
      </c>
      <c r="W10" s="771">
        <f t="shared" si="2"/>
        <v>100</v>
      </c>
      <c r="X10" s="772"/>
      <c r="Y10" s="3042"/>
      <c r="Z10" s="55" t="str">
        <f t="shared" si="7"/>
        <v>土地使用年限（年）</v>
      </c>
      <c r="AA10" s="773">
        <f t="shared" si="3"/>
        <v>1</v>
      </c>
      <c r="AB10" s="773">
        <f t="shared" si="4"/>
        <v>1</v>
      </c>
      <c r="AC10" s="2674">
        <f t="shared" si="5"/>
        <v>1</v>
      </c>
    </row>
    <row r="11" spans="1:29" ht="15">
      <c r="A11" s="428"/>
      <c r="B11" s="422" t="s">
        <v>2554</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276"/>
      <c r="Q11" s="1795" t="str">
        <f t="shared" si="6"/>
        <v>容积率</v>
      </c>
      <c r="R11" s="770" t="s">
        <v>17</v>
      </c>
      <c r="S11" s="771" t="e">
        <f t="shared" si="0"/>
        <v>#N/A</v>
      </c>
      <c r="T11" s="770" t="s">
        <v>17</v>
      </c>
      <c r="U11" s="771" t="e">
        <f t="shared" si="1"/>
        <v>#N/A</v>
      </c>
      <c r="V11" s="770" t="s">
        <v>17</v>
      </c>
      <c r="W11" s="771" t="e">
        <f t="shared" si="2"/>
        <v>#N/A</v>
      </c>
      <c r="X11" s="772"/>
      <c r="Y11" s="3042"/>
      <c r="Z11" s="55" t="str">
        <f t="shared" si="7"/>
        <v>容积率</v>
      </c>
      <c r="AA11" s="773" t="e">
        <f t="shared" si="3"/>
        <v>#N/A</v>
      </c>
      <c r="AB11" s="773" t="e">
        <f t="shared" si="4"/>
        <v>#N/A</v>
      </c>
      <c r="AC11" s="2674" t="e">
        <f t="shared" si="5"/>
        <v>#N/A</v>
      </c>
    </row>
    <row r="12" spans="1:29" s="117" customFormat="1" ht="15">
      <c r="A12" s="431"/>
      <c r="B12" s="2603">
        <v>111</v>
      </c>
      <c r="C12" s="432"/>
      <c r="D12" s="433">
        <v>100</v>
      </c>
      <c r="E12" s="432"/>
      <c r="F12" s="136">
        <f>SUMIF(71:71,E12,72:72)-SUMIF(71:71,C12,72:72)+100</f>
        <v>100</v>
      </c>
      <c r="G12" s="2675"/>
      <c r="H12" s="136">
        <f>SUMIF(71:71,G12,72:72)-SUMIF(71:71,C12,72:72)+100</f>
        <v>100</v>
      </c>
      <c r="I12" s="432"/>
      <c r="J12" s="136">
        <f>SUMIF(71:71,I12,72:72)-SUMIF(71:71,C12,72:72)+100</f>
        <v>100</v>
      </c>
      <c r="K12" s="613"/>
      <c r="L12" s="1132"/>
      <c r="M12" s="1133"/>
      <c r="N12" s="1133"/>
      <c r="O12" s="1133"/>
      <c r="P12" s="3276"/>
      <c r="Q12" s="1795">
        <f t="shared" si="6"/>
        <v>111</v>
      </c>
      <c r="R12" s="770" t="s">
        <v>17</v>
      </c>
      <c r="S12" s="771">
        <f t="shared" si="0"/>
        <v>100</v>
      </c>
      <c r="T12" s="770" t="s">
        <v>17</v>
      </c>
      <c r="U12" s="771">
        <f t="shared" si="1"/>
        <v>100</v>
      </c>
      <c r="V12" s="770" t="s">
        <v>17</v>
      </c>
      <c r="W12" s="771">
        <f t="shared" si="2"/>
        <v>100</v>
      </c>
      <c r="X12" s="772"/>
      <c r="Y12" s="3042"/>
      <c r="Z12" s="55">
        <f t="shared" si="7"/>
        <v>111</v>
      </c>
      <c r="AA12" s="773">
        <f>D12/F12</f>
        <v>1</v>
      </c>
      <c r="AB12" s="773">
        <f>D12/H12</f>
        <v>1</v>
      </c>
      <c r="AC12" s="2674">
        <f>D12/J12</f>
        <v>1</v>
      </c>
    </row>
    <row r="13" spans="1:29" ht="15">
      <c r="A13" s="428"/>
      <c r="B13" s="2603">
        <v>111</v>
      </c>
      <c r="C13" s="434"/>
      <c r="D13" s="435">
        <v>100</v>
      </c>
      <c r="E13" s="432"/>
      <c r="F13" s="136">
        <f>SUMIF(73:73,E13,74:74)-SUMIF(73:73,C13,74:74)+100</f>
        <v>100</v>
      </c>
      <c r="G13" s="2675"/>
      <c r="H13" s="435">
        <f>SUMIF(73:73,G13,74:74)-SUMIF(73:73,C13,74:74)+100</f>
        <v>100</v>
      </c>
      <c r="I13" s="432"/>
      <c r="J13" s="435">
        <f>SUMIF(73:73,I13,74:74)-SUMIF(73:73,C13,74:74)+100</f>
        <v>100</v>
      </c>
      <c r="K13" s="613"/>
      <c r="L13" s="1140"/>
      <c r="M13" s="1131"/>
      <c r="N13" s="1131"/>
      <c r="O13" s="1131"/>
      <c r="P13" s="3276"/>
      <c r="Q13" s="1795">
        <f t="shared" si="6"/>
        <v>111</v>
      </c>
      <c r="R13" s="770" t="s">
        <v>17</v>
      </c>
      <c r="S13" s="771">
        <f t="shared" si="0"/>
        <v>100</v>
      </c>
      <c r="T13" s="770" t="s">
        <v>17</v>
      </c>
      <c r="U13" s="771">
        <f t="shared" si="1"/>
        <v>100</v>
      </c>
      <c r="V13" s="770" t="s">
        <v>17</v>
      </c>
      <c r="W13" s="771">
        <f t="shared" si="2"/>
        <v>100</v>
      </c>
      <c r="X13" s="772"/>
      <c r="Y13" s="3042"/>
      <c r="Z13" s="55">
        <f t="shared" si="7"/>
        <v>111</v>
      </c>
      <c r="AA13" s="773">
        <f t="shared" si="3"/>
        <v>1</v>
      </c>
      <c r="AB13" s="773">
        <f t="shared" si="4"/>
        <v>1</v>
      </c>
      <c r="AC13" s="2674">
        <f t="shared" si="5"/>
        <v>1</v>
      </c>
    </row>
    <row r="14" spans="1:29" ht="15.75" thickBot="1">
      <c r="A14" s="436"/>
      <c r="B14" s="2605">
        <v>111</v>
      </c>
      <c r="C14" s="437"/>
      <c r="D14" s="438">
        <v>100</v>
      </c>
      <c r="E14" s="628"/>
      <c r="F14" s="438">
        <f>SUMIF(75:75,E14,76:76)-SUMIF(75:75,C14,76:76)+100</f>
        <v>100</v>
      </c>
      <c r="G14" s="2675"/>
      <c r="H14" s="438">
        <f>SUMIF(75:75,G14,76:76)-SUMIF(75:75,C14,76:76)+100</f>
        <v>100</v>
      </c>
      <c r="I14" s="432"/>
      <c r="J14" s="438">
        <f>SUMIF(75:75,I14,76:76)-SUMIF(75:75,C14,76:76)+100</f>
        <v>100</v>
      </c>
      <c r="K14" s="613"/>
      <c r="L14" s="1140"/>
      <c r="M14" s="1131"/>
      <c r="N14" s="1131"/>
      <c r="O14" s="1131"/>
      <c r="P14" s="3276"/>
      <c r="Q14" s="1795">
        <f t="shared" si="6"/>
        <v>111</v>
      </c>
      <c r="R14" s="770" t="s">
        <v>17</v>
      </c>
      <c r="S14" s="771">
        <f t="shared" si="0"/>
        <v>100</v>
      </c>
      <c r="T14" s="770" t="s">
        <v>17</v>
      </c>
      <c r="U14" s="771">
        <f t="shared" si="1"/>
        <v>100</v>
      </c>
      <c r="V14" s="770" t="s">
        <v>17</v>
      </c>
      <c r="W14" s="771">
        <f t="shared" si="2"/>
        <v>100</v>
      </c>
      <c r="X14" s="772"/>
      <c r="Y14" s="3042"/>
      <c r="Z14" s="55">
        <f t="shared" si="7"/>
        <v>111</v>
      </c>
      <c r="AA14" s="773">
        <f t="shared" si="3"/>
        <v>1</v>
      </c>
      <c r="AB14" s="773">
        <f t="shared" si="4"/>
        <v>1</v>
      </c>
      <c r="AC14" s="2674">
        <f t="shared" si="5"/>
        <v>1</v>
      </c>
    </row>
    <row r="15" spans="1:29" ht="71.25">
      <c r="A15" s="440" t="s">
        <v>2555</v>
      </c>
      <c r="B15" s="629" t="s">
        <v>2683</v>
      </c>
      <c r="C15" s="2676"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274" t="s">
        <v>2556</v>
      </c>
      <c r="Q15" s="1810" t="str">
        <f t="shared" si="6"/>
        <v>办公集聚程度</v>
      </c>
      <c r="R15" s="774" t="s">
        <v>17</v>
      </c>
      <c r="S15" s="775">
        <f t="shared" si="0"/>
        <v>100</v>
      </c>
      <c r="T15" s="774" t="s">
        <v>17</v>
      </c>
      <c r="U15" s="775">
        <f t="shared" si="1"/>
        <v>100</v>
      </c>
      <c r="V15" s="774" t="s">
        <v>17</v>
      </c>
      <c r="W15" s="775">
        <f t="shared" si="2"/>
        <v>100</v>
      </c>
      <c r="X15" s="1813"/>
      <c r="Y15" s="3267" t="s">
        <v>2556</v>
      </c>
      <c r="Z15" s="1814" t="str">
        <f t="shared" si="7"/>
        <v>办公集聚程度</v>
      </c>
      <c r="AA15" s="1811">
        <f t="shared" si="3"/>
        <v>1</v>
      </c>
      <c r="AB15" s="1811">
        <f t="shared" si="4"/>
        <v>1</v>
      </c>
      <c r="AC15" s="2677">
        <f t="shared" si="5"/>
        <v>1</v>
      </c>
    </row>
    <row r="16" spans="1:29" ht="15">
      <c r="A16" s="428"/>
      <c r="B16" s="630"/>
      <c r="C16" s="2614"/>
      <c r="D16" s="448"/>
      <c r="E16" s="447"/>
      <c r="F16" s="448"/>
      <c r="G16" s="2614"/>
      <c r="H16" s="450"/>
      <c r="I16" s="447"/>
      <c r="J16" s="448"/>
      <c r="K16" s="615"/>
      <c r="L16" s="1140"/>
      <c r="M16" s="1131"/>
      <c r="N16" s="1131"/>
      <c r="O16" s="1131"/>
      <c r="P16" s="3275"/>
      <c r="Q16" s="1810"/>
      <c r="R16" s="774"/>
      <c r="S16" s="775"/>
      <c r="T16" s="774"/>
      <c r="U16" s="775"/>
      <c r="V16" s="774"/>
      <c r="W16" s="775"/>
      <c r="X16" s="1813"/>
      <c r="Y16" s="3268"/>
      <c r="Z16" s="1814"/>
      <c r="AA16" s="1811">
        <v>1</v>
      </c>
      <c r="AB16" s="1811">
        <v>1</v>
      </c>
      <c r="AC16" s="2677">
        <v>1</v>
      </c>
    </row>
    <row r="17" spans="1:29" ht="71.25">
      <c r="A17" s="428"/>
      <c r="B17" s="631" t="s">
        <v>2095</v>
      </c>
      <c r="C17" s="2678"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275"/>
      <c r="Q17" s="1810" t="str">
        <f>B17</f>
        <v>交通便捷度</v>
      </c>
      <c r="R17" s="774" t="s">
        <v>17</v>
      </c>
      <c r="S17" s="775">
        <f>F17</f>
        <v>100</v>
      </c>
      <c r="T17" s="774" t="s">
        <v>17</v>
      </c>
      <c r="U17" s="775">
        <f>H17</f>
        <v>100</v>
      </c>
      <c r="V17" s="774" t="s">
        <v>17</v>
      </c>
      <c r="W17" s="775">
        <f>J17</f>
        <v>100</v>
      </c>
      <c r="X17" s="1813"/>
      <c r="Y17" s="3268"/>
      <c r="Z17" s="1814" t="str">
        <f>Q17</f>
        <v>交通便捷度</v>
      </c>
      <c r="AA17" s="1811">
        <f t="shared" si="3"/>
        <v>1</v>
      </c>
      <c r="AB17" s="1811">
        <f t="shared" si="4"/>
        <v>1</v>
      </c>
      <c r="AC17" s="2677">
        <f t="shared" si="5"/>
        <v>1</v>
      </c>
    </row>
    <row r="18" spans="1:29" ht="15">
      <c r="A18" s="428"/>
      <c r="B18" s="632"/>
      <c r="C18" s="2679"/>
      <c r="D18" s="450"/>
      <c r="E18" s="2612"/>
      <c r="F18" s="450"/>
      <c r="G18" s="2613"/>
      <c r="H18" s="448"/>
      <c r="I18" s="2613"/>
      <c r="J18" s="448"/>
      <c r="K18" s="615"/>
      <c r="L18" s="1140"/>
      <c r="M18" s="1131"/>
      <c r="N18" s="1131"/>
      <c r="O18" s="1131"/>
      <c r="P18" s="3275"/>
      <c r="Q18" s="1810"/>
      <c r="R18" s="774"/>
      <c r="S18" s="775"/>
      <c r="T18" s="774"/>
      <c r="U18" s="775"/>
      <c r="V18" s="774"/>
      <c r="W18" s="775"/>
      <c r="X18" s="1813"/>
      <c r="Y18" s="3268"/>
      <c r="Z18" s="1814"/>
      <c r="AA18" s="1811">
        <v>1</v>
      </c>
      <c r="AB18" s="1811">
        <v>1</v>
      </c>
      <c r="AC18" s="2677">
        <v>1</v>
      </c>
    </row>
    <row r="19" spans="1:29" ht="42.75">
      <c r="A19" s="428"/>
      <c r="B19" s="631" t="s">
        <v>2684</v>
      </c>
      <c r="C19" s="2678"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275"/>
      <c r="Q19" s="1810" t="str">
        <f>B19</f>
        <v>公共配套设施</v>
      </c>
      <c r="R19" s="774" t="s">
        <v>17</v>
      </c>
      <c r="S19" s="775">
        <f>F19</f>
        <v>100</v>
      </c>
      <c r="T19" s="774" t="s">
        <v>17</v>
      </c>
      <c r="U19" s="775">
        <f>H19</f>
        <v>100</v>
      </c>
      <c r="V19" s="774" t="s">
        <v>17</v>
      </c>
      <c r="W19" s="775">
        <f>J19</f>
        <v>100</v>
      </c>
      <c r="X19" s="1813"/>
      <c r="Y19" s="3268"/>
      <c r="Z19" s="1814" t="str">
        <f>Q19</f>
        <v>公共配套设施</v>
      </c>
      <c r="AA19" s="1811">
        <f t="shared" si="3"/>
        <v>1</v>
      </c>
      <c r="AB19" s="1811">
        <f t="shared" si="4"/>
        <v>1</v>
      </c>
      <c r="AC19" s="2677">
        <f t="shared" si="5"/>
        <v>1</v>
      </c>
    </row>
    <row r="20" spans="1:29" ht="15">
      <c r="A20" s="428"/>
      <c r="B20" s="632"/>
      <c r="C20" s="2614"/>
      <c r="D20" s="448"/>
      <c r="E20" s="2607"/>
      <c r="F20" s="448"/>
      <c r="G20" s="2608"/>
      <c r="H20" s="448"/>
      <c r="I20" s="2608"/>
      <c r="J20" s="448"/>
      <c r="K20" s="615"/>
      <c r="L20" s="1140"/>
      <c r="M20" s="1131"/>
      <c r="N20" s="1131"/>
      <c r="O20" s="1131"/>
      <c r="P20" s="3275"/>
      <c r="Q20" s="1810"/>
      <c r="R20" s="774"/>
      <c r="S20" s="775"/>
      <c r="T20" s="774"/>
      <c r="U20" s="775"/>
      <c r="V20" s="774"/>
      <c r="W20" s="775"/>
      <c r="X20" s="1813"/>
      <c r="Y20" s="3268"/>
      <c r="Z20" s="1814"/>
      <c r="AA20" s="1811">
        <v>1</v>
      </c>
      <c r="AB20" s="1811">
        <v>1</v>
      </c>
      <c r="AC20" s="2677">
        <v>1</v>
      </c>
    </row>
    <row r="21" spans="1:29" ht="28.5">
      <c r="A21" s="428"/>
      <c r="B21" s="633" t="s">
        <v>2685</v>
      </c>
      <c r="C21" s="2678"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275"/>
      <c r="Q21" s="1810" t="str">
        <f>B21</f>
        <v>基础设施水平</v>
      </c>
      <c r="R21" s="774" t="s">
        <v>17</v>
      </c>
      <c r="S21" s="775">
        <f>F21</f>
        <v>100</v>
      </c>
      <c r="T21" s="774" t="s">
        <v>17</v>
      </c>
      <c r="U21" s="775">
        <f>H21</f>
        <v>100</v>
      </c>
      <c r="V21" s="774" t="s">
        <v>17</v>
      </c>
      <c r="W21" s="775">
        <f>J21</f>
        <v>100</v>
      </c>
      <c r="X21" s="1813"/>
      <c r="Y21" s="3268"/>
      <c r="Z21" s="1814" t="str">
        <f>Q21</f>
        <v>基础设施水平</v>
      </c>
      <c r="AA21" s="1811">
        <f t="shared" ref="AA21" si="8">D21/F21</f>
        <v>1</v>
      </c>
      <c r="AB21" s="1811">
        <f t="shared" ref="AB21" si="9">D21/H21</f>
        <v>1</v>
      </c>
      <c r="AC21" s="2677">
        <f t="shared" ref="AC21" si="10">D21/J21</f>
        <v>1</v>
      </c>
    </row>
    <row r="22" spans="1:29" ht="15">
      <c r="A22" s="428"/>
      <c r="B22" s="633"/>
      <c r="C22" s="2679"/>
      <c r="D22" s="448"/>
      <c r="E22" s="447"/>
      <c r="F22" s="448"/>
      <c r="G22" s="2614"/>
      <c r="H22" s="448"/>
      <c r="I22" s="2614"/>
      <c r="J22" s="448"/>
      <c r="K22" s="1383"/>
      <c r="L22" s="1140"/>
      <c r="M22" s="1131"/>
      <c r="N22" s="1131"/>
      <c r="O22" s="1131"/>
      <c r="P22" s="3275"/>
      <c r="Q22" s="1810"/>
      <c r="R22" s="774"/>
      <c r="S22" s="775"/>
      <c r="T22" s="774"/>
      <c r="U22" s="775"/>
      <c r="V22" s="774"/>
      <c r="W22" s="775"/>
      <c r="X22" s="1813"/>
      <c r="Y22" s="3268"/>
      <c r="Z22" s="1814"/>
      <c r="AA22" s="1811">
        <v>1</v>
      </c>
      <c r="AB22" s="1811">
        <v>1</v>
      </c>
      <c r="AC22" s="2677">
        <v>1</v>
      </c>
    </row>
    <row r="23" spans="1:29" ht="42.75">
      <c r="A23" s="428"/>
      <c r="B23" s="631" t="s">
        <v>2686</v>
      </c>
      <c r="C23" s="2678"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275"/>
      <c r="Q23" s="1810" t="str">
        <f>B23</f>
        <v>环境质量</v>
      </c>
      <c r="R23" s="774" t="s">
        <v>17</v>
      </c>
      <c r="S23" s="775">
        <f>F23</f>
        <v>100</v>
      </c>
      <c r="T23" s="774" t="s">
        <v>17</v>
      </c>
      <c r="U23" s="775">
        <f>H23</f>
        <v>100</v>
      </c>
      <c r="V23" s="774" t="s">
        <v>17</v>
      </c>
      <c r="W23" s="775">
        <f>J23</f>
        <v>100</v>
      </c>
      <c r="X23" s="1813"/>
      <c r="Y23" s="3268"/>
      <c r="Z23" s="1814" t="str">
        <f>Q23</f>
        <v>环境质量</v>
      </c>
      <c r="AA23" s="1811">
        <f t="shared" si="3"/>
        <v>1</v>
      </c>
      <c r="AB23" s="1811">
        <f t="shared" si="4"/>
        <v>1</v>
      </c>
      <c r="AC23" s="2677">
        <f t="shared" si="5"/>
        <v>1</v>
      </c>
    </row>
    <row r="24" spans="1:29" ht="15">
      <c r="A24" s="428"/>
      <c r="B24" s="633"/>
      <c r="C24" s="2614"/>
      <c r="D24" s="448"/>
      <c r="E24" s="2607"/>
      <c r="F24" s="448"/>
      <c r="G24" s="2608"/>
      <c r="H24" s="448"/>
      <c r="I24" s="2608"/>
      <c r="J24" s="448"/>
      <c r="K24" s="615"/>
      <c r="L24" s="1140"/>
      <c r="M24" s="1131"/>
      <c r="N24" s="1131"/>
      <c r="O24" s="1131"/>
      <c r="P24" s="3275"/>
      <c r="Q24" s="1810"/>
      <c r="R24" s="774"/>
      <c r="S24" s="775"/>
      <c r="T24" s="774"/>
      <c r="U24" s="775"/>
      <c r="V24" s="774"/>
      <c r="W24" s="775"/>
      <c r="X24" s="1813"/>
      <c r="Y24" s="3268"/>
      <c r="Z24" s="1814"/>
      <c r="AA24" s="1811">
        <v>1</v>
      </c>
      <c r="AB24" s="1811">
        <v>1</v>
      </c>
      <c r="AC24" s="2677">
        <v>1</v>
      </c>
    </row>
    <row r="25" spans="1:29" ht="27">
      <c r="A25" s="404"/>
      <c r="B25" s="631" t="s">
        <v>2687</v>
      </c>
      <c r="C25" s="2618"/>
      <c r="D25" s="435">
        <v>100</v>
      </c>
      <c r="E25" s="434"/>
      <c r="F25" s="435">
        <f>SUMIF(87:87,E26,88:88)-SUMIF(87:87,C26,88:88)+100</f>
        <v>100</v>
      </c>
      <c r="G25" s="2618"/>
      <c r="H25" s="435">
        <f>SUMIF(87:87,G26,88:88)-SUMIF(87:87,C26,88:88)+100</f>
        <v>100</v>
      </c>
      <c r="I25" s="434"/>
      <c r="J25" s="435">
        <f>SUMIF(87:87,I26,88:88)-SUMIF(87:87,C26,88:88)+100</f>
        <v>100</v>
      </c>
      <c r="K25" s="614"/>
      <c r="L25" s="1140"/>
      <c r="M25" s="1131"/>
      <c r="N25" s="1131"/>
      <c r="O25" s="1131"/>
      <c r="P25" s="3275"/>
      <c r="Q25" s="1810" t="str">
        <f>B25</f>
        <v>毗邻道路的类型与等级</v>
      </c>
      <c r="R25" s="774" t="s">
        <v>17</v>
      </c>
      <c r="S25" s="775">
        <f>F25</f>
        <v>100</v>
      </c>
      <c r="T25" s="774" t="s">
        <v>17</v>
      </c>
      <c r="U25" s="775">
        <f>H25</f>
        <v>100</v>
      </c>
      <c r="V25" s="774" t="s">
        <v>17</v>
      </c>
      <c r="W25" s="775">
        <f>J25</f>
        <v>100</v>
      </c>
      <c r="X25" s="1813"/>
      <c r="Y25" s="3268"/>
      <c r="Z25" s="1814" t="str">
        <f>Q25</f>
        <v>毗邻道路的类型与等级</v>
      </c>
      <c r="AA25" s="1811">
        <f t="shared" si="3"/>
        <v>1</v>
      </c>
      <c r="AB25" s="1811">
        <f t="shared" si="4"/>
        <v>1</v>
      </c>
      <c r="AC25" s="2677">
        <f t="shared" si="5"/>
        <v>1</v>
      </c>
    </row>
    <row r="26" spans="1:29" ht="15">
      <c r="A26" s="404"/>
      <c r="B26" s="632"/>
      <c r="C26" s="634"/>
      <c r="D26" s="435"/>
      <c r="E26" s="616"/>
      <c r="F26" s="435"/>
      <c r="G26" s="634"/>
      <c r="H26" s="435"/>
      <c r="I26" s="616"/>
      <c r="J26" s="435"/>
      <c r="K26" s="615"/>
      <c r="L26" s="1140"/>
      <c r="M26" s="1131"/>
      <c r="N26" s="1131"/>
      <c r="O26" s="1131"/>
      <c r="P26" s="3275"/>
      <c r="Q26" s="1810"/>
      <c r="R26" s="774"/>
      <c r="S26" s="775"/>
      <c r="T26" s="774"/>
      <c r="U26" s="775"/>
      <c r="V26" s="774"/>
      <c r="W26" s="775"/>
      <c r="X26" s="1813"/>
      <c r="Y26" s="3268"/>
      <c r="Z26" s="1814"/>
      <c r="AA26" s="1811">
        <v>1</v>
      </c>
      <c r="AB26" s="1811">
        <v>1</v>
      </c>
      <c r="AC26" s="2677">
        <v>1</v>
      </c>
    </row>
    <row r="27" spans="1:29" ht="15">
      <c r="A27" s="428"/>
      <c r="B27" s="632" t="s">
        <v>2655</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275"/>
      <c r="Q27" s="1810" t="str">
        <f t="shared" ref="Q27:Q47" si="11">B27</f>
        <v>楼层</v>
      </c>
      <c r="R27" s="774" t="s">
        <v>17</v>
      </c>
      <c r="S27" s="775">
        <f>F27</f>
        <v>100</v>
      </c>
      <c r="T27" s="774" t="s">
        <v>17</v>
      </c>
      <c r="U27" s="775">
        <f>H27</f>
        <v>100</v>
      </c>
      <c r="V27" s="774" t="s">
        <v>17</v>
      </c>
      <c r="W27" s="775">
        <f>J27</f>
        <v>100</v>
      </c>
      <c r="X27" s="1813"/>
      <c r="Y27" s="3268"/>
      <c r="Z27" s="1814" t="str">
        <f>Q27</f>
        <v>楼层</v>
      </c>
      <c r="AA27" s="1811">
        <f t="shared" si="3"/>
        <v>1</v>
      </c>
      <c r="AB27" s="1811">
        <f t="shared" si="4"/>
        <v>1</v>
      </c>
      <c r="AC27" s="2677">
        <f t="shared" si="5"/>
        <v>1</v>
      </c>
    </row>
    <row r="28" spans="1:29" s="117" customFormat="1" ht="15">
      <c r="A28" s="431"/>
      <c r="B28" s="631" t="s">
        <v>2688</v>
      </c>
      <c r="C28" s="2680"/>
      <c r="D28" s="462">
        <v>100</v>
      </c>
      <c r="E28" s="2668"/>
      <c r="F28" s="462">
        <f>SUMIF(91:91,E28,92:92)-SUMIF(91:91,C28,92:92)+100</f>
        <v>100</v>
      </c>
      <c r="G28" s="2680"/>
      <c r="H28" s="462">
        <f>SUMIF(91:91,G28,92:92)-SUMIF(91:91,C28,92:92)+100</f>
        <v>100</v>
      </c>
      <c r="I28" s="2668"/>
      <c r="J28" s="462">
        <f>SUMIF(91:91,I28,92:92)-SUMIF(91:91,C28,92:92)+100</f>
        <v>100</v>
      </c>
      <c r="K28" s="612"/>
      <c r="L28" s="1132"/>
      <c r="M28" s="1133"/>
      <c r="N28" s="1133"/>
      <c r="O28" s="1133"/>
      <c r="P28" s="3275"/>
      <c r="Q28" s="1795" t="str">
        <f t="shared" si="11"/>
        <v>朝向</v>
      </c>
      <c r="R28" s="770" t="s">
        <v>17</v>
      </c>
      <c r="S28" s="771">
        <f>F28</f>
        <v>100</v>
      </c>
      <c r="T28" s="770" t="s">
        <v>17</v>
      </c>
      <c r="U28" s="771">
        <f>H28</f>
        <v>100</v>
      </c>
      <c r="V28" s="770" t="s">
        <v>17</v>
      </c>
      <c r="W28" s="771">
        <f>J28</f>
        <v>100</v>
      </c>
      <c r="X28" s="772"/>
      <c r="Y28" s="3268"/>
      <c r="Z28" s="55" t="str">
        <f>Q28</f>
        <v>朝向</v>
      </c>
      <c r="AA28" s="1811">
        <f>D28/F28</f>
        <v>1</v>
      </c>
      <c r="AB28" s="1811">
        <f>D28/H28</f>
        <v>1</v>
      </c>
      <c r="AC28" s="2677">
        <f>D28/J28</f>
        <v>1</v>
      </c>
    </row>
    <row r="29" spans="1:29" ht="15">
      <c r="A29" s="428"/>
      <c r="B29" s="2681">
        <v>111</v>
      </c>
      <c r="C29" s="2618"/>
      <c r="D29" s="435">
        <v>100</v>
      </c>
      <c r="E29" s="432"/>
      <c r="F29" s="435">
        <f>SUMIF(93:93,E29,94:94)-SUMIF(93:93,C29,94:94)+100</f>
        <v>100</v>
      </c>
      <c r="G29" s="2675"/>
      <c r="H29" s="435">
        <f>SUMIF(93:93,G29,94:94)-SUMIF(93:93,C29,94:94)+100</f>
        <v>100</v>
      </c>
      <c r="I29" s="432"/>
      <c r="J29" s="435">
        <f>SUMIF(93:93,I29,94:94)-SUMIF(93:93,C29,94:94)+100</f>
        <v>100</v>
      </c>
      <c r="K29" s="613"/>
      <c r="L29" s="1140"/>
      <c r="M29" s="1131"/>
      <c r="N29" s="1131"/>
      <c r="O29" s="1131"/>
      <c r="P29" s="3275"/>
      <c r="Q29" s="1810">
        <f t="shared" si="11"/>
        <v>111</v>
      </c>
      <c r="R29" s="774" t="s">
        <v>17</v>
      </c>
      <c r="S29" s="775">
        <f t="shared" ref="S29:S47" si="12">F29</f>
        <v>100</v>
      </c>
      <c r="T29" s="774" t="s">
        <v>17</v>
      </c>
      <c r="U29" s="775">
        <f t="shared" ref="U29:U47" si="13">H29</f>
        <v>100</v>
      </c>
      <c r="V29" s="774" t="s">
        <v>17</v>
      </c>
      <c r="W29" s="775">
        <f t="shared" ref="W29:W47" si="14">J29</f>
        <v>100</v>
      </c>
      <c r="X29" s="1813"/>
      <c r="Y29" s="3268"/>
      <c r="Z29" s="1814">
        <f t="shared" ref="Z29:Z47" si="15">Q29</f>
        <v>111</v>
      </c>
      <c r="AA29" s="1811">
        <f t="shared" si="3"/>
        <v>1</v>
      </c>
      <c r="AB29" s="1811">
        <f t="shared" si="4"/>
        <v>1</v>
      </c>
      <c r="AC29" s="2677">
        <f t="shared" si="5"/>
        <v>1</v>
      </c>
    </row>
    <row r="30" spans="1:29" ht="15">
      <c r="A30" s="428"/>
      <c r="B30" s="2681">
        <v>111</v>
      </c>
      <c r="C30" s="2618"/>
      <c r="D30" s="435">
        <v>100</v>
      </c>
      <c r="E30" s="432"/>
      <c r="F30" s="435">
        <f>SUMIF(95:95,E30,96:96)-SUMIF(95:95,C30,96:96)+100</f>
        <v>100</v>
      </c>
      <c r="G30" s="2675"/>
      <c r="H30" s="435">
        <f>SUMIF(95:95,G30,96:96)-SUMIF(95:95,C30,96:96)+100</f>
        <v>100</v>
      </c>
      <c r="I30" s="432"/>
      <c r="J30" s="435">
        <f>SUMIF(95:95,I30,96:96)-SUMIF(95:95,C30,96:96)+100</f>
        <v>100</v>
      </c>
      <c r="K30" s="613"/>
      <c r="L30" s="1140"/>
      <c r="M30" s="1131"/>
      <c r="N30" s="1131"/>
      <c r="O30" s="1131"/>
      <c r="P30" s="3275"/>
      <c r="Q30" s="1810">
        <f t="shared" si="11"/>
        <v>111</v>
      </c>
      <c r="R30" s="774" t="s">
        <v>17</v>
      </c>
      <c r="S30" s="775">
        <f t="shared" si="12"/>
        <v>100</v>
      </c>
      <c r="T30" s="774" t="s">
        <v>17</v>
      </c>
      <c r="U30" s="775">
        <f t="shared" si="13"/>
        <v>100</v>
      </c>
      <c r="V30" s="774" t="s">
        <v>17</v>
      </c>
      <c r="W30" s="775">
        <f t="shared" si="14"/>
        <v>100</v>
      </c>
      <c r="X30" s="1813"/>
      <c r="Y30" s="3268"/>
      <c r="Z30" s="1814">
        <f t="shared" si="15"/>
        <v>111</v>
      </c>
      <c r="AA30" s="1811">
        <f t="shared" si="3"/>
        <v>1</v>
      </c>
      <c r="AB30" s="1811">
        <f t="shared" si="4"/>
        <v>1</v>
      </c>
      <c r="AC30" s="2677">
        <f t="shared" si="5"/>
        <v>1</v>
      </c>
    </row>
    <row r="31" spans="1:29" ht="15">
      <c r="A31" s="428"/>
      <c r="B31" s="2681">
        <v>111</v>
      </c>
      <c r="C31" s="2618"/>
      <c r="D31" s="435">
        <v>100</v>
      </c>
      <c r="E31" s="432"/>
      <c r="F31" s="435">
        <f>SUMIF(97:97,E31,98:98)-SUMIF(97:97,C31,98:98)+100</f>
        <v>100</v>
      </c>
      <c r="G31" s="2675"/>
      <c r="H31" s="435">
        <f>SUMIF(97:97,G31,98:98)-SUMIF(97:97,C31,98:98)+100</f>
        <v>100</v>
      </c>
      <c r="I31" s="432"/>
      <c r="J31" s="435">
        <f>SUMIF(97:97,I31,98:98)-SUMIF(97:97,C31,98:98)+100</f>
        <v>100</v>
      </c>
      <c r="K31" s="613"/>
      <c r="L31" s="1140"/>
      <c r="M31" s="1131"/>
      <c r="N31" s="1131"/>
      <c r="O31" s="1131"/>
      <c r="P31" s="3275"/>
      <c r="Q31" s="1810">
        <f t="shared" si="11"/>
        <v>111</v>
      </c>
      <c r="R31" s="774" t="s">
        <v>17</v>
      </c>
      <c r="S31" s="775">
        <f t="shared" si="12"/>
        <v>100</v>
      </c>
      <c r="T31" s="774" t="s">
        <v>17</v>
      </c>
      <c r="U31" s="775">
        <f t="shared" si="13"/>
        <v>100</v>
      </c>
      <c r="V31" s="774" t="s">
        <v>17</v>
      </c>
      <c r="W31" s="775">
        <f t="shared" si="14"/>
        <v>100</v>
      </c>
      <c r="X31" s="1813"/>
      <c r="Y31" s="3268"/>
      <c r="Z31" s="1814">
        <f t="shared" si="15"/>
        <v>111</v>
      </c>
      <c r="AA31" s="1811">
        <f t="shared" si="3"/>
        <v>1</v>
      </c>
      <c r="AB31" s="1811">
        <f t="shared" si="4"/>
        <v>1</v>
      </c>
      <c r="AC31" s="2677">
        <f t="shared" si="5"/>
        <v>1</v>
      </c>
    </row>
    <row r="32" spans="1:29" ht="15.75" thickBot="1">
      <c r="A32" s="436"/>
      <c r="B32" s="635">
        <v>111</v>
      </c>
      <c r="C32" s="2619"/>
      <c r="D32" s="438">
        <v>100</v>
      </c>
      <c r="E32" s="628"/>
      <c r="F32" s="438">
        <f>SUMIF(99:99,E32,100:100)-SUMIF(99:99,C32,100:100)+100</f>
        <v>100</v>
      </c>
      <c r="G32" s="2675"/>
      <c r="H32" s="438">
        <f>SUMIF(99:99,G32,100:100)-SUMIF(99:99,C32,100:100)+100</f>
        <v>100</v>
      </c>
      <c r="I32" s="432"/>
      <c r="J32" s="438">
        <f>SUMIF(99:99,I32,100:100)-SUMIF(99:99,C32,100:100)+100</f>
        <v>100</v>
      </c>
      <c r="K32" s="613"/>
      <c r="L32" s="1140"/>
      <c r="M32" s="1131"/>
      <c r="N32" s="1131"/>
      <c r="O32" s="1131"/>
      <c r="P32" s="3275"/>
      <c r="Q32" s="1810">
        <f t="shared" si="11"/>
        <v>111</v>
      </c>
      <c r="R32" s="774" t="s">
        <v>17</v>
      </c>
      <c r="S32" s="775">
        <f t="shared" si="12"/>
        <v>100</v>
      </c>
      <c r="T32" s="774" t="s">
        <v>17</v>
      </c>
      <c r="U32" s="775">
        <f t="shared" si="13"/>
        <v>100</v>
      </c>
      <c r="V32" s="774" t="s">
        <v>17</v>
      </c>
      <c r="W32" s="775">
        <f t="shared" si="14"/>
        <v>100</v>
      </c>
      <c r="X32" s="1813"/>
      <c r="Y32" s="3268"/>
      <c r="Z32" s="1814">
        <f t="shared" si="15"/>
        <v>111</v>
      </c>
      <c r="AA32" s="1811">
        <f t="shared" si="3"/>
        <v>1</v>
      </c>
      <c r="AB32" s="1811">
        <f t="shared" si="4"/>
        <v>1</v>
      </c>
      <c r="AC32" s="2677">
        <f t="shared" si="5"/>
        <v>1</v>
      </c>
    </row>
    <row r="33" spans="1:29" ht="15">
      <c r="A33" s="440" t="s">
        <v>2559</v>
      </c>
      <c r="B33" s="71" t="s">
        <v>2689</v>
      </c>
      <c r="C33" s="2682"/>
      <c r="D33" s="467">
        <v>100</v>
      </c>
      <c r="E33" s="2682"/>
      <c r="F33" s="461">
        <f>SUMIF(101:101,E33,102:102)-SUMIF(101:101,C33,102:102)+100</f>
        <v>100</v>
      </c>
      <c r="G33" s="2682"/>
      <c r="H33" s="435">
        <f>SUMIF(101:101,G33,102:102)-SUMIF(101:101,C33,102:102)+100</f>
        <v>100</v>
      </c>
      <c r="I33" s="2682"/>
      <c r="J33" s="467">
        <f>SUMIF(101:101,I33,102:102)-SUMIF(101:101,C33,102:102)+100</f>
        <v>100</v>
      </c>
      <c r="K33" s="612"/>
      <c r="L33" s="1140"/>
      <c r="M33" s="1131"/>
      <c r="N33" s="1131"/>
      <c r="O33" s="1131"/>
      <c r="P33" s="3269" t="s">
        <v>2561</v>
      </c>
      <c r="Q33" s="1810" t="str">
        <f t="shared" si="11"/>
        <v>建筑类型</v>
      </c>
      <c r="R33" s="774" t="s">
        <v>17</v>
      </c>
      <c r="S33" s="775">
        <f t="shared" si="12"/>
        <v>100</v>
      </c>
      <c r="T33" s="774" t="s">
        <v>17</v>
      </c>
      <c r="U33" s="775">
        <f t="shared" si="13"/>
        <v>100</v>
      </c>
      <c r="V33" s="774" t="s">
        <v>17</v>
      </c>
      <c r="W33" s="775">
        <f t="shared" si="14"/>
        <v>100</v>
      </c>
      <c r="X33" s="1813"/>
      <c r="Y33" s="3272" t="s">
        <v>2561</v>
      </c>
      <c r="Z33" s="1814" t="str">
        <f t="shared" si="15"/>
        <v>建筑类型</v>
      </c>
      <c r="AA33" s="1811">
        <f t="shared" si="3"/>
        <v>1</v>
      </c>
      <c r="AB33" s="1811">
        <f t="shared" si="4"/>
        <v>1</v>
      </c>
      <c r="AC33" s="2677">
        <f t="shared" si="5"/>
        <v>1</v>
      </c>
    </row>
    <row r="34" spans="1:29" s="471" customFormat="1" ht="15">
      <c r="A34" s="468"/>
      <c r="B34" s="422" t="s">
        <v>2562</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270"/>
      <c r="Q34" s="776" t="str">
        <f t="shared" si="11"/>
        <v>项目建筑规模</v>
      </c>
      <c r="R34" s="777" t="s">
        <v>17</v>
      </c>
      <c r="S34" s="778" t="e">
        <f t="shared" si="12"/>
        <v>#N/A</v>
      </c>
      <c r="T34" s="777" t="s">
        <v>17</v>
      </c>
      <c r="U34" s="778" t="e">
        <f t="shared" si="13"/>
        <v>#N/A</v>
      </c>
      <c r="V34" s="777" t="s">
        <v>17</v>
      </c>
      <c r="W34" s="778" t="e">
        <f t="shared" si="14"/>
        <v>#N/A</v>
      </c>
      <c r="X34" s="779"/>
      <c r="Y34" s="3272"/>
      <c r="Z34" s="780" t="str">
        <f t="shared" si="15"/>
        <v>项目建筑规模</v>
      </c>
      <c r="AA34" s="1811" t="e">
        <f t="shared" si="3"/>
        <v>#N/A</v>
      </c>
      <c r="AB34" s="1811" t="e">
        <f t="shared" si="4"/>
        <v>#N/A</v>
      </c>
      <c r="AC34" s="2677" t="e">
        <f t="shared" si="5"/>
        <v>#N/A</v>
      </c>
    </row>
    <row r="35" spans="1:29" ht="15">
      <c r="A35" s="472"/>
      <c r="B35" s="422" t="s">
        <v>2563</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270"/>
      <c r="Q35" s="1810" t="str">
        <f t="shared" si="11"/>
        <v>建筑结构</v>
      </c>
      <c r="R35" s="774" t="s">
        <v>17</v>
      </c>
      <c r="S35" s="775">
        <f t="shared" si="12"/>
        <v>100</v>
      </c>
      <c r="T35" s="774" t="s">
        <v>17</v>
      </c>
      <c r="U35" s="775">
        <f t="shared" si="13"/>
        <v>100</v>
      </c>
      <c r="V35" s="774" t="s">
        <v>17</v>
      </c>
      <c r="W35" s="775">
        <f t="shared" si="14"/>
        <v>100</v>
      </c>
      <c r="X35" s="1813"/>
      <c r="Y35" s="3272"/>
      <c r="Z35" s="1814" t="str">
        <f t="shared" si="15"/>
        <v>建筑结构</v>
      </c>
      <c r="AA35" s="1811">
        <f t="shared" si="3"/>
        <v>1</v>
      </c>
      <c r="AB35" s="1811">
        <f t="shared" si="4"/>
        <v>1</v>
      </c>
      <c r="AC35" s="2677">
        <f t="shared" si="5"/>
        <v>1</v>
      </c>
    </row>
    <row r="36" spans="1:29" ht="15">
      <c r="A36" s="472"/>
      <c r="B36" s="422" t="s">
        <v>2657</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270"/>
      <c r="Q36" s="1810" t="str">
        <f t="shared" si="11"/>
        <v>公共部分装修</v>
      </c>
      <c r="R36" s="774" t="s">
        <v>17</v>
      </c>
      <c r="S36" s="775">
        <f t="shared" si="12"/>
        <v>100</v>
      </c>
      <c r="T36" s="774" t="s">
        <v>17</v>
      </c>
      <c r="U36" s="775">
        <f t="shared" si="13"/>
        <v>100</v>
      </c>
      <c r="V36" s="774" t="s">
        <v>17</v>
      </c>
      <c r="W36" s="775">
        <f t="shared" si="14"/>
        <v>100</v>
      </c>
      <c r="X36" s="1813"/>
      <c r="Y36" s="3272"/>
      <c r="Z36" s="1814" t="str">
        <f t="shared" si="15"/>
        <v>公共部分装修</v>
      </c>
      <c r="AA36" s="1811">
        <f t="shared" si="3"/>
        <v>1</v>
      </c>
      <c r="AB36" s="1811">
        <f t="shared" si="4"/>
        <v>1</v>
      </c>
      <c r="AC36" s="2677">
        <f t="shared" si="5"/>
        <v>1</v>
      </c>
    </row>
    <row r="37" spans="1:29" ht="15">
      <c r="A37" s="472"/>
      <c r="B37" s="422" t="s">
        <v>2658</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270"/>
      <c r="Q37" s="1810" t="str">
        <f t="shared" si="11"/>
        <v>成新度</v>
      </c>
      <c r="R37" s="774" t="s">
        <v>17</v>
      </c>
      <c r="S37" s="775" t="e">
        <f t="shared" si="12"/>
        <v>#N/A</v>
      </c>
      <c r="T37" s="774" t="s">
        <v>17</v>
      </c>
      <c r="U37" s="775" t="e">
        <f t="shared" si="13"/>
        <v>#N/A</v>
      </c>
      <c r="V37" s="774" t="s">
        <v>17</v>
      </c>
      <c r="W37" s="775" t="e">
        <f t="shared" si="14"/>
        <v>#N/A</v>
      </c>
      <c r="X37" s="1813"/>
      <c r="Y37" s="3272"/>
      <c r="Z37" s="1814" t="str">
        <f t="shared" si="15"/>
        <v>成新度</v>
      </c>
      <c r="AA37" s="1811" t="e">
        <f t="shared" si="3"/>
        <v>#N/A</v>
      </c>
      <c r="AB37" s="1811" t="e">
        <f t="shared" si="4"/>
        <v>#N/A</v>
      </c>
      <c r="AC37" s="2677" t="e">
        <f t="shared" si="5"/>
        <v>#N/A</v>
      </c>
    </row>
    <row r="38" spans="1:29" s="117" customFormat="1" ht="15">
      <c r="A38" s="473"/>
      <c r="B38" s="422" t="s">
        <v>2690</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270"/>
      <c r="Q38" s="1795" t="str">
        <f t="shared" si="11"/>
        <v>写字楼等级</v>
      </c>
      <c r="R38" s="770" t="s">
        <v>17</v>
      </c>
      <c r="S38" s="771">
        <f t="shared" si="12"/>
        <v>100</v>
      </c>
      <c r="T38" s="770" t="s">
        <v>17</v>
      </c>
      <c r="U38" s="771">
        <f t="shared" si="13"/>
        <v>100</v>
      </c>
      <c r="V38" s="770" t="s">
        <v>17</v>
      </c>
      <c r="W38" s="771">
        <f t="shared" si="14"/>
        <v>100</v>
      </c>
      <c r="X38" s="772"/>
      <c r="Y38" s="3272"/>
      <c r="Z38" s="55" t="str">
        <f t="shared" si="15"/>
        <v>写字楼等级</v>
      </c>
      <c r="AA38" s="773">
        <f t="shared" si="3"/>
        <v>1</v>
      </c>
      <c r="AB38" s="773">
        <f t="shared" si="4"/>
        <v>1</v>
      </c>
      <c r="AC38" s="2674">
        <f t="shared" si="5"/>
        <v>1</v>
      </c>
    </row>
    <row r="39" spans="1:29" ht="15">
      <c r="A39" s="472"/>
      <c r="B39" s="422" t="s">
        <v>2691</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270" t="s">
        <v>2561</v>
      </c>
      <c r="Q39" s="1810" t="str">
        <f t="shared" si="11"/>
        <v>物业管理</v>
      </c>
      <c r="R39" s="774" t="s">
        <v>17</v>
      </c>
      <c r="S39" s="775">
        <f t="shared" si="12"/>
        <v>100</v>
      </c>
      <c r="T39" s="774" t="s">
        <v>17</v>
      </c>
      <c r="U39" s="775">
        <f t="shared" si="13"/>
        <v>100</v>
      </c>
      <c r="V39" s="774" t="s">
        <v>17</v>
      </c>
      <c r="W39" s="775">
        <f t="shared" si="14"/>
        <v>100</v>
      </c>
      <c r="X39" s="1813"/>
      <c r="Y39" s="3272" t="s">
        <v>2561</v>
      </c>
      <c r="Z39" s="1814" t="str">
        <f t="shared" si="15"/>
        <v>物业管理</v>
      </c>
      <c r="AA39" s="1811">
        <f t="shared" si="3"/>
        <v>1</v>
      </c>
      <c r="AB39" s="1811">
        <f t="shared" si="4"/>
        <v>1</v>
      </c>
      <c r="AC39" s="2677">
        <f t="shared" si="5"/>
        <v>1</v>
      </c>
    </row>
    <row r="40" spans="1:29" ht="15">
      <c r="A40" s="472"/>
      <c r="B40" s="422" t="s">
        <v>2659</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270"/>
      <c r="Q40" s="1810" t="str">
        <f t="shared" si="11"/>
        <v>市政基础设施</v>
      </c>
      <c r="R40" s="774" t="s">
        <v>17</v>
      </c>
      <c r="S40" s="775">
        <f t="shared" si="12"/>
        <v>100</v>
      </c>
      <c r="T40" s="774" t="s">
        <v>17</v>
      </c>
      <c r="U40" s="775">
        <f t="shared" si="13"/>
        <v>100</v>
      </c>
      <c r="V40" s="774" t="s">
        <v>17</v>
      </c>
      <c r="W40" s="775">
        <f t="shared" si="14"/>
        <v>100</v>
      </c>
      <c r="X40" s="1813"/>
      <c r="Y40" s="3272"/>
      <c r="Z40" s="1814" t="str">
        <f t="shared" si="15"/>
        <v>市政基础设施</v>
      </c>
      <c r="AA40" s="1811">
        <f t="shared" si="3"/>
        <v>1</v>
      </c>
      <c r="AB40" s="1811">
        <f t="shared" si="4"/>
        <v>1</v>
      </c>
      <c r="AC40" s="2677">
        <f t="shared" si="5"/>
        <v>1</v>
      </c>
    </row>
    <row r="41" spans="1:29" ht="15">
      <c r="A41" s="472"/>
      <c r="B41" s="422" t="s">
        <v>2661</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70"/>
      <c r="Q41" s="1810" t="str">
        <f t="shared" si="11"/>
        <v>层高</v>
      </c>
      <c r="R41" s="774" t="s">
        <v>17</v>
      </c>
      <c r="S41" s="775">
        <f t="shared" si="12"/>
        <v>100</v>
      </c>
      <c r="T41" s="774" t="s">
        <v>17</v>
      </c>
      <c r="U41" s="775">
        <f t="shared" si="13"/>
        <v>100</v>
      </c>
      <c r="V41" s="774" t="s">
        <v>17</v>
      </c>
      <c r="W41" s="775">
        <f t="shared" si="14"/>
        <v>100</v>
      </c>
      <c r="X41" s="1813"/>
      <c r="Y41" s="3272"/>
      <c r="Z41" s="1814" t="str">
        <f t="shared" si="15"/>
        <v>层高</v>
      </c>
      <c r="AA41" s="1811">
        <f t="shared" si="3"/>
        <v>1</v>
      </c>
      <c r="AB41" s="1811">
        <f t="shared" si="4"/>
        <v>1</v>
      </c>
      <c r="AC41" s="2677">
        <f t="shared" si="5"/>
        <v>1</v>
      </c>
    </row>
    <row r="42" spans="1:29" s="471" customFormat="1" ht="15">
      <c r="A42" s="468"/>
      <c r="B42" s="1812" t="s">
        <v>2692</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70"/>
      <c r="Q42" s="776" t="str">
        <f t="shared" si="11"/>
        <v>单套建筑面积</v>
      </c>
      <c r="R42" s="777" t="s">
        <v>17</v>
      </c>
      <c r="S42" s="778">
        <f t="shared" si="12"/>
        <v>100</v>
      </c>
      <c r="T42" s="777" t="s">
        <v>17</v>
      </c>
      <c r="U42" s="778">
        <f t="shared" si="13"/>
        <v>100</v>
      </c>
      <c r="V42" s="777" t="s">
        <v>17</v>
      </c>
      <c r="W42" s="778">
        <f t="shared" si="14"/>
        <v>100</v>
      </c>
      <c r="X42" s="779"/>
      <c r="Y42" s="3272"/>
      <c r="Z42" s="780" t="str">
        <f t="shared" si="15"/>
        <v>单套建筑面积</v>
      </c>
      <c r="AA42" s="1811">
        <f t="shared" si="3"/>
        <v>1</v>
      </c>
      <c r="AB42" s="1811">
        <f t="shared" si="4"/>
        <v>1</v>
      </c>
      <c r="AC42" s="2677">
        <f t="shared" si="5"/>
        <v>1</v>
      </c>
    </row>
    <row r="43" spans="1:29" ht="15">
      <c r="A43" s="472"/>
      <c r="B43" s="422" t="s">
        <v>2664</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270"/>
      <c r="Q43" s="1810" t="str">
        <f t="shared" si="11"/>
        <v>内部装修</v>
      </c>
      <c r="R43" s="774" t="s">
        <v>17</v>
      </c>
      <c r="S43" s="775">
        <f t="shared" si="12"/>
        <v>100</v>
      </c>
      <c r="T43" s="774" t="s">
        <v>17</v>
      </c>
      <c r="U43" s="775">
        <f t="shared" si="13"/>
        <v>100</v>
      </c>
      <c r="V43" s="774" t="s">
        <v>17</v>
      </c>
      <c r="W43" s="775">
        <f t="shared" si="14"/>
        <v>100</v>
      </c>
      <c r="X43" s="1813"/>
      <c r="Y43" s="3272"/>
      <c r="Z43" s="1814" t="str">
        <f t="shared" si="15"/>
        <v>内部装修</v>
      </c>
      <c r="AA43" s="1811">
        <f t="shared" si="3"/>
        <v>1</v>
      </c>
      <c r="AB43" s="1811">
        <f t="shared" si="4"/>
        <v>1</v>
      </c>
      <c r="AC43" s="2677">
        <f t="shared" si="5"/>
        <v>1</v>
      </c>
    </row>
    <row r="44" spans="1:29" ht="15">
      <c r="A44" s="472"/>
      <c r="B44" s="422" t="s">
        <v>2572</v>
      </c>
      <c r="C44" s="460"/>
      <c r="D44" s="435">
        <v>100</v>
      </c>
      <c r="E44" s="2616"/>
      <c r="F44" s="461">
        <f>SUMIF(125:125,E44,126:126)-SUMIF(125:125,C44,126:126)+100</f>
        <v>100</v>
      </c>
      <c r="G44" s="2616"/>
      <c r="H44" s="435">
        <f>SUMIF(125:125,G44,126:126)-SUMIF(125:125,C44,126:126)+100</f>
        <v>100</v>
      </c>
      <c r="I44" s="2616"/>
      <c r="J44" s="435">
        <f>SUMIF(125:125,I44,126:126)-SUMIF(125:125,C44,126:126)+100</f>
        <v>100</v>
      </c>
      <c r="K44" s="612"/>
      <c r="L44" s="1140"/>
      <c r="M44" s="1131"/>
      <c r="N44" s="1131"/>
      <c r="O44" s="1131"/>
      <c r="P44" s="3270"/>
      <c r="Q44" s="1810" t="str">
        <f t="shared" si="11"/>
        <v>内部装修维护情况</v>
      </c>
      <c r="R44" s="774" t="s">
        <v>17</v>
      </c>
      <c r="S44" s="775">
        <f t="shared" si="12"/>
        <v>100</v>
      </c>
      <c r="T44" s="774" t="s">
        <v>17</v>
      </c>
      <c r="U44" s="775">
        <f t="shared" si="13"/>
        <v>100</v>
      </c>
      <c r="V44" s="774" t="s">
        <v>17</v>
      </c>
      <c r="W44" s="775">
        <f t="shared" si="14"/>
        <v>100</v>
      </c>
      <c r="X44" s="1813"/>
      <c r="Y44" s="3272"/>
      <c r="Z44" s="1814" t="str">
        <f t="shared" si="15"/>
        <v>内部装修维护情况</v>
      </c>
      <c r="AA44" s="1811">
        <f t="shared" si="3"/>
        <v>1</v>
      </c>
      <c r="AB44" s="1811">
        <f t="shared" si="4"/>
        <v>1</v>
      </c>
      <c r="AC44" s="2677">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70"/>
      <c r="Q45" s="1795">
        <f t="shared" si="11"/>
        <v>111</v>
      </c>
      <c r="R45" s="770" t="s">
        <v>17</v>
      </c>
      <c r="S45" s="771">
        <f t="shared" si="12"/>
        <v>100</v>
      </c>
      <c r="T45" s="770" t="s">
        <v>17</v>
      </c>
      <c r="U45" s="771">
        <f t="shared" si="13"/>
        <v>100</v>
      </c>
      <c r="V45" s="770" t="s">
        <v>17</v>
      </c>
      <c r="W45" s="771">
        <f t="shared" si="14"/>
        <v>100</v>
      </c>
      <c r="X45" s="772"/>
      <c r="Y45" s="3272"/>
      <c r="Z45" s="55">
        <f t="shared" si="15"/>
        <v>111</v>
      </c>
      <c r="AA45" s="773">
        <f t="shared" si="3"/>
        <v>1</v>
      </c>
      <c r="AB45" s="773">
        <f t="shared" si="4"/>
        <v>1</v>
      </c>
      <c r="AC45" s="2674">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70"/>
      <c r="Q46" s="1810">
        <f t="shared" si="11"/>
        <v>111</v>
      </c>
      <c r="R46" s="774" t="s">
        <v>17</v>
      </c>
      <c r="S46" s="775">
        <f t="shared" si="12"/>
        <v>100</v>
      </c>
      <c r="T46" s="774" t="s">
        <v>17</v>
      </c>
      <c r="U46" s="775">
        <f t="shared" si="13"/>
        <v>100</v>
      </c>
      <c r="V46" s="774" t="s">
        <v>17</v>
      </c>
      <c r="W46" s="775">
        <f t="shared" si="14"/>
        <v>100</v>
      </c>
      <c r="X46" s="1813"/>
      <c r="Y46" s="3272"/>
      <c r="Z46" s="1814">
        <f t="shared" si="15"/>
        <v>111</v>
      </c>
      <c r="AA46" s="1811">
        <f t="shared" si="3"/>
        <v>1</v>
      </c>
      <c r="AB46" s="1811">
        <f t="shared" si="4"/>
        <v>1</v>
      </c>
      <c r="AC46" s="2677">
        <f t="shared" si="5"/>
        <v>1</v>
      </c>
    </row>
    <row r="47" spans="1:29" ht="15.75" thickBot="1">
      <c r="A47" s="478"/>
      <c r="B47" s="2605">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71"/>
      <c r="Q47" s="1810">
        <f t="shared" si="11"/>
        <v>111</v>
      </c>
      <c r="R47" s="774" t="s">
        <v>17</v>
      </c>
      <c r="S47" s="775">
        <f t="shared" si="12"/>
        <v>100</v>
      </c>
      <c r="T47" s="774" t="s">
        <v>17</v>
      </c>
      <c r="U47" s="775">
        <f t="shared" si="13"/>
        <v>100</v>
      </c>
      <c r="V47" s="774" t="s">
        <v>17</v>
      </c>
      <c r="W47" s="775">
        <f t="shared" si="14"/>
        <v>100</v>
      </c>
      <c r="X47" s="1813"/>
      <c r="Y47" s="3273"/>
      <c r="Z47" s="1814">
        <f t="shared" si="15"/>
        <v>111</v>
      </c>
      <c r="AA47" s="1811">
        <f t="shared" si="3"/>
        <v>1</v>
      </c>
      <c r="AB47" s="1811">
        <f t="shared" si="4"/>
        <v>1</v>
      </c>
      <c r="AC47" s="2677">
        <f t="shared" si="5"/>
        <v>1</v>
      </c>
    </row>
    <row r="48" spans="1:29" ht="15">
      <c r="A48" s="479" t="s">
        <v>2573</v>
      </c>
      <c r="B48" s="480"/>
      <c r="C48" s="1407" t="s">
        <v>1</v>
      </c>
      <c r="D48" s="1408"/>
      <c r="E48" s="1409"/>
      <c r="F48" s="1410"/>
      <c r="G48" s="1411"/>
      <c r="H48" s="1412"/>
      <c r="I48" s="1409"/>
      <c r="J48" s="485"/>
      <c r="K48" s="783"/>
      <c r="L48" s="1143"/>
      <c r="M48" s="1131"/>
      <c r="N48" s="1131"/>
      <c r="O48" s="1131"/>
      <c r="P48" s="3276" t="str">
        <f>A48</f>
        <v>成交单价（元/平方米）</v>
      </c>
      <c r="Q48" s="3265"/>
      <c r="R48" s="3266">
        <f>E48</f>
        <v>0</v>
      </c>
      <c r="S48" s="3266"/>
      <c r="T48" s="3266">
        <f>G48</f>
        <v>0</v>
      </c>
      <c r="U48" s="3266"/>
      <c r="V48" s="3266">
        <f>I48</f>
        <v>0</v>
      </c>
      <c r="W48" s="3266"/>
      <c r="X48" s="446"/>
      <c r="Y48" s="781"/>
      <c r="Z48" s="446"/>
      <c r="AA48" s="446"/>
      <c r="AB48" s="446"/>
      <c r="AC48" s="630"/>
    </row>
    <row r="49" spans="1:29" ht="15.75" thickBot="1">
      <c r="A49" s="486" t="s">
        <v>2665</v>
      </c>
      <c r="B49" s="487"/>
      <c r="C49" s="1413" t="e">
        <f>R50</f>
        <v>#DIV/0!</v>
      </c>
      <c r="D49" s="1414"/>
      <c r="E49" s="1415" t="e">
        <f>R49</f>
        <v>#DIV/0!</v>
      </c>
      <c r="F49" s="1415"/>
      <c r="G49" s="1413" t="e">
        <f>T49</f>
        <v>#DIV/0!</v>
      </c>
      <c r="H49" s="1414"/>
      <c r="I49" s="1415" t="e">
        <f>V49</f>
        <v>#DIV/0!</v>
      </c>
      <c r="J49" s="489"/>
      <c r="K49" s="784"/>
      <c r="L49" s="1143"/>
      <c r="M49" s="1131"/>
      <c r="N49" s="1131"/>
      <c r="O49" s="1131"/>
      <c r="P49" s="3276" t="str">
        <f>A49</f>
        <v>比较价值（元/平方米）</v>
      </c>
      <c r="Q49" s="3265"/>
      <c r="R49" s="3266" t="e">
        <f>IF(F1="售价",ROUND(PRODUCT(R48,AA7:AA47),0),ROUND(PRODUCT(R48,AA7:AA47),1))</f>
        <v>#DIV/0!</v>
      </c>
      <c r="S49" s="3266"/>
      <c r="T49" s="3266" t="e">
        <f>IF(F1="售价",ROUND(PRODUCT(T48,AB7:AB47),0),ROUND(PRODUCT(T48,AB7:AB47),1))</f>
        <v>#DIV/0!</v>
      </c>
      <c r="U49" s="3266"/>
      <c r="V49" s="3266" t="e">
        <f>IF(F1="售价",ROUND(PRODUCT(V48,AC7:AC47),0),ROUND(PRODUCT(V48,AC7:AC47),1))</f>
        <v>#DIV/0!</v>
      </c>
      <c r="W49" s="3266"/>
      <c r="X49" s="446"/>
      <c r="Y49" s="446"/>
      <c r="Z49" s="446"/>
      <c r="AA49" s="446"/>
      <c r="AB49" s="446"/>
      <c r="AC49" s="630"/>
    </row>
    <row r="50" spans="1:29" ht="15.75" thickBot="1">
      <c r="A50" s="492" t="s">
        <v>2666</v>
      </c>
      <c r="B50" s="493"/>
      <c r="C50" s="1417" t="e">
        <f>R50</f>
        <v>#DIV/0!</v>
      </c>
      <c r="D50" s="1417"/>
      <c r="E50" s="1417"/>
      <c r="F50" s="1417"/>
      <c r="G50" s="1417"/>
      <c r="H50" s="1417"/>
      <c r="I50" s="1417"/>
      <c r="J50" s="494"/>
      <c r="K50" s="785"/>
      <c r="L50" s="1143"/>
      <c r="M50" s="1131"/>
      <c r="N50" s="1131"/>
      <c r="O50" s="1131"/>
      <c r="P50" s="3308" t="str">
        <f>A50</f>
        <v>估价对象XX用房的比较价值（楼面单价，元/平方米）</v>
      </c>
      <c r="Q50" s="3309"/>
      <c r="R50" s="3310" t="e">
        <f>IF(F1="售价",ROUND(AVERAGE(R49:V49),0),ROUND(AVERAGE(R49:V49),1))</f>
        <v>#DIV/0!</v>
      </c>
      <c r="S50" s="3310"/>
      <c r="T50" s="3310"/>
      <c r="U50" s="3310"/>
      <c r="V50" s="3310"/>
      <c r="W50" s="3310"/>
      <c r="X50" s="2657"/>
      <c r="Y50" s="2657"/>
      <c r="Z50" s="2657"/>
      <c r="AA50" s="2657"/>
      <c r="AB50" s="2657"/>
      <c r="AC50" s="2658"/>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2667</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2668</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2669</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83"/>
    </row>
    <row r="56" spans="1:29" s="502" customFormat="1">
      <c r="A56" s="1145"/>
      <c r="B56" s="1146"/>
      <c r="C56" s="1150"/>
      <c r="D56" s="1145"/>
      <c r="E56" s="1145"/>
      <c r="F56" s="1145"/>
      <c r="G56" s="1145"/>
      <c r="H56" s="1145"/>
      <c r="I56" s="1145"/>
      <c r="J56" s="1145"/>
      <c r="K56" s="1148"/>
      <c r="L56" s="1149"/>
      <c r="M56" s="1145"/>
      <c r="N56" s="1145"/>
      <c r="O56" s="1145"/>
      <c r="P56" s="2683"/>
    </row>
    <row r="57" spans="1:29">
      <c r="A57" s="1144"/>
      <c r="B57" s="1146"/>
      <c r="C57" s="1150"/>
      <c r="D57" s="1144"/>
      <c r="E57" s="1144"/>
      <c r="F57" s="1144"/>
      <c r="G57" s="1144"/>
      <c r="H57" s="1144"/>
      <c r="I57" s="1144"/>
      <c r="J57" s="1144"/>
      <c r="K57" s="1105"/>
      <c r="L57" s="1106"/>
      <c r="M57" s="1144"/>
      <c r="N57" s="1144"/>
      <c r="O57" s="1144"/>
    </row>
    <row r="58" spans="1:29" ht="21.75" thickBot="1">
      <c r="A58" s="763" t="s">
        <v>2670</v>
      </c>
      <c r="B58" s="759"/>
      <c r="C58" s="764"/>
      <c r="D58" s="764"/>
      <c r="E58" s="764"/>
      <c r="F58" s="765"/>
      <c r="G58" s="765"/>
      <c r="H58" s="764"/>
      <c r="I58" s="764"/>
      <c r="J58" s="764"/>
      <c r="K58" s="766"/>
      <c r="L58" s="1161"/>
      <c r="M58" s="1159"/>
      <c r="N58" s="1159"/>
      <c r="O58" s="1159"/>
      <c r="P58" s="2684"/>
      <c r="Q58" s="504"/>
    </row>
    <row r="59" spans="1:29" s="508" customFormat="1" ht="15">
      <c r="A59" s="505" t="s">
        <v>2544</v>
      </c>
      <c r="B59" s="506"/>
      <c r="C59" s="1574" t="str">
        <f>YEAR(C7)&amp;"-"&amp;MONTH(C7)</f>
        <v>2019-5</v>
      </c>
      <c r="D59" s="1575">
        <f>EDATE(C59,-1)</f>
        <v>43556</v>
      </c>
      <c r="E59" s="1575">
        <f>EDATE(D59,-1)</f>
        <v>43525</v>
      </c>
      <c r="F59" s="1575">
        <f t="shared" ref="F59:O59" si="16">EDATE(E59,-1)</f>
        <v>43497</v>
      </c>
      <c r="G59" s="1575">
        <f t="shared" si="16"/>
        <v>43466</v>
      </c>
      <c r="H59" s="1575">
        <f t="shared" si="16"/>
        <v>43435</v>
      </c>
      <c r="I59" s="1575">
        <f t="shared" si="16"/>
        <v>43405</v>
      </c>
      <c r="J59" s="1575">
        <f t="shared" si="16"/>
        <v>43374</v>
      </c>
      <c r="K59" s="1575">
        <f t="shared" si="16"/>
        <v>43344</v>
      </c>
      <c r="L59" s="1575">
        <f t="shared" si="16"/>
        <v>43313</v>
      </c>
      <c r="M59" s="1575">
        <f t="shared" si="16"/>
        <v>43282</v>
      </c>
      <c r="N59" s="1575">
        <f t="shared" si="16"/>
        <v>43252</v>
      </c>
      <c r="O59" s="1575">
        <f t="shared" si="16"/>
        <v>43221</v>
      </c>
      <c r="P59" s="1571"/>
    </row>
    <row r="60" spans="1:29" s="117" customFormat="1" ht="15">
      <c r="A60" s="509"/>
      <c r="B60" s="510"/>
      <c r="C60" s="1573">
        <v>100</v>
      </c>
      <c r="D60" s="512"/>
      <c r="E60" s="512"/>
      <c r="F60" s="512"/>
      <c r="G60" s="512"/>
      <c r="H60" s="512"/>
      <c r="I60" s="512"/>
      <c r="J60" s="512"/>
      <c r="K60" s="512"/>
      <c r="L60" s="512"/>
      <c r="M60" s="513"/>
      <c r="N60" s="512"/>
      <c r="O60" s="513"/>
      <c r="P60" s="2685"/>
    </row>
    <row r="61" spans="1:29" s="117" customFormat="1" ht="15.75" thickBot="1">
      <c r="A61" s="515" t="s">
        <v>2581</v>
      </c>
      <c r="B61" s="516"/>
      <c r="C61" s="517"/>
      <c r="D61" s="518"/>
      <c r="E61" s="518"/>
      <c r="F61" s="518"/>
      <c r="G61" s="518"/>
      <c r="H61" s="518"/>
      <c r="I61" s="518"/>
      <c r="J61" s="518"/>
      <c r="K61" s="518"/>
      <c r="L61" s="518"/>
      <c r="M61" s="519"/>
      <c r="N61" s="518"/>
      <c r="O61" s="519"/>
      <c r="P61" s="2685"/>
      <c r="Q61" s="504"/>
    </row>
    <row r="62" spans="1:29" s="117" customFormat="1" ht="15">
      <c r="A62" s="521" t="s">
        <v>2546</v>
      </c>
      <c r="B62" s="510"/>
      <c r="C62" s="522" t="s">
        <v>2648</v>
      </c>
      <c r="D62" s="523"/>
      <c r="E62" s="523"/>
      <c r="F62" s="523"/>
      <c r="G62" s="523"/>
      <c r="H62" s="523"/>
      <c r="I62" s="523"/>
      <c r="J62" s="523"/>
      <c r="K62" s="523"/>
      <c r="L62" s="524"/>
      <c r="M62" s="525"/>
      <c r="N62" s="1151"/>
      <c r="O62" s="1151"/>
      <c r="P62" s="2686"/>
      <c r="Q62" s="504"/>
    </row>
    <row r="63" spans="1:29" s="117" customFormat="1" ht="15.75" thickBot="1">
      <c r="A63" s="521"/>
      <c r="B63" s="510"/>
      <c r="C63" s="511">
        <v>100</v>
      </c>
      <c r="D63" s="512"/>
      <c r="E63" s="512"/>
      <c r="F63" s="512"/>
      <c r="G63" s="512"/>
      <c r="H63" s="512"/>
      <c r="I63" s="512"/>
      <c r="J63" s="512"/>
      <c r="K63" s="512"/>
      <c r="L63" s="512"/>
      <c r="M63" s="514"/>
      <c r="N63" s="1151"/>
      <c r="O63" s="1151"/>
      <c r="P63" s="2685"/>
      <c r="Q63" s="504"/>
    </row>
    <row r="64" spans="1:29">
      <c r="A64" s="527" t="s">
        <v>2584</v>
      </c>
      <c r="B64" s="528" t="s">
        <v>2550</v>
      </c>
      <c r="C64" s="529">
        <f>C9</f>
        <v>0</v>
      </c>
      <c r="D64" s="530"/>
      <c r="E64" s="530"/>
      <c r="F64" s="530"/>
      <c r="G64" s="530"/>
      <c r="H64" s="530"/>
      <c r="I64" s="530"/>
      <c r="J64" s="530"/>
      <c r="K64" s="531"/>
      <c r="L64" s="532"/>
      <c r="M64" s="533"/>
      <c r="N64" s="1152"/>
      <c r="O64" s="1152"/>
      <c r="P64" s="2687"/>
      <c r="Q64" s="504"/>
    </row>
    <row r="65" spans="1:17" ht="15.75" thickBot="1">
      <c r="A65" s="534"/>
      <c r="B65" s="535"/>
      <c r="C65" s="536">
        <v>100</v>
      </c>
      <c r="D65" s="536"/>
      <c r="E65" s="536"/>
      <c r="F65" s="536"/>
      <c r="G65" s="536"/>
      <c r="H65" s="536"/>
      <c r="I65" s="536"/>
      <c r="J65" s="536"/>
      <c r="K65" s="536"/>
      <c r="L65" s="536"/>
      <c r="M65" s="537"/>
      <c r="N65" s="1153"/>
      <c r="O65" s="1153"/>
      <c r="P65" s="2687"/>
      <c r="Q65" s="504"/>
    </row>
    <row r="66" spans="1:17" ht="27.75" thickTop="1">
      <c r="A66" s="534"/>
      <c r="B66" s="538" t="s">
        <v>2553</v>
      </c>
      <c r="C66" s="539" t="s">
        <v>2585</v>
      </c>
      <c r="D66" s="539" t="s">
        <v>2586</v>
      </c>
      <c r="E66" s="539" t="s">
        <v>2587</v>
      </c>
      <c r="F66" s="539" t="s">
        <v>2588</v>
      </c>
      <c r="G66" s="539" t="s">
        <v>2589</v>
      </c>
      <c r="H66" s="539" t="s">
        <v>2590</v>
      </c>
      <c r="I66" s="539" t="s">
        <v>2591</v>
      </c>
      <c r="J66" s="539"/>
      <c r="K66" s="540"/>
      <c r="L66" s="541"/>
      <c r="M66" s="542"/>
      <c r="N66" s="1152"/>
      <c r="O66" s="1152"/>
      <c r="P66" s="2687"/>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87"/>
      <c r="Q67" s="504"/>
    </row>
    <row r="68" spans="1:17" ht="15.75" thickTop="1">
      <c r="A68" s="534"/>
      <c r="B68" s="546" t="s">
        <v>2554</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7"/>
      <c r="Q68" s="504"/>
    </row>
    <row r="69" spans="1:17" ht="15">
      <c r="A69" s="534"/>
      <c r="B69" s="548"/>
      <c r="C69" s="549"/>
      <c r="D69" s="549"/>
      <c r="E69" s="549"/>
      <c r="F69" s="549"/>
      <c r="G69" s="549"/>
      <c r="H69" s="549"/>
      <c r="I69" s="549"/>
      <c r="J69" s="549"/>
      <c r="K69" s="550"/>
      <c r="L69" s="551"/>
      <c r="M69" s="552"/>
      <c r="N69" s="1152"/>
      <c r="O69" s="1152"/>
      <c r="P69" s="2687"/>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7"/>
      <c r="Q70" s="504"/>
    </row>
    <row r="71" spans="1:17" s="471" customFormat="1" ht="15.75" thickTop="1">
      <c r="A71" s="553"/>
      <c r="B71" s="538">
        <f>B12</f>
        <v>111</v>
      </c>
      <c r="C71" s="554"/>
      <c r="D71" s="554"/>
      <c r="E71" s="554"/>
      <c r="F71" s="554"/>
      <c r="G71" s="554"/>
      <c r="H71" s="555"/>
      <c r="I71" s="555"/>
      <c r="J71" s="555"/>
      <c r="K71" s="555"/>
      <c r="L71" s="556"/>
      <c r="M71" s="557"/>
      <c r="N71" s="1154"/>
      <c r="O71" s="1154"/>
      <c r="P71" s="2688"/>
      <c r="Q71" s="559"/>
    </row>
    <row r="72" spans="1:17" s="471" customFormat="1" ht="15.75" thickBot="1">
      <c r="A72" s="553"/>
      <c r="B72" s="543"/>
      <c r="C72" s="560"/>
      <c r="D72" s="536"/>
      <c r="E72" s="536"/>
      <c r="F72" s="536"/>
      <c r="G72" s="536"/>
      <c r="H72" s="536"/>
      <c r="I72" s="536"/>
      <c r="J72" s="536"/>
      <c r="K72" s="536"/>
      <c r="L72" s="536"/>
      <c r="M72" s="537"/>
      <c r="N72" s="1153"/>
      <c r="O72" s="1153"/>
      <c r="P72" s="2688"/>
      <c r="Q72" s="559"/>
    </row>
    <row r="73" spans="1:17" s="471" customFormat="1" ht="15.75" thickTop="1">
      <c r="A73" s="553"/>
      <c r="B73" s="538">
        <f>B13</f>
        <v>111</v>
      </c>
      <c r="C73" s="554"/>
      <c r="D73" s="554"/>
      <c r="E73" s="554"/>
      <c r="F73" s="554"/>
      <c r="G73" s="554"/>
      <c r="H73" s="555"/>
      <c r="I73" s="555"/>
      <c r="J73" s="555"/>
      <c r="K73" s="555"/>
      <c r="L73" s="556"/>
      <c r="M73" s="557"/>
      <c r="N73" s="1154"/>
      <c r="O73" s="1154"/>
      <c r="P73" s="2689"/>
      <c r="Q73" s="561"/>
    </row>
    <row r="74" spans="1:17" s="471" customFormat="1" ht="15.75" thickBot="1">
      <c r="A74" s="553"/>
      <c r="B74" s="543"/>
      <c r="C74" s="560"/>
      <c r="D74" s="560"/>
      <c r="E74" s="560"/>
      <c r="F74" s="560"/>
      <c r="G74" s="560"/>
      <c r="H74" s="562"/>
      <c r="I74" s="562"/>
      <c r="J74" s="562"/>
      <c r="K74" s="562"/>
      <c r="L74" s="562"/>
      <c r="M74" s="563"/>
      <c r="N74" s="1154"/>
      <c r="O74" s="1154"/>
      <c r="P74" s="2688"/>
      <c r="Q74" s="559"/>
    </row>
    <row r="75" spans="1:17" s="471" customFormat="1" ht="15.75" thickTop="1">
      <c r="A75" s="553"/>
      <c r="B75" s="546">
        <f>B14</f>
        <v>111</v>
      </c>
      <c r="C75" s="523"/>
      <c r="D75" s="523"/>
      <c r="E75" s="523"/>
      <c r="F75" s="523"/>
      <c r="G75" s="523"/>
      <c r="H75" s="564"/>
      <c r="I75" s="564"/>
      <c r="J75" s="564"/>
      <c r="K75" s="564"/>
      <c r="L75" s="565"/>
      <c r="M75" s="566"/>
      <c r="N75" s="1154"/>
      <c r="O75" s="1154"/>
      <c r="P75" s="2690"/>
      <c r="Q75" s="559"/>
    </row>
    <row r="76" spans="1:17" s="471" customFormat="1" ht="15.75" thickBot="1">
      <c r="A76" s="568"/>
      <c r="B76" s="569"/>
      <c r="C76" s="570"/>
      <c r="D76" s="570"/>
      <c r="E76" s="570"/>
      <c r="F76" s="570"/>
      <c r="G76" s="570"/>
      <c r="H76" s="571"/>
      <c r="I76" s="571"/>
      <c r="J76" s="571"/>
      <c r="K76" s="571"/>
      <c r="L76" s="571"/>
      <c r="M76" s="572"/>
      <c r="N76" s="1154"/>
      <c r="O76" s="1154"/>
      <c r="P76" s="2688"/>
      <c r="Q76" s="559"/>
    </row>
    <row r="77" spans="1:17">
      <c r="A77" s="527" t="s">
        <v>2555</v>
      </c>
      <c r="B77" s="528" t="s">
        <v>2693</v>
      </c>
      <c r="C77" s="573" t="s">
        <v>2593</v>
      </c>
      <c r="D77" s="573" t="s">
        <v>2594</v>
      </c>
      <c r="E77" s="573" t="s">
        <v>2595</v>
      </c>
      <c r="F77" s="573" t="s">
        <v>2596</v>
      </c>
      <c r="G77" s="573" t="s">
        <v>2597</v>
      </c>
      <c r="H77" s="529"/>
      <c r="I77" s="529"/>
      <c r="J77" s="529"/>
      <c r="K77" s="574"/>
      <c r="L77" s="575"/>
      <c r="M77" s="576"/>
      <c r="N77" s="1152"/>
      <c r="O77" s="1152"/>
      <c r="P77" s="2691"/>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87"/>
      <c r="Q78" s="504"/>
    </row>
    <row r="79" spans="1:17" ht="15.75" thickTop="1">
      <c r="A79" s="534"/>
      <c r="B79" s="538" t="s">
        <v>2598</v>
      </c>
      <c r="C79" s="578" t="s">
        <v>2593</v>
      </c>
      <c r="D79" s="578" t="s">
        <v>2594</v>
      </c>
      <c r="E79" s="578" t="s">
        <v>2595</v>
      </c>
      <c r="F79" s="578" t="s">
        <v>2596</v>
      </c>
      <c r="G79" s="578" t="s">
        <v>2597</v>
      </c>
      <c r="H79" s="539"/>
      <c r="I79" s="539"/>
      <c r="J79" s="539"/>
      <c r="K79" s="540"/>
      <c r="L79" s="541"/>
      <c r="M79" s="542"/>
      <c r="N79" s="1152"/>
      <c r="O79" s="1152"/>
      <c r="P79" s="2687"/>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87"/>
      <c r="Q80" s="504"/>
    </row>
    <row r="81" spans="1:17" ht="15.75" thickTop="1">
      <c r="A81" s="534"/>
      <c r="B81" s="538" t="s">
        <v>2599</v>
      </c>
      <c r="C81" s="578" t="s">
        <v>2593</v>
      </c>
      <c r="D81" s="578" t="s">
        <v>2594</v>
      </c>
      <c r="E81" s="578" t="s">
        <v>2595</v>
      </c>
      <c r="F81" s="578" t="s">
        <v>2596</v>
      </c>
      <c r="G81" s="578" t="s">
        <v>2597</v>
      </c>
      <c r="H81" s="539"/>
      <c r="I81" s="539"/>
      <c r="J81" s="539"/>
      <c r="K81" s="540"/>
      <c r="L81" s="541"/>
      <c r="M81" s="542"/>
      <c r="N81" s="1152"/>
      <c r="O81" s="1152"/>
      <c r="P81" s="2687"/>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87"/>
      <c r="Q82" s="504"/>
    </row>
    <row r="83" spans="1:17" ht="15.75" thickTop="1">
      <c r="A83" s="534"/>
      <c r="B83" s="546" t="s">
        <v>2685</v>
      </c>
      <c r="C83" s="660" t="s">
        <v>2671</v>
      </c>
      <c r="D83" s="660" t="s">
        <v>2672</v>
      </c>
      <c r="E83" s="660" t="s">
        <v>2673</v>
      </c>
      <c r="F83" s="660" t="s">
        <v>2674</v>
      </c>
      <c r="G83" s="660" t="s">
        <v>2675</v>
      </c>
      <c r="H83" s="539"/>
      <c r="I83" s="539"/>
      <c r="J83" s="539"/>
      <c r="K83" s="539"/>
      <c r="L83" s="539"/>
      <c r="M83" s="1382"/>
      <c r="N83" s="1153"/>
      <c r="O83" s="1153"/>
      <c r="P83" s="2687"/>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87"/>
      <c r="Q84" s="504"/>
    </row>
    <row r="85" spans="1:17" ht="15.75" thickTop="1">
      <c r="A85" s="534"/>
      <c r="B85" s="538" t="s">
        <v>2694</v>
      </c>
      <c r="C85" s="578" t="s">
        <v>2593</v>
      </c>
      <c r="D85" s="578" t="s">
        <v>2594</v>
      </c>
      <c r="E85" s="578" t="s">
        <v>2595</v>
      </c>
      <c r="F85" s="578" t="s">
        <v>2596</v>
      </c>
      <c r="G85" s="578" t="s">
        <v>2597</v>
      </c>
      <c r="H85" s="539"/>
      <c r="I85" s="539"/>
      <c r="J85" s="539"/>
      <c r="K85" s="540"/>
      <c r="L85" s="541"/>
      <c r="M85" s="542"/>
      <c r="N85" s="1152"/>
      <c r="O85" s="1152"/>
      <c r="P85" s="2687"/>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87"/>
      <c r="Q86" s="504"/>
    </row>
    <row r="87" spans="1:17" s="117" customFormat="1" ht="27.75" thickTop="1">
      <c r="A87" s="579"/>
      <c r="B87" s="538" t="s">
        <v>2695</v>
      </c>
      <c r="C87" s="554"/>
      <c r="D87" s="554"/>
      <c r="E87" s="554"/>
      <c r="F87" s="554"/>
      <c r="G87" s="554"/>
      <c r="H87" s="554"/>
      <c r="I87" s="554"/>
      <c r="J87" s="554"/>
      <c r="K87" s="554"/>
      <c r="L87" s="580"/>
      <c r="M87" s="581"/>
      <c r="N87" s="1151"/>
      <c r="O87" s="1151"/>
      <c r="P87" s="2687"/>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87"/>
      <c r="Q88" s="504"/>
    </row>
    <row r="89" spans="1:17" s="117" customFormat="1" ht="15.75" thickTop="1">
      <c r="A89" s="579"/>
      <c r="B89" s="538" t="str">
        <f>B27</f>
        <v>楼层</v>
      </c>
      <c r="C89" s="554"/>
      <c r="D89" s="554"/>
      <c r="E89" s="554"/>
      <c r="F89" s="2638"/>
      <c r="G89" s="554"/>
      <c r="H89" s="554"/>
      <c r="I89" s="554"/>
      <c r="J89" s="554"/>
      <c r="K89" s="554"/>
      <c r="L89" s="554"/>
      <c r="M89" s="581"/>
      <c r="N89" s="1151"/>
      <c r="O89" s="1151"/>
      <c r="P89" s="2687"/>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87"/>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8"/>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8"/>
      <c r="Q92" s="559"/>
    </row>
    <row r="93" spans="1:17" ht="15.75" thickTop="1">
      <c r="A93" s="534"/>
      <c r="B93" s="538">
        <f>B29</f>
        <v>111</v>
      </c>
      <c r="C93" s="554"/>
      <c r="D93" s="554"/>
      <c r="E93" s="554"/>
      <c r="F93" s="554"/>
      <c r="G93" s="554"/>
      <c r="H93" s="554"/>
      <c r="I93" s="554"/>
      <c r="J93" s="554"/>
      <c r="K93" s="554"/>
      <c r="L93" s="580"/>
      <c r="M93" s="581"/>
      <c r="N93" s="1152"/>
      <c r="O93" s="1152"/>
      <c r="P93" s="2687"/>
      <c r="Q93" s="504"/>
    </row>
    <row r="94" spans="1:17" ht="15.75" thickBot="1">
      <c r="A94" s="534"/>
      <c r="B94" s="543"/>
      <c r="C94" s="560"/>
      <c r="D94" s="536"/>
      <c r="E94" s="536"/>
      <c r="F94" s="536"/>
      <c r="G94" s="536"/>
      <c r="H94" s="536"/>
      <c r="I94" s="536"/>
      <c r="J94" s="536"/>
      <c r="K94" s="536"/>
      <c r="L94" s="536"/>
      <c r="M94" s="537"/>
      <c r="N94" s="1153"/>
      <c r="O94" s="1153"/>
      <c r="P94" s="2687"/>
      <c r="Q94" s="504"/>
    </row>
    <row r="95" spans="1:17" ht="15.75" thickTop="1">
      <c r="A95" s="534"/>
      <c r="B95" s="538">
        <f>B30</f>
        <v>111</v>
      </c>
      <c r="C95" s="554"/>
      <c r="D95" s="554"/>
      <c r="E95" s="554"/>
      <c r="F95" s="554"/>
      <c r="G95" s="583"/>
      <c r="H95" s="583"/>
      <c r="I95" s="583"/>
      <c r="J95" s="583"/>
      <c r="K95" s="584"/>
      <c r="L95" s="585"/>
      <c r="M95" s="586"/>
      <c r="N95" s="1152"/>
      <c r="O95" s="1152"/>
      <c r="P95" s="2687"/>
      <c r="Q95" s="504"/>
    </row>
    <row r="96" spans="1:17" ht="15.75" thickBot="1">
      <c r="A96" s="534"/>
      <c r="B96" s="543"/>
      <c r="C96" s="560"/>
      <c r="D96" s="560"/>
      <c r="E96" s="560"/>
      <c r="F96" s="560"/>
      <c r="G96" s="536"/>
      <c r="H96" s="536"/>
      <c r="I96" s="536"/>
      <c r="J96" s="536"/>
      <c r="K96" s="536"/>
      <c r="L96" s="536"/>
      <c r="M96" s="537"/>
      <c r="N96" s="1153"/>
      <c r="O96" s="1153"/>
      <c r="P96" s="2687"/>
      <c r="Q96" s="504"/>
    </row>
    <row r="97" spans="1:17" ht="15.75" thickTop="1">
      <c r="A97" s="534"/>
      <c r="B97" s="538">
        <f>B31</f>
        <v>111</v>
      </c>
      <c r="C97" s="554"/>
      <c r="D97" s="554"/>
      <c r="E97" s="554"/>
      <c r="F97" s="554"/>
      <c r="G97" s="583"/>
      <c r="H97" s="583"/>
      <c r="I97" s="583"/>
      <c r="J97" s="583"/>
      <c r="K97" s="584"/>
      <c r="L97" s="585"/>
      <c r="M97" s="586"/>
      <c r="N97" s="1152"/>
      <c r="O97" s="1152"/>
      <c r="P97" s="2687"/>
      <c r="Q97" s="504"/>
    </row>
    <row r="98" spans="1:17" ht="15.75" thickBot="1">
      <c r="A98" s="534"/>
      <c r="B98" s="543"/>
      <c r="C98" s="560"/>
      <c r="D98" s="536"/>
      <c r="E98" s="536"/>
      <c r="F98" s="536"/>
      <c r="G98" s="536"/>
      <c r="H98" s="536"/>
      <c r="I98" s="536"/>
      <c r="J98" s="536"/>
      <c r="K98" s="536"/>
      <c r="L98" s="536"/>
      <c r="M98" s="537"/>
      <c r="N98" s="1153"/>
      <c r="O98" s="1153"/>
      <c r="P98" s="2687"/>
      <c r="Q98" s="504"/>
    </row>
    <row r="99" spans="1:17" ht="15.75" thickTop="1">
      <c r="A99" s="534"/>
      <c r="B99" s="546">
        <f>B32</f>
        <v>111</v>
      </c>
      <c r="C99" s="523"/>
      <c r="D99" s="523"/>
      <c r="E99" s="523"/>
      <c r="F99" s="523"/>
      <c r="G99" s="587"/>
      <c r="H99" s="587"/>
      <c r="I99" s="587"/>
      <c r="J99" s="587"/>
      <c r="K99" s="588"/>
      <c r="L99" s="589"/>
      <c r="M99" s="590"/>
      <c r="N99" s="1152"/>
      <c r="O99" s="1152"/>
      <c r="P99" s="2687"/>
      <c r="Q99" s="504"/>
    </row>
    <row r="100" spans="1:17" ht="15.75" thickBot="1">
      <c r="A100" s="2639"/>
      <c r="B100" s="569"/>
      <c r="C100" s="570"/>
      <c r="D100" s="570"/>
      <c r="E100" s="570"/>
      <c r="F100" s="570"/>
      <c r="G100" s="591"/>
      <c r="H100" s="591"/>
      <c r="I100" s="591"/>
      <c r="J100" s="591"/>
      <c r="K100" s="591"/>
      <c r="L100" s="591"/>
      <c r="M100" s="592"/>
      <c r="N100" s="1153"/>
      <c r="O100" s="1153"/>
      <c r="P100" s="2687"/>
      <c r="Q100" s="504"/>
    </row>
    <row r="101" spans="1:17">
      <c r="A101" s="527" t="s">
        <v>2559</v>
      </c>
      <c r="B101" s="528" t="s">
        <v>2608</v>
      </c>
      <c r="C101" s="530"/>
      <c r="D101" s="530"/>
      <c r="E101" s="530"/>
      <c r="F101" s="530"/>
      <c r="G101" s="530"/>
      <c r="H101" s="530"/>
      <c r="I101" s="530"/>
      <c r="J101" s="530"/>
      <c r="K101" s="531"/>
      <c r="L101" s="532"/>
      <c r="M101" s="533"/>
      <c r="N101" s="1152"/>
      <c r="O101" s="1152"/>
      <c r="P101" s="2687"/>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87"/>
      <c r="Q102" s="504"/>
    </row>
    <row r="103" spans="1:17" ht="15.75" thickTop="1">
      <c r="A103" s="534"/>
      <c r="B103" s="538" t="s">
        <v>2609</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87"/>
      <c r="Q103" s="504"/>
    </row>
    <row r="104" spans="1:17" s="471" customFormat="1">
      <c r="A104" s="593"/>
      <c r="B104" s="594"/>
      <c r="C104" s="595"/>
      <c r="D104" s="595"/>
      <c r="E104" s="595"/>
      <c r="F104" s="595"/>
      <c r="G104" s="595"/>
      <c r="H104" s="595"/>
      <c r="I104" s="595"/>
      <c r="J104" s="596"/>
      <c r="K104" s="596"/>
      <c r="L104" s="597"/>
      <c r="M104" s="598"/>
      <c r="N104" s="1154"/>
      <c r="O104" s="1154"/>
      <c r="P104" s="2688"/>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88"/>
      <c r="Q105" s="559"/>
    </row>
    <row r="106" spans="1:17" ht="15" thickTop="1">
      <c r="A106" s="599"/>
      <c r="B106" s="538" t="s">
        <v>2610</v>
      </c>
      <c r="C106" s="554"/>
      <c r="D106" s="554"/>
      <c r="E106" s="583"/>
      <c r="F106" s="583"/>
      <c r="G106" s="583"/>
      <c r="H106" s="583"/>
      <c r="I106" s="583"/>
      <c r="J106" s="583"/>
      <c r="K106" s="584"/>
      <c r="L106" s="585"/>
      <c r="M106" s="586"/>
      <c r="N106" s="1152"/>
      <c r="O106" s="1152"/>
      <c r="P106" s="2687"/>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7"/>
      <c r="Q107" s="504"/>
    </row>
    <row r="108" spans="1:17" ht="15" thickTop="1">
      <c r="A108" s="599"/>
      <c r="B108" s="538" t="s">
        <v>2612</v>
      </c>
      <c r="C108" s="554"/>
      <c r="D108" s="554"/>
      <c r="E108" s="554"/>
      <c r="F108" s="583"/>
      <c r="G108" s="583"/>
      <c r="H108" s="583"/>
      <c r="I108" s="583"/>
      <c r="J108" s="583"/>
      <c r="K108" s="584"/>
      <c r="L108" s="585"/>
      <c r="M108" s="586"/>
      <c r="N108" s="1152"/>
      <c r="O108" s="1152"/>
      <c r="P108" s="2687"/>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7"/>
      <c r="Q109" s="504"/>
    </row>
    <row r="110" spans="1:17" ht="15" thickTop="1">
      <c r="A110" s="599"/>
      <c r="B110" s="538" t="s">
        <v>1993</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7"/>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7"/>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7"/>
      <c r="Q112" s="504"/>
    </row>
    <row r="113" spans="1:17" s="471" customFormat="1" ht="15" thickTop="1">
      <c r="A113" s="593"/>
      <c r="B113" s="538" t="s">
        <v>2696</v>
      </c>
      <c r="C113" s="554"/>
      <c r="D113" s="554"/>
      <c r="E113" s="554"/>
      <c r="F113" s="554"/>
      <c r="G113" s="554"/>
      <c r="H113" s="583"/>
      <c r="I113" s="583"/>
      <c r="J113" s="583"/>
      <c r="K113" s="584"/>
      <c r="L113" s="585"/>
      <c r="M113" s="586"/>
      <c r="N113" s="1154"/>
      <c r="O113" s="1154"/>
      <c r="P113" s="2688"/>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8"/>
      <c r="Q114" s="559"/>
    </row>
    <row r="115" spans="1:17" ht="15" thickTop="1">
      <c r="A115" s="599"/>
      <c r="B115" s="538" t="s">
        <v>2613</v>
      </c>
      <c r="C115" s="554"/>
      <c r="D115" s="554"/>
      <c r="E115" s="583"/>
      <c r="F115" s="583"/>
      <c r="G115" s="583"/>
      <c r="H115" s="583"/>
      <c r="I115" s="583"/>
      <c r="J115" s="583"/>
      <c r="K115" s="584"/>
      <c r="L115" s="585"/>
      <c r="M115" s="586"/>
      <c r="N115" s="1152"/>
      <c r="O115" s="1152"/>
      <c r="P115" s="2687"/>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87"/>
      <c r="Q116" s="504"/>
    </row>
    <row r="117" spans="1:17" ht="15" thickTop="1">
      <c r="A117" s="599"/>
      <c r="B117" s="538" t="s">
        <v>2614</v>
      </c>
      <c r="C117" s="554"/>
      <c r="D117" s="554"/>
      <c r="E117" s="554"/>
      <c r="F117" s="554"/>
      <c r="G117" s="554"/>
      <c r="H117" s="583"/>
      <c r="I117" s="583"/>
      <c r="J117" s="583"/>
      <c r="K117" s="584"/>
      <c r="L117" s="585"/>
      <c r="M117" s="586"/>
      <c r="N117" s="1152"/>
      <c r="O117" s="1152"/>
      <c r="P117" s="2687"/>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7"/>
      <c r="Q118" s="504"/>
    </row>
    <row r="119" spans="1:17" ht="15" thickTop="1">
      <c r="A119" s="599"/>
      <c r="B119" s="636" t="s">
        <v>2697</v>
      </c>
      <c r="C119" s="583"/>
      <c r="D119" s="583"/>
      <c r="E119" s="583"/>
      <c r="F119" s="583"/>
      <c r="G119" s="583"/>
      <c r="H119" s="583"/>
      <c r="I119" s="583"/>
      <c r="J119" s="583"/>
      <c r="K119" s="583"/>
      <c r="L119" s="2692"/>
      <c r="M119" s="2693"/>
      <c r="N119" s="1153"/>
      <c r="O119" s="1153"/>
      <c r="P119" s="2694"/>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7"/>
      <c r="Q120" s="504"/>
    </row>
    <row r="121" spans="1:17" s="471" customFormat="1" ht="15" thickTop="1">
      <c r="A121" s="593"/>
      <c r="B121" s="538" t="s">
        <v>2680</v>
      </c>
      <c r="C121" s="554"/>
      <c r="D121" s="554"/>
      <c r="E121" s="554"/>
      <c r="F121" s="583"/>
      <c r="G121" s="555"/>
      <c r="H121" s="555"/>
      <c r="I121" s="555"/>
      <c r="J121" s="555"/>
      <c r="K121" s="555"/>
      <c r="L121" s="556"/>
      <c r="M121" s="557"/>
      <c r="N121" s="1154"/>
      <c r="O121" s="1154"/>
      <c r="P121" s="2688"/>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88"/>
      <c r="Q122" s="559"/>
    </row>
    <row r="123" spans="1:17" ht="15" thickTop="1">
      <c r="A123" s="599"/>
      <c r="B123" s="538" t="s">
        <v>2616</v>
      </c>
      <c r="C123" s="554"/>
      <c r="D123" s="554"/>
      <c r="E123" s="554"/>
      <c r="F123" s="583"/>
      <c r="G123" s="583"/>
      <c r="H123" s="583"/>
      <c r="I123" s="583"/>
      <c r="J123" s="583"/>
      <c r="K123" s="584"/>
      <c r="L123" s="585"/>
      <c r="M123" s="586"/>
      <c r="N123" s="1152"/>
      <c r="O123" s="1152"/>
      <c r="P123" s="2687"/>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87"/>
      <c r="Q124" s="504"/>
    </row>
    <row r="125" spans="1:17" ht="15" thickTop="1">
      <c r="A125" s="599"/>
      <c r="B125" s="538" t="s">
        <v>2617</v>
      </c>
      <c r="C125" s="578" t="s">
        <v>2593</v>
      </c>
      <c r="D125" s="578" t="s">
        <v>2594</v>
      </c>
      <c r="E125" s="578" t="s">
        <v>2595</v>
      </c>
      <c r="F125" s="578" t="s">
        <v>2596</v>
      </c>
      <c r="G125" s="578" t="s">
        <v>2597</v>
      </c>
      <c r="H125" s="539"/>
      <c r="I125" s="539"/>
      <c r="J125" s="539"/>
      <c r="K125" s="540"/>
      <c r="L125" s="541"/>
      <c r="M125" s="542"/>
      <c r="N125" s="1152"/>
      <c r="O125" s="1152"/>
      <c r="P125" s="2688"/>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87"/>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88"/>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8"/>
      <c r="Q128" s="559"/>
    </row>
    <row r="129" spans="1:17" ht="15" thickTop="1">
      <c r="A129" s="599"/>
      <c r="B129" s="538">
        <f>B46</f>
        <v>111</v>
      </c>
      <c r="C129" s="554"/>
      <c r="D129" s="554"/>
      <c r="E129" s="554"/>
      <c r="F129" s="554"/>
      <c r="G129" s="583"/>
      <c r="H129" s="583"/>
      <c r="I129" s="583"/>
      <c r="J129" s="583"/>
      <c r="K129" s="584"/>
      <c r="L129" s="585"/>
      <c r="M129" s="586"/>
      <c r="N129" s="1152"/>
      <c r="O129" s="1152"/>
      <c r="P129" s="2687"/>
      <c r="Q129" s="504"/>
    </row>
    <row r="130" spans="1:17" ht="15.75" thickBot="1">
      <c r="A130" s="534"/>
      <c r="B130" s="543"/>
      <c r="C130" s="560"/>
      <c r="D130" s="560"/>
      <c r="E130" s="560"/>
      <c r="F130" s="560"/>
      <c r="G130" s="536"/>
      <c r="H130" s="536"/>
      <c r="I130" s="536"/>
      <c r="J130" s="536"/>
      <c r="K130" s="536"/>
      <c r="L130" s="536"/>
      <c r="M130" s="537"/>
      <c r="N130" s="1153"/>
      <c r="O130" s="1153"/>
      <c r="P130" s="2687"/>
      <c r="Q130" s="504"/>
    </row>
    <row r="131" spans="1:17" ht="15" thickTop="1">
      <c r="A131" s="599"/>
      <c r="B131" s="546">
        <f>B47</f>
        <v>111</v>
      </c>
      <c r="C131" s="523"/>
      <c r="D131" s="523"/>
      <c r="E131" s="523"/>
      <c r="F131" s="523"/>
      <c r="G131" s="587"/>
      <c r="H131" s="587"/>
      <c r="I131" s="587"/>
      <c r="J131" s="587"/>
      <c r="K131" s="523"/>
      <c r="L131" s="524"/>
      <c r="M131" s="590"/>
      <c r="N131" s="1152"/>
      <c r="O131" s="1152"/>
      <c r="P131" s="2687"/>
      <c r="Q131" s="504"/>
    </row>
    <row r="132" spans="1:17" ht="15.75" thickBot="1">
      <c r="A132" s="2639"/>
      <c r="B132" s="569"/>
      <c r="C132" s="570"/>
      <c r="D132" s="570"/>
      <c r="E132" s="570"/>
      <c r="F132" s="570"/>
      <c r="G132" s="591"/>
      <c r="H132" s="591"/>
      <c r="I132" s="591"/>
      <c r="J132" s="591"/>
      <c r="K132" s="591"/>
      <c r="L132" s="591"/>
      <c r="M132" s="592"/>
      <c r="N132" s="1153"/>
      <c r="O132" s="1153"/>
      <c r="P132" s="2687"/>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4" type="noConversion"/>
  <conditionalFormatting sqref="F53 H53">
    <cfRule type="containsText" dxfId="87" priority="16" stopIfTrue="1" operator="containsText" text="超过">
      <formula>NOT(ISERROR(SEARCH("超过",F53)))</formula>
    </cfRule>
  </conditionalFormatting>
  <conditionalFormatting sqref="H55">
    <cfRule type="containsText" dxfId="86" priority="15" stopIfTrue="1" operator="containsText" text="超过">
      <formula>NOT(ISERROR(SEARCH("超过",H55)))</formula>
    </cfRule>
  </conditionalFormatting>
  <conditionalFormatting sqref="F55">
    <cfRule type="containsText" dxfId="85" priority="14" stopIfTrue="1" operator="containsText" text="超过">
      <formula>NOT(ISERROR(SEARCH("超过",F55)))</formula>
    </cfRule>
  </conditionalFormatting>
  <conditionalFormatting sqref="F54 H54">
    <cfRule type="containsText" dxfId="84" priority="13" stopIfTrue="1" operator="containsText" text="超过">
      <formula>NOT(ISERROR(SEARCH("超过",F54)))</formula>
    </cfRule>
  </conditionalFormatting>
  <conditionalFormatting sqref="E53">
    <cfRule type="expression" dxfId="83" priority="12" stopIfTrue="1">
      <formula>$F$53="超过30%"</formula>
    </cfRule>
  </conditionalFormatting>
  <conditionalFormatting sqref="E54">
    <cfRule type="expression" dxfId="82" priority="11" stopIfTrue="1">
      <formula>$F$54="超过20%"</formula>
    </cfRule>
  </conditionalFormatting>
  <conditionalFormatting sqref="E55">
    <cfRule type="expression" dxfId="81" priority="10" stopIfTrue="1">
      <formula>$F$55="超过30%"</formula>
    </cfRule>
  </conditionalFormatting>
  <conditionalFormatting sqref="G55">
    <cfRule type="expression" dxfId="80" priority="9" stopIfTrue="1">
      <formula>$H$55="超过30%"</formula>
    </cfRule>
  </conditionalFormatting>
  <conditionalFormatting sqref="G53">
    <cfRule type="expression" dxfId="79" priority="8" stopIfTrue="1">
      <formula>$H$53="超过30%"</formula>
    </cfRule>
  </conditionalFormatting>
  <conditionalFormatting sqref="G54">
    <cfRule type="expression" dxfId="78" priority="7" stopIfTrue="1">
      <formula>$H$54="超过20%"</formula>
    </cfRule>
  </conditionalFormatting>
  <conditionalFormatting sqref="J53">
    <cfRule type="containsText" dxfId="77" priority="6" stopIfTrue="1" operator="containsText" text="超过">
      <formula>NOT(ISERROR(SEARCH("超过",J53)))</formula>
    </cfRule>
  </conditionalFormatting>
  <conditionalFormatting sqref="J55">
    <cfRule type="containsText" dxfId="76" priority="5" stopIfTrue="1" operator="containsText" text="超过">
      <formula>NOT(ISERROR(SEARCH("超过",J55)))</formula>
    </cfRule>
  </conditionalFormatting>
  <conditionalFormatting sqref="J54">
    <cfRule type="containsText" dxfId="75" priority="4" stopIfTrue="1" operator="containsText" text="超过">
      <formula>NOT(ISERROR(SEARCH("超过",J54)))</formula>
    </cfRule>
  </conditionalFormatting>
  <conditionalFormatting sqref="I53">
    <cfRule type="expression" dxfId="74" priority="3" stopIfTrue="1">
      <formula>$J$53="超过30%"</formula>
    </cfRule>
  </conditionalFormatting>
  <conditionalFormatting sqref="I54">
    <cfRule type="expression" dxfId="73" priority="2" stopIfTrue="1">
      <formula>$J$53+$J$54="超过20%"</formula>
    </cfRule>
  </conditionalFormatting>
  <conditionalFormatting sqref="I55">
    <cfRule type="expression" dxfId="7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33" sqref="J3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2524</v>
      </c>
      <c r="B1" s="2672" t="s">
        <v>2698</v>
      </c>
      <c r="C1" s="1620" t="s">
        <v>2526</v>
      </c>
      <c r="D1" s="1621"/>
      <c r="E1" s="1630"/>
      <c r="F1" s="2587"/>
      <c r="G1" s="1631" t="s">
        <v>2639</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2323</v>
      </c>
      <c r="B2" s="1418" t="e">
        <f ca="1">IF(C2="——",ROUND(C43*D3/10000,0),ROUND(C43*D3/10000,0)-D2)</f>
        <v>#DIV/0!</v>
      </c>
      <c r="C2" s="2589"/>
      <c r="D2" s="1124" t="e">
        <f ca="1">SUMIF(INDIRECT("'"&amp;F2&amp;"'"&amp;"!A:A"),"承租人权益价值",INDIRECT("'"&amp;F2&amp;"'"&amp;"!c:c"))</f>
        <v>#REF!</v>
      </c>
      <c r="E2" s="2590" t="s">
        <v>2324</v>
      </c>
      <c r="F2" s="2591"/>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2325</v>
      </c>
      <c r="B3" s="609" t="e">
        <f ca="1">IF(C2="——",C43,ROUND(B2*10000/D3,0))</f>
        <v>#DIV/0!</v>
      </c>
      <c r="C3" s="400" t="s">
        <v>2640</v>
      </c>
      <c r="D3" s="399">
        <f>IF(D1="",'数据-汇总表'!E3,SUMIF('数据-汇总表'!$C19:$C33,D1,'数据-汇总表'!$E19:$E33))</f>
        <v>27202.3</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2641</v>
      </c>
      <c r="B4" s="402"/>
      <c r="C4" s="3280" t="s">
        <v>2642</v>
      </c>
      <c r="D4" s="3281"/>
      <c r="E4" s="3282" t="s">
        <v>2643</v>
      </c>
      <c r="F4" s="3283"/>
      <c r="G4" s="3280" t="s">
        <v>2644</v>
      </c>
      <c r="H4" s="3281"/>
      <c r="I4" s="3280" t="s">
        <v>2645</v>
      </c>
      <c r="J4" s="3281"/>
      <c r="K4" s="610" t="s">
        <v>2646</v>
      </c>
      <c r="L4" s="1130"/>
      <c r="M4" s="1131"/>
      <c r="N4" s="1131"/>
      <c r="O4" s="1131"/>
      <c r="P4" s="3284" t="s">
        <v>2647</v>
      </c>
      <c r="Q4" s="3285"/>
      <c r="R4" s="3290" t="s">
        <v>2643</v>
      </c>
      <c r="S4" s="3291"/>
      <c r="T4" s="3290" t="s">
        <v>2644</v>
      </c>
      <c r="U4" s="3291"/>
      <c r="V4" s="3296" t="s">
        <v>2645</v>
      </c>
      <c r="W4" s="3296"/>
      <c r="X4" s="1813"/>
      <c r="Y4" s="3290" t="s">
        <v>2647</v>
      </c>
      <c r="Z4" s="3291"/>
      <c r="AA4" s="3277" t="s">
        <v>2643</v>
      </c>
      <c r="AB4" s="3278" t="s">
        <v>2644</v>
      </c>
      <c r="AC4" s="3277" t="s">
        <v>2645</v>
      </c>
    </row>
    <row r="5" spans="1:29" ht="15">
      <c r="A5" s="404"/>
      <c r="B5" s="405"/>
      <c r="C5" s="3299" t="s">
        <v>2538</v>
      </c>
      <c r="D5" s="3300"/>
      <c r="E5" s="3306" t="s">
        <v>2539</v>
      </c>
      <c r="F5" s="3307"/>
      <c r="G5" s="3299" t="s">
        <v>2540</v>
      </c>
      <c r="H5" s="3300"/>
      <c r="I5" s="3299" t="s">
        <v>2541</v>
      </c>
      <c r="J5" s="3300"/>
      <c r="K5" s="610"/>
      <c r="L5" s="1130"/>
      <c r="M5" s="1131"/>
      <c r="N5" s="1131"/>
      <c r="O5" s="1131"/>
      <c r="P5" s="3286"/>
      <c r="Q5" s="3287"/>
      <c r="R5" s="3292"/>
      <c r="S5" s="3293"/>
      <c r="T5" s="3292"/>
      <c r="U5" s="3293"/>
      <c r="V5" s="3296"/>
      <c r="W5" s="3296"/>
      <c r="X5" s="1813"/>
      <c r="Y5" s="3292"/>
      <c r="Z5" s="3293"/>
      <c r="AA5" s="3278"/>
      <c r="AB5" s="3278"/>
      <c r="AC5" s="3278"/>
    </row>
    <row r="6" spans="1:29" ht="15.75" thickBot="1">
      <c r="A6" s="406"/>
      <c r="B6" s="407"/>
      <c r="C6" s="3297" t="s">
        <v>2542</v>
      </c>
      <c r="D6" s="3298"/>
      <c r="E6" s="3304" t="s">
        <v>2542</v>
      </c>
      <c r="F6" s="3305"/>
      <c r="G6" s="3297" t="s">
        <v>2542</v>
      </c>
      <c r="H6" s="3298"/>
      <c r="I6" s="3297" t="s">
        <v>2542</v>
      </c>
      <c r="J6" s="3298"/>
      <c r="K6" s="610" t="s">
        <v>2543</v>
      </c>
      <c r="L6" s="1130"/>
      <c r="M6" s="1131"/>
      <c r="N6" s="1131"/>
      <c r="O6" s="1131"/>
      <c r="P6" s="3288"/>
      <c r="Q6" s="3289"/>
      <c r="R6" s="3292"/>
      <c r="S6" s="3293"/>
      <c r="T6" s="3294"/>
      <c r="U6" s="3295"/>
      <c r="V6" s="3296"/>
      <c r="W6" s="3296"/>
      <c r="X6" s="1813"/>
      <c r="Y6" s="3294"/>
      <c r="Z6" s="3295"/>
      <c r="AA6" s="3279"/>
      <c r="AB6" s="3279"/>
      <c r="AC6" s="3279"/>
    </row>
    <row r="7" spans="1:29" s="117" customFormat="1" ht="15.75" thickBot="1">
      <c r="A7" s="408" t="s">
        <v>2544</v>
      </c>
      <c r="B7" s="409"/>
      <c r="C7" s="410">
        <f>'数据-取费表'!B2</f>
        <v>43592</v>
      </c>
      <c r="D7" s="411">
        <v>100</v>
      </c>
      <c r="E7" s="412"/>
      <c r="F7" s="413">
        <f>SUMIF(52:52,YEAR(E7)&amp;"-"&amp;MONTH(E7),53:53)</f>
        <v>0</v>
      </c>
      <c r="G7" s="412"/>
      <c r="H7" s="411">
        <f>SUMIF(52:52,YEAR(G7)&amp;"-"&amp;MONTH(G7),53:53)</f>
        <v>0</v>
      </c>
      <c r="I7" s="412"/>
      <c r="J7" s="411">
        <f>SUMIF(52:52,YEAR(I7)&amp;"-"&amp;MONTH(I7),53:53)</f>
        <v>0</v>
      </c>
      <c r="K7" s="611"/>
      <c r="L7" s="1132"/>
      <c r="M7" s="1133"/>
      <c r="N7" s="1133"/>
      <c r="O7" s="1133"/>
      <c r="P7" s="3301" t="s">
        <v>2545</v>
      </c>
      <c r="Q7" s="3303"/>
      <c r="R7" s="770" t="s">
        <v>17</v>
      </c>
      <c r="S7" s="771">
        <f t="shared" ref="S7:S15" si="0">F7</f>
        <v>0</v>
      </c>
      <c r="T7" s="770" t="s">
        <v>17</v>
      </c>
      <c r="U7" s="771">
        <f t="shared" ref="U7:U15" si="1">H7</f>
        <v>0</v>
      </c>
      <c r="V7" s="770" t="s">
        <v>17</v>
      </c>
      <c r="W7" s="771">
        <f t="shared" ref="W7:W15" si="2">J7</f>
        <v>0</v>
      </c>
      <c r="X7" s="772"/>
      <c r="Y7" s="3301" t="s">
        <v>2545</v>
      </c>
      <c r="Z7" s="3302"/>
      <c r="AA7" s="773" t="e">
        <f>D7/F7</f>
        <v>#DIV/0!</v>
      </c>
      <c r="AB7" s="773" t="e">
        <f>D7/H7</f>
        <v>#DIV/0!</v>
      </c>
      <c r="AC7" s="773" t="e">
        <f>D7/J7</f>
        <v>#DIV/0!</v>
      </c>
    </row>
    <row r="8" spans="1:29" s="117" customFormat="1" ht="15.75" thickBot="1">
      <c r="A8" s="408" t="s">
        <v>2546</v>
      </c>
      <c r="B8" s="409"/>
      <c r="C8" s="414" t="s">
        <v>2547</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301" t="s">
        <v>2548</v>
      </c>
      <c r="Q8" s="3302"/>
      <c r="R8" s="770" t="s">
        <v>17</v>
      </c>
      <c r="S8" s="771">
        <f t="shared" si="0"/>
        <v>0</v>
      </c>
      <c r="T8" s="770" t="s">
        <v>17</v>
      </c>
      <c r="U8" s="771">
        <f t="shared" si="1"/>
        <v>0</v>
      </c>
      <c r="V8" s="770" t="s">
        <v>17</v>
      </c>
      <c r="W8" s="771">
        <f t="shared" si="2"/>
        <v>0</v>
      </c>
      <c r="X8" s="772"/>
      <c r="Y8" s="3301" t="s">
        <v>2548</v>
      </c>
      <c r="Z8" s="3302"/>
      <c r="AA8" s="773" t="e">
        <f t="shared" ref="AA8:AA40" si="3">D8/F8</f>
        <v>#DIV/0!</v>
      </c>
      <c r="AB8" s="773" t="e">
        <f t="shared" ref="AB8:AB40" si="4">D8/H8</f>
        <v>#DIV/0!</v>
      </c>
      <c r="AC8" s="773" t="e">
        <f t="shared" ref="AC8:AC40" si="5">D8/J8</f>
        <v>#DIV/0!</v>
      </c>
    </row>
    <row r="9" spans="1:29" s="117" customFormat="1">
      <c r="A9" s="415" t="s">
        <v>2549</v>
      </c>
      <c r="B9" s="71" t="s">
        <v>2550</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265" t="s">
        <v>2551</v>
      </c>
      <c r="Q9" s="1795" t="str">
        <f t="shared" ref="Q9:Q15" si="6">B9</f>
        <v>用途</v>
      </c>
      <c r="R9" s="770" t="s">
        <v>17</v>
      </c>
      <c r="S9" s="771">
        <f t="shared" si="0"/>
        <v>100</v>
      </c>
      <c r="T9" s="770" t="s">
        <v>17</v>
      </c>
      <c r="U9" s="771">
        <f t="shared" si="1"/>
        <v>100</v>
      </c>
      <c r="V9" s="770" t="s">
        <v>17</v>
      </c>
      <c r="W9" s="771">
        <f t="shared" si="2"/>
        <v>100</v>
      </c>
      <c r="X9" s="772"/>
      <c r="Y9" s="3042" t="s">
        <v>2552</v>
      </c>
      <c r="Z9" s="55" t="str">
        <f t="shared" ref="Z9:Z15" si="7">Q9</f>
        <v>用途</v>
      </c>
      <c r="AA9" s="773">
        <f t="shared" si="3"/>
        <v>1</v>
      </c>
      <c r="AB9" s="773">
        <f t="shared" si="4"/>
        <v>1</v>
      </c>
      <c r="AC9" s="773">
        <f t="shared" si="5"/>
        <v>1</v>
      </c>
    </row>
    <row r="10" spans="1:29" s="427" customFormat="1" ht="27">
      <c r="A10" s="421"/>
      <c r="B10" s="422" t="s">
        <v>2553</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265"/>
      <c r="Q10" s="1795" t="str">
        <f t="shared" si="6"/>
        <v>土地使用年限（年）</v>
      </c>
      <c r="R10" s="770" t="s">
        <v>17</v>
      </c>
      <c r="S10" s="771">
        <f t="shared" si="0"/>
        <v>100</v>
      </c>
      <c r="T10" s="770" t="s">
        <v>17</v>
      </c>
      <c r="U10" s="771">
        <f t="shared" si="1"/>
        <v>100</v>
      </c>
      <c r="V10" s="770" t="s">
        <v>17</v>
      </c>
      <c r="W10" s="771">
        <f t="shared" si="2"/>
        <v>100</v>
      </c>
      <c r="X10" s="772"/>
      <c r="Y10" s="3042"/>
      <c r="Z10" s="55" t="str">
        <f t="shared" si="7"/>
        <v>土地使用年限（年）</v>
      </c>
      <c r="AA10" s="773">
        <f t="shared" si="3"/>
        <v>1</v>
      </c>
      <c r="AB10" s="773">
        <f t="shared" si="4"/>
        <v>1</v>
      </c>
      <c r="AC10" s="773">
        <f t="shared" si="5"/>
        <v>1</v>
      </c>
    </row>
    <row r="11" spans="1:29" ht="15">
      <c r="A11" s="428"/>
      <c r="B11" s="422" t="s">
        <v>2554</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265"/>
      <c r="Q11" s="1795" t="str">
        <f t="shared" si="6"/>
        <v>容积率</v>
      </c>
      <c r="R11" s="770" t="s">
        <v>17</v>
      </c>
      <c r="S11" s="771" t="e">
        <f t="shared" si="0"/>
        <v>#N/A</v>
      </c>
      <c r="T11" s="770" t="s">
        <v>17</v>
      </c>
      <c r="U11" s="771" t="e">
        <f t="shared" si="1"/>
        <v>#N/A</v>
      </c>
      <c r="V11" s="770" t="s">
        <v>17</v>
      </c>
      <c r="W11" s="771" t="e">
        <f t="shared" si="2"/>
        <v>#N/A</v>
      </c>
      <c r="X11" s="772"/>
      <c r="Y11" s="3042"/>
      <c r="Z11" s="55" t="str">
        <f t="shared" si="7"/>
        <v>容积率</v>
      </c>
      <c r="AA11" s="773" t="e">
        <f t="shared" si="3"/>
        <v>#N/A</v>
      </c>
      <c r="AB11" s="773" t="e">
        <f t="shared" si="4"/>
        <v>#N/A</v>
      </c>
      <c r="AC11" s="773" t="e">
        <f t="shared" si="5"/>
        <v>#N/A</v>
      </c>
    </row>
    <row r="12" spans="1:29" s="117" customFormat="1" ht="15">
      <c r="A12" s="431"/>
      <c r="B12" s="2603">
        <v>111</v>
      </c>
      <c r="C12" s="432"/>
      <c r="D12" s="433">
        <v>100</v>
      </c>
      <c r="E12" s="434"/>
      <c r="F12" s="136">
        <f>SUMIF(64:64,E12,65:65)-SUMIF(64:64,C12,65:65)+100</f>
        <v>100</v>
      </c>
      <c r="G12" s="2695"/>
      <c r="H12" s="136">
        <f>SUMIF(64:64,G12,65:65)-SUMIF(64:64,C12,65:65)+100</f>
        <v>100</v>
      </c>
      <c r="I12" s="469"/>
      <c r="J12" s="136">
        <f>SUMIF(64:64,I12,65:65)-SUMIF(64:64,C12,65:65)+100</f>
        <v>100</v>
      </c>
      <c r="K12" s="613"/>
      <c r="L12" s="1132"/>
      <c r="M12" s="1133"/>
      <c r="N12" s="1133"/>
      <c r="O12" s="1134"/>
      <c r="P12" s="3265"/>
      <c r="Q12" s="1795">
        <f t="shared" si="6"/>
        <v>111</v>
      </c>
      <c r="R12" s="770" t="s">
        <v>17</v>
      </c>
      <c r="S12" s="771">
        <f t="shared" si="0"/>
        <v>100</v>
      </c>
      <c r="T12" s="770" t="s">
        <v>17</v>
      </c>
      <c r="U12" s="771">
        <f t="shared" si="1"/>
        <v>100</v>
      </c>
      <c r="V12" s="770" t="s">
        <v>17</v>
      </c>
      <c r="W12" s="771">
        <f t="shared" si="2"/>
        <v>100</v>
      </c>
      <c r="X12" s="772"/>
      <c r="Y12" s="3042"/>
      <c r="Z12" s="55">
        <f t="shared" si="7"/>
        <v>111</v>
      </c>
      <c r="AA12" s="773">
        <f>D12/F12</f>
        <v>1</v>
      </c>
      <c r="AB12" s="773">
        <f>D12/H12</f>
        <v>1</v>
      </c>
      <c r="AC12" s="773">
        <f>D12/J12</f>
        <v>1</v>
      </c>
    </row>
    <row r="13" spans="1:29" ht="15">
      <c r="A13" s="428"/>
      <c r="B13" s="2603">
        <v>111</v>
      </c>
      <c r="C13" s="434"/>
      <c r="D13" s="435">
        <v>100</v>
      </c>
      <c r="E13" s="434"/>
      <c r="F13" s="136">
        <f>SUMIF(66:66,E13,67:67)-SUMIF(66:66,C13,67:67)+100</f>
        <v>100</v>
      </c>
      <c r="G13" s="2695"/>
      <c r="H13" s="435">
        <f>SUMIF(66:66,G13,67:67)-SUMIF(66:66,C13,67:67)+100</f>
        <v>100</v>
      </c>
      <c r="I13" s="469"/>
      <c r="J13" s="435">
        <f>SUMIF(66:66,I13,67:67)-SUMIF(66:66,C13,67:67)+100</f>
        <v>100</v>
      </c>
      <c r="K13" s="613"/>
      <c r="L13" s="1140"/>
      <c r="M13" s="1131"/>
      <c r="N13" s="1131"/>
      <c r="O13" s="1139"/>
      <c r="P13" s="3265"/>
      <c r="Q13" s="1795">
        <f t="shared" si="6"/>
        <v>111</v>
      </c>
      <c r="R13" s="770" t="s">
        <v>17</v>
      </c>
      <c r="S13" s="771">
        <f t="shared" si="0"/>
        <v>100</v>
      </c>
      <c r="T13" s="770" t="s">
        <v>17</v>
      </c>
      <c r="U13" s="771">
        <f t="shared" si="1"/>
        <v>100</v>
      </c>
      <c r="V13" s="770" t="s">
        <v>17</v>
      </c>
      <c r="W13" s="771">
        <f t="shared" si="2"/>
        <v>100</v>
      </c>
      <c r="X13" s="772"/>
      <c r="Y13" s="3042"/>
      <c r="Z13" s="55">
        <f t="shared" si="7"/>
        <v>111</v>
      </c>
      <c r="AA13" s="773">
        <f t="shared" si="3"/>
        <v>1</v>
      </c>
      <c r="AB13" s="773">
        <f t="shared" si="4"/>
        <v>1</v>
      </c>
      <c r="AC13" s="773">
        <f t="shared" si="5"/>
        <v>1</v>
      </c>
    </row>
    <row r="14" spans="1:29" ht="15.75" thickBot="1">
      <c r="A14" s="436"/>
      <c r="B14" s="2605">
        <v>111</v>
      </c>
      <c r="C14" s="437"/>
      <c r="D14" s="438">
        <v>100</v>
      </c>
      <c r="E14" s="437"/>
      <c r="F14" s="438">
        <f>SUMIF(68:68,E14,69:69)-SUMIF(68:68,C14,69:69)+100</f>
        <v>100</v>
      </c>
      <c r="G14" s="2695"/>
      <c r="H14" s="438">
        <f>SUMIF(68:68,G14,69:69)-SUMIF(68:68,C14,69:69)+100</f>
        <v>100</v>
      </c>
      <c r="I14" s="469"/>
      <c r="J14" s="438">
        <f>SUMIF(68:68,I14,69:69)-SUMIF(68:68,C14,69:69)+100</f>
        <v>100</v>
      </c>
      <c r="K14" s="613"/>
      <c r="L14" s="1140"/>
      <c r="M14" s="1131"/>
      <c r="N14" s="1131"/>
      <c r="O14" s="1139"/>
      <c r="P14" s="3265"/>
      <c r="Q14" s="1795">
        <f t="shared" si="6"/>
        <v>111</v>
      </c>
      <c r="R14" s="770" t="s">
        <v>17</v>
      </c>
      <c r="S14" s="771">
        <f t="shared" si="0"/>
        <v>100</v>
      </c>
      <c r="T14" s="770" t="s">
        <v>17</v>
      </c>
      <c r="U14" s="771">
        <f t="shared" si="1"/>
        <v>100</v>
      </c>
      <c r="V14" s="770" t="s">
        <v>17</v>
      </c>
      <c r="W14" s="771">
        <f t="shared" si="2"/>
        <v>100</v>
      </c>
      <c r="X14" s="772"/>
      <c r="Y14" s="3042"/>
      <c r="Z14" s="55">
        <f t="shared" si="7"/>
        <v>111</v>
      </c>
      <c r="AA14" s="773">
        <f t="shared" si="3"/>
        <v>1</v>
      </c>
      <c r="AB14" s="773">
        <f t="shared" si="4"/>
        <v>1</v>
      </c>
      <c r="AC14" s="773">
        <f t="shared" si="5"/>
        <v>1</v>
      </c>
    </row>
    <row r="15" spans="1:29" ht="57">
      <c r="A15" s="440" t="s">
        <v>2555</v>
      </c>
      <c r="B15" s="69" t="s">
        <v>2699</v>
      </c>
      <c r="C15" s="2696"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267" t="s">
        <v>2556</v>
      </c>
      <c r="Q15" s="1810" t="str">
        <f t="shared" si="6"/>
        <v>产业集聚程度</v>
      </c>
      <c r="R15" s="774" t="s">
        <v>17</v>
      </c>
      <c r="S15" s="775">
        <f t="shared" si="0"/>
        <v>100</v>
      </c>
      <c r="T15" s="774" t="s">
        <v>17</v>
      </c>
      <c r="U15" s="775">
        <f t="shared" si="1"/>
        <v>100</v>
      </c>
      <c r="V15" s="774" t="s">
        <v>17</v>
      </c>
      <c r="W15" s="775">
        <f t="shared" si="2"/>
        <v>100</v>
      </c>
      <c r="X15" s="1813"/>
      <c r="Y15" s="3267" t="s">
        <v>2556</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9"/>
      <c r="P16" s="3268"/>
      <c r="Q16" s="1810"/>
      <c r="R16" s="774"/>
      <c r="S16" s="775"/>
      <c r="T16" s="774"/>
      <c r="U16" s="775"/>
      <c r="V16" s="774"/>
      <c r="W16" s="775"/>
      <c r="X16" s="1813"/>
      <c r="Y16" s="3268"/>
      <c r="Z16" s="1814"/>
      <c r="AA16" s="1811">
        <v>1</v>
      </c>
      <c r="AB16" s="1811">
        <v>1</v>
      </c>
      <c r="AC16" s="1811">
        <v>1</v>
      </c>
    </row>
    <row r="17" spans="1:29" ht="85.5">
      <c r="A17" s="428"/>
      <c r="B17" s="451" t="s">
        <v>2095</v>
      </c>
      <c r="C17" s="2610"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268"/>
      <c r="Q17" s="1810" t="str">
        <f>B17</f>
        <v>交通便捷度</v>
      </c>
      <c r="R17" s="774" t="s">
        <v>17</v>
      </c>
      <c r="S17" s="775">
        <f>F17</f>
        <v>100</v>
      </c>
      <c r="T17" s="774" t="s">
        <v>17</v>
      </c>
      <c r="U17" s="775">
        <f>H17</f>
        <v>100</v>
      </c>
      <c r="V17" s="774" t="s">
        <v>17</v>
      </c>
      <c r="W17" s="775">
        <f>J17</f>
        <v>100</v>
      </c>
      <c r="X17" s="1813"/>
      <c r="Y17" s="3268"/>
      <c r="Z17" s="1814" t="str">
        <f>Q17</f>
        <v>交通便捷度</v>
      </c>
      <c r="AA17" s="1811">
        <f t="shared" si="3"/>
        <v>1</v>
      </c>
      <c r="AB17" s="1811">
        <f t="shared" si="4"/>
        <v>1</v>
      </c>
      <c r="AC17" s="1811">
        <f t="shared" si="5"/>
        <v>1</v>
      </c>
    </row>
    <row r="18" spans="1:29" ht="15">
      <c r="A18" s="428"/>
      <c r="B18" s="456"/>
      <c r="C18" s="2611"/>
      <c r="D18" s="450"/>
      <c r="E18" s="2613"/>
      <c r="F18" s="453"/>
      <c r="G18" s="2612"/>
      <c r="H18" s="448"/>
      <c r="I18" s="2613"/>
      <c r="J18" s="448"/>
      <c r="K18" s="615"/>
      <c r="L18" s="1140"/>
      <c r="M18" s="1131"/>
      <c r="N18" s="1131"/>
      <c r="O18" s="1139"/>
      <c r="P18" s="3268"/>
      <c r="Q18" s="1810"/>
      <c r="R18" s="774"/>
      <c r="S18" s="775"/>
      <c r="T18" s="774"/>
      <c r="U18" s="775"/>
      <c r="V18" s="774"/>
      <c r="W18" s="775"/>
      <c r="X18" s="1813"/>
      <c r="Y18" s="3268"/>
      <c r="Z18" s="1814"/>
      <c r="AA18" s="1811">
        <v>1</v>
      </c>
      <c r="AB18" s="1811">
        <v>1</v>
      </c>
      <c r="AC18" s="1811">
        <v>1</v>
      </c>
    </row>
    <row r="19" spans="1:29" ht="42.75">
      <c r="A19" s="428"/>
      <c r="B19" s="451" t="s">
        <v>2684</v>
      </c>
      <c r="C19" s="2610"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268"/>
      <c r="Q19" s="1810" t="str">
        <f>B19</f>
        <v>公共配套设施</v>
      </c>
      <c r="R19" s="774" t="s">
        <v>17</v>
      </c>
      <c r="S19" s="775">
        <f>F19</f>
        <v>100</v>
      </c>
      <c r="T19" s="774" t="s">
        <v>17</v>
      </c>
      <c r="U19" s="775">
        <f>H19</f>
        <v>100</v>
      </c>
      <c r="V19" s="774" t="s">
        <v>17</v>
      </c>
      <c r="W19" s="775">
        <f>J19</f>
        <v>100</v>
      </c>
      <c r="X19" s="1813"/>
      <c r="Y19" s="3268"/>
      <c r="Z19" s="1814" t="str">
        <f>Q19</f>
        <v>公共配套设施</v>
      </c>
      <c r="AA19" s="1811">
        <f t="shared" si="3"/>
        <v>1</v>
      </c>
      <c r="AB19" s="1811">
        <f t="shared" si="4"/>
        <v>1</v>
      </c>
      <c r="AC19" s="1811">
        <f t="shared" si="5"/>
        <v>1</v>
      </c>
    </row>
    <row r="20" spans="1:29" ht="15">
      <c r="A20" s="428"/>
      <c r="B20" s="456"/>
      <c r="C20" s="447"/>
      <c r="D20" s="448"/>
      <c r="E20" s="2608"/>
      <c r="F20" s="449"/>
      <c r="G20" s="2607"/>
      <c r="H20" s="448"/>
      <c r="I20" s="2608"/>
      <c r="J20" s="448"/>
      <c r="K20" s="615"/>
      <c r="L20" s="1140"/>
      <c r="M20" s="1131"/>
      <c r="N20" s="1131"/>
      <c r="O20" s="1139"/>
      <c r="P20" s="3268"/>
      <c r="Q20" s="1810"/>
      <c r="R20" s="774"/>
      <c r="S20" s="775"/>
      <c r="T20" s="774"/>
      <c r="U20" s="775"/>
      <c r="V20" s="774"/>
      <c r="W20" s="775"/>
      <c r="X20" s="1813"/>
      <c r="Y20" s="3268"/>
      <c r="Z20" s="1814"/>
      <c r="AA20" s="1811">
        <v>1</v>
      </c>
      <c r="AB20" s="1811">
        <v>1</v>
      </c>
      <c r="AC20" s="1811">
        <v>1</v>
      </c>
    </row>
    <row r="21" spans="1:29" ht="28.5">
      <c r="A21" s="428"/>
      <c r="B21" s="1384" t="s">
        <v>2685</v>
      </c>
      <c r="C21" s="2610"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268"/>
      <c r="Q21" s="1810" t="str">
        <f>B21</f>
        <v>基础设施水平</v>
      </c>
      <c r="R21" s="774" t="s">
        <v>17</v>
      </c>
      <c r="S21" s="775">
        <f>F21</f>
        <v>100</v>
      </c>
      <c r="T21" s="774" t="s">
        <v>17</v>
      </c>
      <c r="U21" s="775">
        <f>H21</f>
        <v>100</v>
      </c>
      <c r="V21" s="774" t="s">
        <v>17</v>
      </c>
      <c r="W21" s="775">
        <f>J21</f>
        <v>100</v>
      </c>
      <c r="X21" s="1813"/>
      <c r="Y21" s="3268"/>
      <c r="Z21" s="1814" t="str">
        <f>Q21</f>
        <v>基础设施水平</v>
      </c>
      <c r="AA21" s="1811">
        <f t="shared" ref="AA21" si="8">D21/F21</f>
        <v>1</v>
      </c>
      <c r="AB21" s="1811">
        <f t="shared" ref="AB21" si="9">D21/H21</f>
        <v>1</v>
      </c>
      <c r="AC21" s="1811">
        <f t="shared" ref="AC21" si="10">D21/J21</f>
        <v>1</v>
      </c>
    </row>
    <row r="22" spans="1:29" ht="15">
      <c r="A22" s="428"/>
      <c r="B22" s="1384"/>
      <c r="C22" s="2611"/>
      <c r="D22" s="448"/>
      <c r="E22" s="447"/>
      <c r="F22" s="449"/>
      <c r="G22" s="447"/>
      <c r="H22" s="448"/>
      <c r="I22" s="447"/>
      <c r="J22" s="448"/>
      <c r="K22" s="1383"/>
      <c r="L22" s="1140"/>
      <c r="M22" s="1131"/>
      <c r="N22" s="1131"/>
      <c r="O22" s="1139"/>
      <c r="P22" s="3268"/>
      <c r="Q22" s="1810"/>
      <c r="R22" s="774"/>
      <c r="S22" s="775"/>
      <c r="T22" s="774"/>
      <c r="U22" s="775"/>
      <c r="V22" s="774"/>
      <c r="W22" s="775"/>
      <c r="X22" s="1813"/>
      <c r="Y22" s="3268"/>
      <c r="Z22" s="1814"/>
      <c r="AA22" s="1811">
        <v>1</v>
      </c>
      <c r="AB22" s="1811">
        <v>1</v>
      </c>
      <c r="AC22" s="1811">
        <v>1</v>
      </c>
    </row>
    <row r="23" spans="1:29" ht="71.25">
      <c r="A23" s="428"/>
      <c r="B23" s="451" t="s">
        <v>2686</v>
      </c>
      <c r="C23" s="2610"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268"/>
      <c r="Q23" s="1810" t="str">
        <f>B23</f>
        <v>环境质量</v>
      </c>
      <c r="R23" s="774" t="s">
        <v>17</v>
      </c>
      <c r="S23" s="775">
        <f>F23</f>
        <v>100</v>
      </c>
      <c r="T23" s="774" t="s">
        <v>17</v>
      </c>
      <c r="U23" s="775">
        <f>H23</f>
        <v>100</v>
      </c>
      <c r="V23" s="774" t="s">
        <v>17</v>
      </c>
      <c r="W23" s="775">
        <f>J23</f>
        <v>100</v>
      </c>
      <c r="X23" s="1813"/>
      <c r="Y23" s="3268"/>
      <c r="Z23" s="1814" t="str">
        <f>Q23</f>
        <v>环境质量</v>
      </c>
      <c r="AA23" s="1811">
        <f t="shared" si="3"/>
        <v>1</v>
      </c>
      <c r="AB23" s="1811">
        <f t="shared" si="4"/>
        <v>1</v>
      </c>
      <c r="AC23" s="1811">
        <f t="shared" si="5"/>
        <v>1</v>
      </c>
    </row>
    <row r="24" spans="1:29" ht="15">
      <c r="A24" s="428"/>
      <c r="B24" s="1384"/>
      <c r="C24" s="447"/>
      <c r="D24" s="448"/>
      <c r="E24" s="2608"/>
      <c r="F24" s="449"/>
      <c r="G24" s="2607"/>
      <c r="H24" s="448"/>
      <c r="I24" s="2608"/>
      <c r="J24" s="448"/>
      <c r="K24" s="615"/>
      <c r="L24" s="1140"/>
      <c r="M24" s="1131"/>
      <c r="N24" s="1131"/>
      <c r="O24" s="1139"/>
      <c r="P24" s="3268"/>
      <c r="Q24" s="1810"/>
      <c r="R24" s="774"/>
      <c r="S24" s="775"/>
      <c r="T24" s="774"/>
      <c r="U24" s="775"/>
      <c r="V24" s="774"/>
      <c r="W24" s="775"/>
      <c r="X24" s="1813"/>
      <c r="Y24" s="3268"/>
      <c r="Z24" s="1814"/>
      <c r="AA24" s="1811">
        <v>1</v>
      </c>
      <c r="AB24" s="1811">
        <v>1</v>
      </c>
      <c r="AC24" s="1811">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268"/>
      <c r="Q25" s="1810">
        <f>B25</f>
        <v>111</v>
      </c>
      <c r="R25" s="774" t="s">
        <v>17</v>
      </c>
      <c r="S25" s="775">
        <f>F25</f>
        <v>100</v>
      </c>
      <c r="T25" s="774" t="s">
        <v>17</v>
      </c>
      <c r="U25" s="775">
        <f>H25</f>
        <v>100</v>
      </c>
      <c r="V25" s="774" t="s">
        <v>17</v>
      </c>
      <c r="W25" s="775">
        <f>J25</f>
        <v>100</v>
      </c>
      <c r="X25" s="1813"/>
      <c r="Y25" s="3268"/>
      <c r="Z25" s="1814">
        <f>Q25</f>
        <v>111</v>
      </c>
      <c r="AA25" s="1811">
        <f t="shared" si="3"/>
        <v>1</v>
      </c>
      <c r="AB25" s="1811">
        <f t="shared" si="4"/>
        <v>1</v>
      </c>
      <c r="AC25" s="1811">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268"/>
      <c r="Q26" s="1810">
        <f t="shared" ref="Q26:Q40" si="11">B26</f>
        <v>111</v>
      </c>
      <c r="R26" s="774" t="s">
        <v>17</v>
      </c>
      <c r="S26" s="775">
        <f>F26</f>
        <v>100</v>
      </c>
      <c r="T26" s="774" t="s">
        <v>17</v>
      </c>
      <c r="U26" s="775">
        <f>H26</f>
        <v>100</v>
      </c>
      <c r="V26" s="774" t="s">
        <v>17</v>
      </c>
      <c r="W26" s="775">
        <f>J26</f>
        <v>100</v>
      </c>
      <c r="X26" s="1813"/>
      <c r="Y26" s="3268"/>
      <c r="Z26" s="1814">
        <f>Q26</f>
        <v>111</v>
      </c>
      <c r="AA26" s="1811">
        <f t="shared" si="3"/>
        <v>1</v>
      </c>
      <c r="AB26" s="1811">
        <f t="shared" si="4"/>
        <v>1</v>
      </c>
      <c r="AC26" s="1811">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268"/>
      <c r="Q27" s="1795">
        <f t="shared" si="11"/>
        <v>111</v>
      </c>
      <c r="R27" s="770" t="s">
        <v>17</v>
      </c>
      <c r="S27" s="771">
        <f>F27</f>
        <v>100</v>
      </c>
      <c r="T27" s="770" t="s">
        <v>17</v>
      </c>
      <c r="U27" s="771">
        <f>H27</f>
        <v>100</v>
      </c>
      <c r="V27" s="770" t="s">
        <v>17</v>
      </c>
      <c r="W27" s="771">
        <f>J27</f>
        <v>100</v>
      </c>
      <c r="X27" s="772"/>
      <c r="Y27" s="3268"/>
      <c r="Z27" s="55">
        <f>Q27</f>
        <v>111</v>
      </c>
      <c r="AA27" s="1811">
        <f>D27/F27</f>
        <v>1</v>
      </c>
      <c r="AB27" s="1811">
        <f>D27/H27</f>
        <v>1</v>
      </c>
      <c r="AC27" s="1811">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268"/>
      <c r="Q28" s="1810">
        <f t="shared" si="11"/>
        <v>111</v>
      </c>
      <c r="R28" s="774" t="s">
        <v>17</v>
      </c>
      <c r="S28" s="775">
        <f t="shared" ref="S28:S40" si="12">F28</f>
        <v>100</v>
      </c>
      <c r="T28" s="774" t="s">
        <v>17</v>
      </c>
      <c r="U28" s="775">
        <f t="shared" ref="U28:U40" si="13">H28</f>
        <v>100</v>
      </c>
      <c r="V28" s="774" t="s">
        <v>17</v>
      </c>
      <c r="W28" s="775">
        <f t="shared" ref="W28:W40" si="14">J28</f>
        <v>100</v>
      </c>
      <c r="X28" s="1813"/>
      <c r="Y28" s="3268"/>
      <c r="Z28" s="1814">
        <f t="shared" ref="Z28:Z40" si="15">Q28</f>
        <v>111</v>
      </c>
      <c r="AA28" s="1811">
        <f t="shared" si="3"/>
        <v>1</v>
      </c>
      <c r="AB28" s="1811">
        <f t="shared" si="4"/>
        <v>1</v>
      </c>
      <c r="AC28" s="1811">
        <f t="shared" si="5"/>
        <v>1</v>
      </c>
    </row>
    <row r="29" spans="1:29" ht="28.5">
      <c r="A29" s="466" t="s">
        <v>2559</v>
      </c>
      <c r="B29" s="71" t="s">
        <v>2689</v>
      </c>
      <c r="C29" s="2682"/>
      <c r="D29" s="467">
        <v>100</v>
      </c>
      <c r="E29" s="2682"/>
      <c r="F29" s="461">
        <f>SUMIF(88:88,E29,89:89)-SUMIF(88:88,C29,89:89)+100</f>
        <v>100</v>
      </c>
      <c r="G29" s="2682"/>
      <c r="H29" s="435">
        <f>SUMIF(88:88,G29,89:89)-SUMIF(88:88,C29,89:89)+100</f>
        <v>100</v>
      </c>
      <c r="I29" s="2682"/>
      <c r="J29" s="467">
        <f>SUMIF(88:88,I29,89:89)-SUMIF(88:88,C29,89:89)+100</f>
        <v>100</v>
      </c>
      <c r="K29" s="612"/>
      <c r="L29" s="1140"/>
      <c r="M29" s="1131"/>
      <c r="N29" s="1131"/>
      <c r="O29" s="1139"/>
      <c r="P29" s="3323" t="s">
        <v>2561</v>
      </c>
      <c r="Q29" s="1810" t="str">
        <f t="shared" si="11"/>
        <v>建筑类型</v>
      </c>
      <c r="R29" s="774" t="s">
        <v>17</v>
      </c>
      <c r="S29" s="775">
        <f t="shared" si="12"/>
        <v>100</v>
      </c>
      <c r="T29" s="774" t="s">
        <v>17</v>
      </c>
      <c r="U29" s="775">
        <f t="shared" si="13"/>
        <v>100</v>
      </c>
      <c r="V29" s="774" t="s">
        <v>17</v>
      </c>
      <c r="W29" s="775">
        <f t="shared" si="14"/>
        <v>100</v>
      </c>
      <c r="X29" s="1813"/>
      <c r="Y29" s="3272" t="s">
        <v>2561</v>
      </c>
      <c r="Z29" s="1814" t="str">
        <f t="shared" si="15"/>
        <v>建筑类型</v>
      </c>
      <c r="AA29" s="1811">
        <f t="shared" si="3"/>
        <v>1</v>
      </c>
      <c r="AB29" s="1811">
        <f t="shared" si="4"/>
        <v>1</v>
      </c>
      <c r="AC29" s="1811">
        <f t="shared" si="5"/>
        <v>1</v>
      </c>
    </row>
    <row r="30" spans="1:29" s="471" customFormat="1" ht="15">
      <c r="A30" s="468"/>
      <c r="B30" s="422" t="s">
        <v>2562</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272"/>
      <c r="Q30" s="776" t="str">
        <f t="shared" si="11"/>
        <v>项目建筑规模</v>
      </c>
      <c r="R30" s="777" t="s">
        <v>17</v>
      </c>
      <c r="S30" s="778" t="e">
        <f t="shared" si="12"/>
        <v>#N/A</v>
      </c>
      <c r="T30" s="777" t="s">
        <v>17</v>
      </c>
      <c r="U30" s="778" t="e">
        <f t="shared" si="13"/>
        <v>#N/A</v>
      </c>
      <c r="V30" s="777" t="s">
        <v>17</v>
      </c>
      <c r="W30" s="778" t="e">
        <f t="shared" si="14"/>
        <v>#N/A</v>
      </c>
      <c r="X30" s="779"/>
      <c r="Y30" s="3272"/>
      <c r="Z30" s="780" t="str">
        <f t="shared" si="15"/>
        <v>项目建筑规模</v>
      </c>
      <c r="AA30" s="1811" t="e">
        <f t="shared" si="3"/>
        <v>#N/A</v>
      </c>
      <c r="AB30" s="1811" t="e">
        <f t="shared" si="4"/>
        <v>#N/A</v>
      </c>
      <c r="AC30" s="1811" t="e">
        <f t="shared" si="5"/>
        <v>#N/A</v>
      </c>
    </row>
    <row r="31" spans="1:29" ht="15">
      <c r="A31" s="472"/>
      <c r="B31" s="422" t="s">
        <v>2563</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272"/>
      <c r="Q31" s="1810" t="str">
        <f t="shared" si="11"/>
        <v>建筑结构</v>
      </c>
      <c r="R31" s="774" t="s">
        <v>17</v>
      </c>
      <c r="S31" s="775">
        <f t="shared" si="12"/>
        <v>100</v>
      </c>
      <c r="T31" s="774" t="s">
        <v>17</v>
      </c>
      <c r="U31" s="775">
        <f t="shared" si="13"/>
        <v>100</v>
      </c>
      <c r="V31" s="774" t="s">
        <v>17</v>
      </c>
      <c r="W31" s="775">
        <f t="shared" si="14"/>
        <v>100</v>
      </c>
      <c r="X31" s="1813"/>
      <c r="Y31" s="3272"/>
      <c r="Z31" s="1814" t="str">
        <f t="shared" si="15"/>
        <v>建筑结构</v>
      </c>
      <c r="AA31" s="1811">
        <f t="shared" si="3"/>
        <v>1</v>
      </c>
      <c r="AB31" s="1811">
        <f t="shared" si="4"/>
        <v>1</v>
      </c>
      <c r="AC31" s="1811">
        <f t="shared" si="5"/>
        <v>1</v>
      </c>
    </row>
    <row r="32" spans="1:29" ht="15">
      <c r="A32" s="472"/>
      <c r="B32" s="422" t="s">
        <v>2657</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272"/>
      <c r="Q32" s="1810" t="str">
        <f t="shared" si="11"/>
        <v>公共部分装修</v>
      </c>
      <c r="R32" s="774" t="s">
        <v>17</v>
      </c>
      <c r="S32" s="775">
        <f t="shared" si="12"/>
        <v>100</v>
      </c>
      <c r="T32" s="774" t="s">
        <v>17</v>
      </c>
      <c r="U32" s="775">
        <f t="shared" si="13"/>
        <v>100</v>
      </c>
      <c r="V32" s="774" t="s">
        <v>17</v>
      </c>
      <c r="W32" s="775">
        <f t="shared" si="14"/>
        <v>100</v>
      </c>
      <c r="X32" s="1813"/>
      <c r="Y32" s="3272"/>
      <c r="Z32" s="1814" t="str">
        <f t="shared" si="15"/>
        <v>公共部分装修</v>
      </c>
      <c r="AA32" s="1811">
        <f t="shared" si="3"/>
        <v>1</v>
      </c>
      <c r="AB32" s="1811">
        <f t="shared" si="4"/>
        <v>1</v>
      </c>
      <c r="AC32" s="1811">
        <f t="shared" si="5"/>
        <v>1</v>
      </c>
    </row>
    <row r="33" spans="1:29" ht="15">
      <c r="A33" s="472"/>
      <c r="B33" s="422" t="s">
        <v>2658</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272"/>
      <c r="Q33" s="1810" t="str">
        <f t="shared" si="11"/>
        <v>成新度</v>
      </c>
      <c r="R33" s="774" t="s">
        <v>17</v>
      </c>
      <c r="S33" s="775" t="e">
        <f t="shared" si="12"/>
        <v>#N/A</v>
      </c>
      <c r="T33" s="774" t="s">
        <v>17</v>
      </c>
      <c r="U33" s="775" t="e">
        <f t="shared" si="13"/>
        <v>#N/A</v>
      </c>
      <c r="V33" s="774" t="s">
        <v>17</v>
      </c>
      <c r="W33" s="775" t="e">
        <f t="shared" si="14"/>
        <v>#N/A</v>
      </c>
      <c r="X33" s="1813"/>
      <c r="Y33" s="3272"/>
      <c r="Z33" s="1814" t="str">
        <f t="shared" si="15"/>
        <v>成新度</v>
      </c>
      <c r="AA33" s="1811" t="e">
        <f t="shared" si="3"/>
        <v>#N/A</v>
      </c>
      <c r="AB33" s="1811" t="e">
        <f t="shared" si="4"/>
        <v>#N/A</v>
      </c>
      <c r="AC33" s="1811" t="e">
        <f t="shared" si="5"/>
        <v>#N/A</v>
      </c>
    </row>
    <row r="34" spans="1:29" s="117" customFormat="1" ht="15">
      <c r="A34" s="473"/>
      <c r="B34" s="422" t="s">
        <v>2691</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272"/>
      <c r="Q34" s="1795" t="str">
        <f t="shared" si="11"/>
        <v>物业管理</v>
      </c>
      <c r="R34" s="770" t="s">
        <v>17</v>
      </c>
      <c r="S34" s="771">
        <f t="shared" si="12"/>
        <v>100</v>
      </c>
      <c r="T34" s="770" t="s">
        <v>17</v>
      </c>
      <c r="U34" s="771">
        <f t="shared" si="13"/>
        <v>100</v>
      </c>
      <c r="V34" s="770" t="s">
        <v>17</v>
      </c>
      <c r="W34" s="771">
        <f t="shared" si="14"/>
        <v>100</v>
      </c>
      <c r="X34" s="772"/>
      <c r="Y34" s="3272"/>
      <c r="Z34" s="55" t="str">
        <f t="shared" si="15"/>
        <v>物业管理</v>
      </c>
      <c r="AA34" s="773">
        <f t="shared" si="3"/>
        <v>1</v>
      </c>
      <c r="AB34" s="773">
        <f t="shared" si="4"/>
        <v>1</v>
      </c>
      <c r="AC34" s="773">
        <f t="shared" si="5"/>
        <v>1</v>
      </c>
    </row>
    <row r="35" spans="1:29" ht="15">
      <c r="A35" s="472"/>
      <c r="B35" s="422" t="s">
        <v>2659</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272" t="s">
        <v>2561</v>
      </c>
      <c r="Q35" s="1810" t="str">
        <f t="shared" si="11"/>
        <v>市政基础设施</v>
      </c>
      <c r="R35" s="774" t="s">
        <v>17</v>
      </c>
      <c r="S35" s="775">
        <f t="shared" si="12"/>
        <v>100</v>
      </c>
      <c r="T35" s="774" t="s">
        <v>17</v>
      </c>
      <c r="U35" s="775">
        <f t="shared" si="13"/>
        <v>100</v>
      </c>
      <c r="V35" s="774" t="s">
        <v>17</v>
      </c>
      <c r="W35" s="775">
        <f t="shared" si="14"/>
        <v>100</v>
      </c>
      <c r="X35" s="1813"/>
      <c r="Y35" s="3272" t="s">
        <v>2561</v>
      </c>
      <c r="Z35" s="1814" t="str">
        <f t="shared" si="15"/>
        <v>市政基础设施</v>
      </c>
      <c r="AA35" s="1811">
        <f t="shared" si="3"/>
        <v>1</v>
      </c>
      <c r="AB35" s="1811">
        <f t="shared" si="4"/>
        <v>1</v>
      </c>
      <c r="AC35" s="1811">
        <f t="shared" si="5"/>
        <v>1</v>
      </c>
    </row>
    <row r="36" spans="1:29" ht="15">
      <c r="A36" s="472"/>
      <c r="B36" s="422" t="s">
        <v>2664</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272"/>
      <c r="Q36" s="1810" t="str">
        <f t="shared" si="11"/>
        <v>内部装修</v>
      </c>
      <c r="R36" s="774" t="s">
        <v>17</v>
      </c>
      <c r="S36" s="775">
        <f t="shared" si="12"/>
        <v>100</v>
      </c>
      <c r="T36" s="774" t="s">
        <v>17</v>
      </c>
      <c r="U36" s="775">
        <f t="shared" si="13"/>
        <v>100</v>
      </c>
      <c r="V36" s="774" t="s">
        <v>17</v>
      </c>
      <c r="W36" s="775">
        <f t="shared" si="14"/>
        <v>100</v>
      </c>
      <c r="X36" s="1813"/>
      <c r="Y36" s="3272"/>
      <c r="Z36" s="1814" t="str">
        <f t="shared" si="15"/>
        <v>内部装修</v>
      </c>
      <c r="AA36" s="1811">
        <f t="shared" si="3"/>
        <v>1</v>
      </c>
      <c r="AB36" s="1811">
        <f t="shared" si="4"/>
        <v>1</v>
      </c>
      <c r="AC36" s="1811">
        <f t="shared" si="5"/>
        <v>1</v>
      </c>
    </row>
    <row r="37" spans="1:29" ht="15">
      <c r="A37" s="472"/>
      <c r="B37" s="422" t="s">
        <v>2700</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272"/>
      <c r="Q37" s="1810" t="str">
        <f t="shared" si="11"/>
        <v>内部装修状况</v>
      </c>
      <c r="R37" s="774" t="s">
        <v>17</v>
      </c>
      <c r="S37" s="775">
        <f t="shared" si="12"/>
        <v>100</v>
      </c>
      <c r="T37" s="774" t="s">
        <v>17</v>
      </c>
      <c r="U37" s="775">
        <f t="shared" si="13"/>
        <v>100</v>
      </c>
      <c r="V37" s="774" t="s">
        <v>17</v>
      </c>
      <c r="W37" s="775">
        <f t="shared" si="14"/>
        <v>100</v>
      </c>
      <c r="X37" s="1813"/>
      <c r="Y37" s="3272"/>
      <c r="Z37" s="1814" t="str">
        <f t="shared" si="15"/>
        <v>内部装修状况</v>
      </c>
      <c r="AA37" s="1811">
        <f t="shared" si="3"/>
        <v>1</v>
      </c>
      <c r="AB37" s="1811">
        <f t="shared" si="4"/>
        <v>1</v>
      </c>
      <c r="AC37" s="1811">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272"/>
      <c r="Q38" s="776">
        <f t="shared" si="11"/>
        <v>111</v>
      </c>
      <c r="R38" s="777" t="s">
        <v>17</v>
      </c>
      <c r="S38" s="778">
        <f t="shared" si="12"/>
        <v>100</v>
      </c>
      <c r="T38" s="777" t="s">
        <v>17</v>
      </c>
      <c r="U38" s="778">
        <f t="shared" si="13"/>
        <v>100</v>
      </c>
      <c r="V38" s="777" t="s">
        <v>17</v>
      </c>
      <c r="W38" s="778">
        <f t="shared" si="14"/>
        <v>100</v>
      </c>
      <c r="X38" s="779"/>
      <c r="Y38" s="3272"/>
      <c r="Z38" s="780">
        <f t="shared" si="15"/>
        <v>111</v>
      </c>
      <c r="AA38" s="1811">
        <f t="shared" si="3"/>
        <v>1</v>
      </c>
      <c r="AB38" s="1811">
        <f t="shared" si="4"/>
        <v>1</v>
      </c>
      <c r="AC38" s="1811">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272"/>
      <c r="Q39" s="1810">
        <f t="shared" si="11"/>
        <v>111</v>
      </c>
      <c r="R39" s="774" t="s">
        <v>17</v>
      </c>
      <c r="S39" s="775">
        <f t="shared" si="12"/>
        <v>100</v>
      </c>
      <c r="T39" s="774" t="s">
        <v>17</v>
      </c>
      <c r="U39" s="775">
        <f t="shared" si="13"/>
        <v>100</v>
      </c>
      <c r="V39" s="774" t="s">
        <v>17</v>
      </c>
      <c r="W39" s="775">
        <f t="shared" si="14"/>
        <v>100</v>
      </c>
      <c r="X39" s="1813"/>
      <c r="Y39" s="3272"/>
      <c r="Z39" s="1814">
        <f t="shared" si="15"/>
        <v>111</v>
      </c>
      <c r="AA39" s="1811">
        <f t="shared" si="3"/>
        <v>1</v>
      </c>
      <c r="AB39" s="1811">
        <f t="shared" si="4"/>
        <v>1</v>
      </c>
      <c r="AC39" s="1811">
        <f t="shared" si="5"/>
        <v>1</v>
      </c>
    </row>
    <row r="40" spans="1:29" ht="15.75" thickBot="1">
      <c r="A40" s="478"/>
      <c r="B40" s="2605">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73"/>
      <c r="Q40" s="1810">
        <f t="shared" si="11"/>
        <v>111</v>
      </c>
      <c r="R40" s="774" t="s">
        <v>17</v>
      </c>
      <c r="S40" s="775">
        <f t="shared" si="12"/>
        <v>100</v>
      </c>
      <c r="T40" s="774" t="s">
        <v>17</v>
      </c>
      <c r="U40" s="775">
        <f t="shared" si="13"/>
        <v>100</v>
      </c>
      <c r="V40" s="774" t="s">
        <v>17</v>
      </c>
      <c r="W40" s="775">
        <f t="shared" si="14"/>
        <v>100</v>
      </c>
      <c r="X40" s="1813"/>
      <c r="Y40" s="3273"/>
      <c r="Z40" s="1814">
        <f t="shared" si="15"/>
        <v>111</v>
      </c>
      <c r="AA40" s="1811">
        <f t="shared" si="3"/>
        <v>1</v>
      </c>
      <c r="AB40" s="1811">
        <f t="shared" si="4"/>
        <v>1</v>
      </c>
      <c r="AC40" s="1811">
        <f t="shared" si="5"/>
        <v>1</v>
      </c>
    </row>
    <row r="41" spans="1:29" ht="15">
      <c r="A41" s="479" t="s">
        <v>2573</v>
      </c>
      <c r="B41" s="480"/>
      <c r="C41" s="1407" t="s">
        <v>1</v>
      </c>
      <c r="D41" s="1408"/>
      <c r="E41" s="1409"/>
      <c r="F41" s="1410"/>
      <c r="G41" s="1411"/>
      <c r="H41" s="1412"/>
      <c r="I41" s="1409"/>
      <c r="J41" s="1412"/>
      <c r="K41" s="783"/>
      <c r="L41" s="1143"/>
      <c r="M41" s="1144"/>
      <c r="N41" s="1131"/>
      <c r="O41" s="1144"/>
      <c r="P41" s="3265" t="str">
        <f>A41</f>
        <v>成交单价（元/平方米）</v>
      </c>
      <c r="Q41" s="3265"/>
      <c r="R41" s="3266">
        <f>E41</f>
        <v>0</v>
      </c>
      <c r="S41" s="3266"/>
      <c r="T41" s="3266">
        <f>G41</f>
        <v>0</v>
      </c>
      <c r="U41" s="3266"/>
      <c r="V41" s="3266">
        <f>I41</f>
        <v>0</v>
      </c>
      <c r="W41" s="3266"/>
      <c r="X41" s="759"/>
      <c r="Y41" s="781"/>
      <c r="Z41" s="759"/>
      <c r="AA41" s="759"/>
      <c r="AB41" s="759"/>
      <c r="AC41" s="759"/>
    </row>
    <row r="42" spans="1:29" ht="15.75" thickBot="1">
      <c r="A42" s="486" t="s">
        <v>2665</v>
      </c>
      <c r="B42" s="487"/>
      <c r="C42" s="1413" t="e">
        <f>R43</f>
        <v>#DIV/0!</v>
      </c>
      <c r="D42" s="1414"/>
      <c r="E42" s="1415" t="e">
        <f>R42</f>
        <v>#DIV/0!</v>
      </c>
      <c r="F42" s="1415"/>
      <c r="G42" s="1413" t="e">
        <f>T42</f>
        <v>#DIV/0!</v>
      </c>
      <c r="H42" s="1414"/>
      <c r="I42" s="1415" t="e">
        <f>V42</f>
        <v>#DIV/0!</v>
      </c>
      <c r="J42" s="1414"/>
      <c r="K42" s="784"/>
      <c r="L42" s="1143"/>
      <c r="M42" s="1144"/>
      <c r="N42" s="1131"/>
      <c r="O42" s="1144"/>
      <c r="P42" s="3265" t="str">
        <f>A42</f>
        <v>比较价值（元/平方米）</v>
      </c>
      <c r="Q42" s="3265"/>
      <c r="R42" s="3266" t="e">
        <f>IF(F1="售价",ROUND(PRODUCT(R41,AA7:AA40),0),ROUND(PRODUCT(R41,AA7:AA40),1))</f>
        <v>#DIV/0!</v>
      </c>
      <c r="S42" s="3266"/>
      <c r="T42" s="3266" t="e">
        <f>IF(F1="售价",ROUND(PRODUCT(T41,AB7:AB40),0),ROUND(PRODUCT(T41,AB7:AB40),1))</f>
        <v>#DIV/0!</v>
      </c>
      <c r="U42" s="3266"/>
      <c r="V42" s="3266" t="e">
        <f>IF(F1="售价",ROUND(PRODUCT(V41,AC7:AC40),0),ROUND(PRODUCT(V41,AC7:AC40),1))</f>
        <v>#DIV/0!</v>
      </c>
      <c r="W42" s="3266"/>
      <c r="X42" s="759"/>
      <c r="Y42" s="759"/>
      <c r="Z42" s="759"/>
      <c r="AA42" s="759"/>
      <c r="AB42" s="759"/>
      <c r="AC42" s="759"/>
    </row>
    <row r="43" spans="1:29" ht="15.75" thickBot="1">
      <c r="A43" s="492" t="s">
        <v>2666</v>
      </c>
      <c r="B43" s="493"/>
      <c r="C43" s="1417" t="e">
        <f>R43</f>
        <v>#DIV/0!</v>
      </c>
      <c r="D43" s="1417"/>
      <c r="E43" s="1417"/>
      <c r="F43" s="1417"/>
      <c r="G43" s="1417"/>
      <c r="H43" s="1417"/>
      <c r="I43" s="1417"/>
      <c r="J43" s="1417"/>
      <c r="K43" s="785"/>
      <c r="L43" s="1143"/>
      <c r="M43" s="1144"/>
      <c r="N43" s="1144"/>
      <c r="O43" s="1144"/>
      <c r="P43" s="3262" t="str">
        <f>A43</f>
        <v>估价对象XX用房的比较价值（楼面单价，元/平方米）</v>
      </c>
      <c r="Q43" s="3263"/>
      <c r="R43" s="3264" t="e">
        <f>IF(F1="售价",ROUND(AVERAGE(R42:V42),0),ROUND(AVERAGE(R42:V42),1))</f>
        <v>#DIV/0!</v>
      </c>
      <c r="S43" s="3264"/>
      <c r="T43" s="3264"/>
      <c r="U43" s="3264"/>
      <c r="V43" s="3264"/>
      <c r="W43" s="3264"/>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2667</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2668</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2669</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2670</v>
      </c>
      <c r="B51" s="759"/>
      <c r="C51" s="764"/>
      <c r="D51" s="764"/>
      <c r="E51" s="764"/>
      <c r="F51" s="765"/>
      <c r="G51" s="765"/>
      <c r="H51" s="764"/>
      <c r="I51" s="764"/>
      <c r="J51" s="764"/>
      <c r="K51" s="1160"/>
      <c r="L51" s="1161"/>
      <c r="M51" s="1159"/>
      <c r="N51" s="1159"/>
      <c r="O51" s="1159"/>
      <c r="P51" s="503"/>
      <c r="Q51" s="504"/>
    </row>
    <row r="52" spans="1:17" s="508" customFormat="1" ht="15">
      <c r="A52" s="505" t="s">
        <v>2544</v>
      </c>
      <c r="B52" s="506"/>
      <c r="C52" s="1574" t="str">
        <f>YEAR(C7)&amp;"-"&amp;MONTH(C7)</f>
        <v>2019-5</v>
      </c>
      <c r="D52" s="1575">
        <f>EDATE(C52,-1)</f>
        <v>43556</v>
      </c>
      <c r="E52" s="1575">
        <f t="shared" ref="E52:O52" si="16">EDATE(D52,-1)</f>
        <v>43525</v>
      </c>
      <c r="F52" s="1575">
        <f t="shared" si="16"/>
        <v>43497</v>
      </c>
      <c r="G52" s="1575">
        <f t="shared" si="16"/>
        <v>43466</v>
      </c>
      <c r="H52" s="1575">
        <f t="shared" si="16"/>
        <v>43435</v>
      </c>
      <c r="I52" s="1575">
        <f t="shared" si="16"/>
        <v>43405</v>
      </c>
      <c r="J52" s="1575">
        <f t="shared" si="16"/>
        <v>43374</v>
      </c>
      <c r="K52" s="1575">
        <f t="shared" si="16"/>
        <v>43344</v>
      </c>
      <c r="L52" s="1575">
        <f t="shared" si="16"/>
        <v>43313</v>
      </c>
      <c r="M52" s="1575">
        <f t="shared" si="16"/>
        <v>43282</v>
      </c>
      <c r="N52" s="1575">
        <f t="shared" si="16"/>
        <v>43252</v>
      </c>
      <c r="O52" s="1575">
        <f t="shared" si="16"/>
        <v>43221</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2581</v>
      </c>
      <c r="B54" s="516"/>
      <c r="C54" s="517"/>
      <c r="D54" s="518"/>
      <c r="E54" s="518"/>
      <c r="F54" s="518"/>
      <c r="G54" s="518"/>
      <c r="H54" s="518"/>
      <c r="I54" s="518"/>
      <c r="J54" s="518"/>
      <c r="K54" s="518"/>
      <c r="L54" s="518"/>
      <c r="M54" s="519"/>
      <c r="N54" s="518"/>
      <c r="O54" s="520"/>
      <c r="P54" s="504"/>
      <c r="Q54" s="504"/>
    </row>
    <row r="55" spans="1:17" s="117" customFormat="1" ht="15">
      <c r="A55" s="521" t="s">
        <v>2546</v>
      </c>
      <c r="B55" s="510"/>
      <c r="C55" s="522" t="s">
        <v>2648</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2584</v>
      </c>
      <c r="B57" s="528" t="s">
        <v>2550</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2553</v>
      </c>
      <c r="C59" s="539" t="s">
        <v>2585</v>
      </c>
      <c r="D59" s="539" t="s">
        <v>2586</v>
      </c>
      <c r="E59" s="539" t="s">
        <v>2587</v>
      </c>
      <c r="F59" s="539" t="s">
        <v>2588</v>
      </c>
      <c r="G59" s="539" t="s">
        <v>2589</v>
      </c>
      <c r="H59" s="539" t="s">
        <v>2590</v>
      </c>
      <c r="I59" s="539" t="s">
        <v>2591</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2554</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2555</v>
      </c>
      <c r="B70" s="528" t="s">
        <v>2701</v>
      </c>
      <c r="C70" s="573" t="s">
        <v>2593</v>
      </c>
      <c r="D70" s="573" t="s">
        <v>2594</v>
      </c>
      <c r="E70" s="573" t="s">
        <v>2595</v>
      </c>
      <c r="F70" s="573" t="s">
        <v>2596</v>
      </c>
      <c r="G70" s="573" t="s">
        <v>2597</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2598</v>
      </c>
      <c r="C72" s="578" t="s">
        <v>2593</v>
      </c>
      <c r="D72" s="578" t="s">
        <v>2594</v>
      </c>
      <c r="E72" s="578" t="s">
        <v>2595</v>
      </c>
      <c r="F72" s="578" t="s">
        <v>2596</v>
      </c>
      <c r="G72" s="578" t="s">
        <v>2597</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2599</v>
      </c>
      <c r="C74" s="578" t="s">
        <v>2593</v>
      </c>
      <c r="D74" s="578" t="s">
        <v>2594</v>
      </c>
      <c r="E74" s="578" t="s">
        <v>2595</v>
      </c>
      <c r="F74" s="578" t="s">
        <v>2596</v>
      </c>
      <c r="G74" s="578" t="s">
        <v>2597</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2685</v>
      </c>
      <c r="C76" s="660" t="s">
        <v>2671</v>
      </c>
      <c r="D76" s="660" t="s">
        <v>2672</v>
      </c>
      <c r="E76" s="660" t="s">
        <v>2673</v>
      </c>
      <c r="F76" s="660" t="s">
        <v>2674</v>
      </c>
      <c r="G76" s="660" t="s">
        <v>2675</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2694</v>
      </c>
      <c r="C78" s="578" t="s">
        <v>2593</v>
      </c>
      <c r="D78" s="578" t="s">
        <v>2594</v>
      </c>
      <c r="E78" s="578" t="s">
        <v>2595</v>
      </c>
      <c r="F78" s="578" t="s">
        <v>2596</v>
      </c>
      <c r="G78" s="578" t="s">
        <v>2597</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9"/>
      <c r="B87" s="569"/>
      <c r="C87" s="570"/>
      <c r="D87" s="570"/>
      <c r="E87" s="570"/>
      <c r="F87" s="570"/>
      <c r="G87" s="591"/>
      <c r="H87" s="591"/>
      <c r="I87" s="591"/>
      <c r="J87" s="591"/>
      <c r="K87" s="591"/>
      <c r="L87" s="591"/>
      <c r="M87" s="592"/>
      <c r="N87" s="1153"/>
      <c r="O87" s="1153"/>
      <c r="P87" s="45"/>
      <c r="Q87" s="504"/>
    </row>
    <row r="88" spans="1:17">
      <c r="A88" s="527" t="s">
        <v>2559</v>
      </c>
      <c r="B88" s="528" t="s">
        <v>2608</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2609</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2610</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2612</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1993</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2613</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2614</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2616</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2702</v>
      </c>
      <c r="C106" s="578" t="s">
        <v>2593</v>
      </c>
      <c r="D106" s="578" t="s">
        <v>2594</v>
      </c>
      <c r="E106" s="578" t="s">
        <v>2595</v>
      </c>
      <c r="F106" s="578" t="s">
        <v>2596</v>
      </c>
      <c r="G106" s="578" t="s">
        <v>2597</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9"/>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4" type="noConversion"/>
  <conditionalFormatting sqref="F46 H46">
    <cfRule type="containsText" dxfId="71" priority="16" stopIfTrue="1" operator="containsText" text="超过">
      <formula>NOT(ISERROR(SEARCH("超过",F46)))</formula>
    </cfRule>
  </conditionalFormatting>
  <conditionalFormatting sqref="H48">
    <cfRule type="containsText" dxfId="70" priority="15" stopIfTrue="1" operator="containsText" text="超过">
      <formula>NOT(ISERROR(SEARCH("超过",H48)))</formula>
    </cfRule>
  </conditionalFormatting>
  <conditionalFormatting sqref="F48">
    <cfRule type="containsText" dxfId="69" priority="14" stopIfTrue="1" operator="containsText" text="超过">
      <formula>NOT(ISERROR(SEARCH("超过",F48)))</formula>
    </cfRule>
  </conditionalFormatting>
  <conditionalFormatting sqref="F47 H47">
    <cfRule type="containsText" dxfId="68" priority="13" stopIfTrue="1" operator="containsText" text="超过">
      <formula>NOT(ISERROR(SEARCH("超过",F47)))</formula>
    </cfRule>
  </conditionalFormatting>
  <conditionalFormatting sqref="E46">
    <cfRule type="expression" dxfId="67" priority="12" stopIfTrue="1">
      <formula>$F$46="超过30%"</formula>
    </cfRule>
  </conditionalFormatting>
  <conditionalFormatting sqref="E47">
    <cfRule type="expression" dxfId="66" priority="11" stopIfTrue="1">
      <formula>$F$47="超过20%"</formula>
    </cfRule>
  </conditionalFormatting>
  <conditionalFormatting sqref="E48">
    <cfRule type="expression" dxfId="65" priority="10" stopIfTrue="1">
      <formula>$F$48="超过30%"</formula>
    </cfRule>
  </conditionalFormatting>
  <conditionalFormatting sqref="G48">
    <cfRule type="expression" dxfId="64" priority="9" stopIfTrue="1">
      <formula>$H$48="超过30%"</formula>
    </cfRule>
  </conditionalFormatting>
  <conditionalFormatting sqref="G46">
    <cfRule type="expression" dxfId="63" priority="8" stopIfTrue="1">
      <formula>$H$46="超过30%"</formula>
    </cfRule>
  </conditionalFormatting>
  <conditionalFormatting sqref="G47">
    <cfRule type="expression" dxfId="62" priority="7" stopIfTrue="1">
      <formula>$H$47="超过20%"</formula>
    </cfRule>
  </conditionalFormatting>
  <conditionalFormatting sqref="J46">
    <cfRule type="containsText" dxfId="61" priority="6" stopIfTrue="1" operator="containsText" text="超过">
      <formula>NOT(ISERROR(SEARCH("超过",J46)))</formula>
    </cfRule>
  </conditionalFormatting>
  <conditionalFormatting sqref="J48">
    <cfRule type="containsText" dxfId="60" priority="5" stopIfTrue="1" operator="containsText" text="超过">
      <formula>NOT(ISERROR(SEARCH("超过",J48)))</formula>
    </cfRule>
  </conditionalFormatting>
  <conditionalFormatting sqref="J47">
    <cfRule type="containsText" dxfId="59" priority="4" stopIfTrue="1" operator="containsText" text="超过">
      <formula>NOT(ISERROR(SEARCH("超过",J47)))</formula>
    </cfRule>
  </conditionalFormatting>
  <conditionalFormatting sqref="I46">
    <cfRule type="expression" dxfId="58" priority="3" stopIfTrue="1">
      <formula>$J$46="超过30%"</formula>
    </cfRule>
  </conditionalFormatting>
  <conditionalFormatting sqref="I47">
    <cfRule type="expression" dxfId="57" priority="2" stopIfTrue="1">
      <formula>$J$47="超过20%"</formula>
    </cfRule>
  </conditionalFormatting>
  <conditionalFormatting sqref="I48">
    <cfRule type="expression" dxfId="5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J33" sqref="J3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2703</v>
      </c>
      <c r="B1" s="1619"/>
      <c r="C1" s="1620" t="s">
        <v>2526</v>
      </c>
      <c r="D1" s="1621"/>
      <c r="E1" s="1622"/>
      <c r="F1" s="2587"/>
      <c r="G1" s="1623" t="s">
        <v>2639</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2323</v>
      </c>
      <c r="B2" s="1418" t="e">
        <f ca="1">IF(C2="——",IF(B37="元/平方米",ROUND(C39*D3/10000,0),ROUND(F3*C39/10000,0)),IF(B37="元/平方米",ROUND(C39*D3/10000,0),ROUND(F3*C39/10000,0))-D2)</f>
        <v>#DIV/0!</v>
      </c>
      <c r="C2" s="2589"/>
      <c r="D2" s="1124" t="e">
        <f ca="1">SUMIF(INDIRECT("'"&amp;F2&amp;"'"&amp;"!A:A"),"承租人权益价值",INDIRECT("'"&amp;F2&amp;"'"&amp;"!c:c"))</f>
        <v>#REF!</v>
      </c>
      <c r="E2" s="2590" t="s">
        <v>2324</v>
      </c>
      <c r="F2" s="2591"/>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2325</v>
      </c>
      <c r="B3" s="609" t="e">
        <f ca="1">IF(AND(C2="——",B37="元/平方米"),C39,ROUND(B2*10000/D3,0))</f>
        <v>#DIV/0!</v>
      </c>
      <c r="C3" s="400" t="s">
        <v>2640</v>
      </c>
      <c r="D3" s="399">
        <f>SUMIF('数据-汇总表'!$C19:$C33,D1,'数据-汇总表'!$E19:$E33)</f>
        <v>0</v>
      </c>
      <c r="E3" s="400" t="s">
        <v>2704</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2641</v>
      </c>
      <c r="B4" s="402"/>
      <c r="C4" s="3280" t="s">
        <v>2642</v>
      </c>
      <c r="D4" s="3281"/>
      <c r="E4" s="3282" t="s">
        <v>2643</v>
      </c>
      <c r="F4" s="3283"/>
      <c r="G4" s="3280" t="s">
        <v>2644</v>
      </c>
      <c r="H4" s="3281"/>
      <c r="I4" s="3280" t="s">
        <v>2645</v>
      </c>
      <c r="J4" s="3281"/>
      <c r="K4" s="610" t="s">
        <v>2646</v>
      </c>
      <c r="L4" s="1130"/>
      <c r="M4" s="1131"/>
      <c r="N4" s="1131"/>
      <c r="O4" s="1131"/>
      <c r="P4" s="3284" t="s">
        <v>2647</v>
      </c>
      <c r="Q4" s="3285"/>
      <c r="R4" s="3290" t="s">
        <v>2643</v>
      </c>
      <c r="S4" s="3291"/>
      <c r="T4" s="3290" t="s">
        <v>2644</v>
      </c>
      <c r="U4" s="3291"/>
      <c r="V4" s="3296" t="s">
        <v>2645</v>
      </c>
      <c r="W4" s="3296"/>
      <c r="X4" s="1813"/>
      <c r="Y4" s="3290" t="s">
        <v>2647</v>
      </c>
      <c r="Z4" s="3291"/>
      <c r="AA4" s="3277" t="s">
        <v>2643</v>
      </c>
      <c r="AB4" s="3278" t="s">
        <v>2644</v>
      </c>
      <c r="AC4" s="3277" t="s">
        <v>2645</v>
      </c>
    </row>
    <row r="5" spans="1:29" ht="15">
      <c r="A5" s="404"/>
      <c r="B5" s="405"/>
      <c r="C5" s="3299" t="s">
        <v>2538</v>
      </c>
      <c r="D5" s="3300"/>
      <c r="E5" s="3306" t="s">
        <v>2539</v>
      </c>
      <c r="F5" s="3307"/>
      <c r="G5" s="3299" t="s">
        <v>2540</v>
      </c>
      <c r="H5" s="3300"/>
      <c r="I5" s="3299" t="s">
        <v>2541</v>
      </c>
      <c r="J5" s="3300"/>
      <c r="K5" s="610"/>
      <c r="L5" s="1130"/>
      <c r="M5" s="1131"/>
      <c r="N5" s="1131"/>
      <c r="O5" s="1131"/>
      <c r="P5" s="3286"/>
      <c r="Q5" s="3287"/>
      <c r="R5" s="3292"/>
      <c r="S5" s="3293"/>
      <c r="T5" s="3292"/>
      <c r="U5" s="3293"/>
      <c r="V5" s="3296"/>
      <c r="W5" s="3296"/>
      <c r="X5" s="1813"/>
      <c r="Y5" s="3292"/>
      <c r="Z5" s="3293"/>
      <c r="AA5" s="3278"/>
      <c r="AB5" s="3278"/>
      <c r="AC5" s="3278"/>
    </row>
    <row r="6" spans="1:29" ht="15.75" thickBot="1">
      <c r="A6" s="406"/>
      <c r="B6" s="407"/>
      <c r="C6" s="3297" t="s">
        <v>2542</v>
      </c>
      <c r="D6" s="3298"/>
      <c r="E6" s="3304" t="s">
        <v>2542</v>
      </c>
      <c r="F6" s="3305"/>
      <c r="G6" s="3297" t="s">
        <v>2542</v>
      </c>
      <c r="H6" s="3298"/>
      <c r="I6" s="3297" t="s">
        <v>2542</v>
      </c>
      <c r="J6" s="3298"/>
      <c r="K6" s="610" t="s">
        <v>2543</v>
      </c>
      <c r="L6" s="1130"/>
      <c r="M6" s="1131"/>
      <c r="N6" s="1131"/>
      <c r="O6" s="1131"/>
      <c r="P6" s="3288"/>
      <c r="Q6" s="3289"/>
      <c r="R6" s="3292"/>
      <c r="S6" s="3293"/>
      <c r="T6" s="3294"/>
      <c r="U6" s="3295"/>
      <c r="V6" s="3296"/>
      <c r="W6" s="3296"/>
      <c r="X6" s="1813"/>
      <c r="Y6" s="3294"/>
      <c r="Z6" s="3295"/>
      <c r="AA6" s="3279"/>
      <c r="AB6" s="3279"/>
      <c r="AC6" s="3279"/>
    </row>
    <row r="7" spans="1:29" s="117" customFormat="1" ht="15.75" thickBot="1">
      <c r="A7" s="408" t="s">
        <v>2544</v>
      </c>
      <c r="B7" s="409"/>
      <c r="C7" s="410">
        <f>'数据-取费表'!B2</f>
        <v>43592</v>
      </c>
      <c r="D7" s="411">
        <v>100</v>
      </c>
      <c r="E7" s="412"/>
      <c r="F7" s="413">
        <f>SUMIF(48:48,YEAR(E7)&amp;"-"&amp;MONTH(E7),49:49)</f>
        <v>0</v>
      </c>
      <c r="G7" s="412"/>
      <c r="H7" s="411">
        <f>SUMIF(48:48,YEAR(G7)&amp;"-"&amp;MONTH(G7),49:49)</f>
        <v>0</v>
      </c>
      <c r="I7" s="412"/>
      <c r="J7" s="411">
        <f>SUMIF(48:48,YEAR(I7)&amp;"-"&amp;MONTH(I7),49:49)</f>
        <v>0</v>
      </c>
      <c r="K7" s="611"/>
      <c r="L7" s="1132"/>
      <c r="M7" s="1133"/>
      <c r="N7" s="1133"/>
      <c r="O7" s="1133"/>
      <c r="P7" s="3301" t="s">
        <v>2545</v>
      </c>
      <c r="Q7" s="3303"/>
      <c r="R7" s="770" t="s">
        <v>17</v>
      </c>
      <c r="S7" s="771">
        <f t="shared" ref="S7:S14" si="0">F7</f>
        <v>0</v>
      </c>
      <c r="T7" s="770" t="s">
        <v>17</v>
      </c>
      <c r="U7" s="771">
        <f t="shared" ref="U7:U14" si="1">H7</f>
        <v>0</v>
      </c>
      <c r="V7" s="770" t="s">
        <v>17</v>
      </c>
      <c r="W7" s="771">
        <f t="shared" ref="W7:W14" si="2">J7</f>
        <v>0</v>
      </c>
      <c r="X7" s="772"/>
      <c r="Y7" s="3301" t="s">
        <v>2545</v>
      </c>
      <c r="Z7" s="3302"/>
      <c r="AA7" s="773" t="e">
        <f>D7/F7</f>
        <v>#DIV/0!</v>
      </c>
      <c r="AB7" s="773" t="e">
        <f>D7/H7</f>
        <v>#DIV/0!</v>
      </c>
      <c r="AC7" s="773" t="e">
        <f>D7/J7</f>
        <v>#DIV/0!</v>
      </c>
    </row>
    <row r="8" spans="1:29" s="117" customFormat="1" ht="15.75" thickBot="1">
      <c r="A8" s="408" t="s">
        <v>2546</v>
      </c>
      <c r="B8" s="409"/>
      <c r="C8" s="414" t="s">
        <v>2648</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301" t="s">
        <v>2548</v>
      </c>
      <c r="Q8" s="3302"/>
      <c r="R8" s="770" t="s">
        <v>17</v>
      </c>
      <c r="S8" s="771">
        <f t="shared" si="0"/>
        <v>0</v>
      </c>
      <c r="T8" s="770" t="s">
        <v>17</v>
      </c>
      <c r="U8" s="771">
        <f t="shared" si="1"/>
        <v>0</v>
      </c>
      <c r="V8" s="770" t="s">
        <v>17</v>
      </c>
      <c r="W8" s="771">
        <f t="shared" si="2"/>
        <v>0</v>
      </c>
      <c r="X8" s="772"/>
      <c r="Y8" s="3301" t="s">
        <v>2548</v>
      </c>
      <c r="Z8" s="3302"/>
      <c r="AA8" s="773" t="e">
        <f t="shared" ref="AA8:AA36" si="3">D8/F8</f>
        <v>#DIV/0!</v>
      </c>
      <c r="AB8" s="773" t="e">
        <f t="shared" ref="AB8:AB36" si="4">D8/H8</f>
        <v>#DIV/0!</v>
      </c>
      <c r="AC8" s="773" t="e">
        <f t="shared" ref="AC8:AC36" si="5">D8/J8</f>
        <v>#DIV/0!</v>
      </c>
    </row>
    <row r="9" spans="1:29" s="117" customFormat="1">
      <c r="A9" s="68" t="s">
        <v>2549</v>
      </c>
      <c r="B9" s="640" t="s">
        <v>2550</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265" t="s">
        <v>2551</v>
      </c>
      <c r="Q9" s="1795" t="str">
        <f t="shared" ref="Q9:Q14" si="6">B9</f>
        <v>用途</v>
      </c>
      <c r="R9" s="770" t="s">
        <v>17</v>
      </c>
      <c r="S9" s="771">
        <f t="shared" si="0"/>
        <v>100</v>
      </c>
      <c r="T9" s="770" t="s">
        <v>17</v>
      </c>
      <c r="U9" s="771">
        <f t="shared" si="1"/>
        <v>100</v>
      </c>
      <c r="V9" s="770" t="s">
        <v>17</v>
      </c>
      <c r="W9" s="771">
        <f t="shared" si="2"/>
        <v>100</v>
      </c>
      <c r="X9" s="772"/>
      <c r="Y9" s="3042" t="s">
        <v>2552</v>
      </c>
      <c r="Z9" s="55" t="str">
        <f t="shared" ref="Z9:Z14" si="7">Q9</f>
        <v>用途</v>
      </c>
      <c r="AA9" s="773">
        <f t="shared" si="3"/>
        <v>1</v>
      </c>
      <c r="AB9" s="773">
        <f t="shared" si="4"/>
        <v>1</v>
      </c>
      <c r="AC9" s="773">
        <f t="shared" si="5"/>
        <v>1</v>
      </c>
    </row>
    <row r="10" spans="1:29" s="427" customFormat="1" ht="27">
      <c r="A10" s="641"/>
      <c r="B10" s="642" t="s">
        <v>2553</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265"/>
      <c r="Q10" s="1795" t="str">
        <f t="shared" si="6"/>
        <v>土地使用年限（年）</v>
      </c>
      <c r="R10" s="770" t="s">
        <v>17</v>
      </c>
      <c r="S10" s="771">
        <f t="shared" si="0"/>
        <v>100</v>
      </c>
      <c r="T10" s="770" t="s">
        <v>17</v>
      </c>
      <c r="U10" s="771">
        <f t="shared" si="1"/>
        <v>100</v>
      </c>
      <c r="V10" s="770" t="s">
        <v>17</v>
      </c>
      <c r="W10" s="771">
        <f t="shared" si="2"/>
        <v>100</v>
      </c>
      <c r="X10" s="772"/>
      <c r="Y10" s="3042"/>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265"/>
      <c r="Q11" s="1795">
        <f t="shared" si="6"/>
        <v>111</v>
      </c>
      <c r="R11" s="770" t="s">
        <v>17</v>
      </c>
      <c r="S11" s="771">
        <f t="shared" si="0"/>
        <v>100</v>
      </c>
      <c r="T11" s="770" t="s">
        <v>17</v>
      </c>
      <c r="U11" s="771">
        <f t="shared" si="1"/>
        <v>100</v>
      </c>
      <c r="V11" s="770" t="s">
        <v>17</v>
      </c>
      <c r="W11" s="771">
        <f t="shared" si="2"/>
        <v>100</v>
      </c>
      <c r="X11" s="772"/>
      <c r="Y11" s="3042"/>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265"/>
      <c r="Q12" s="1795">
        <f t="shared" si="6"/>
        <v>111</v>
      </c>
      <c r="R12" s="770" t="s">
        <v>17</v>
      </c>
      <c r="S12" s="771">
        <f t="shared" si="0"/>
        <v>100</v>
      </c>
      <c r="T12" s="770" t="s">
        <v>17</v>
      </c>
      <c r="U12" s="771">
        <f t="shared" si="1"/>
        <v>100</v>
      </c>
      <c r="V12" s="770" t="s">
        <v>17</v>
      </c>
      <c r="W12" s="771">
        <f t="shared" si="2"/>
        <v>100</v>
      </c>
      <c r="X12" s="772"/>
      <c r="Y12" s="3042"/>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265"/>
      <c r="Q13" s="1795">
        <f t="shared" si="6"/>
        <v>111</v>
      </c>
      <c r="R13" s="770" t="s">
        <v>17</v>
      </c>
      <c r="S13" s="771">
        <f t="shared" si="0"/>
        <v>100</v>
      </c>
      <c r="T13" s="770" t="s">
        <v>17</v>
      </c>
      <c r="U13" s="771">
        <f t="shared" si="1"/>
        <v>100</v>
      </c>
      <c r="V13" s="770" t="s">
        <v>17</v>
      </c>
      <c r="W13" s="771">
        <f t="shared" si="2"/>
        <v>100</v>
      </c>
      <c r="X13" s="772"/>
      <c r="Y13" s="3042"/>
      <c r="Z13" s="55">
        <f t="shared" si="7"/>
        <v>111</v>
      </c>
      <c r="AA13" s="773">
        <f t="shared" si="3"/>
        <v>1</v>
      </c>
      <c r="AB13" s="773">
        <f t="shared" si="4"/>
        <v>1</v>
      </c>
      <c r="AC13" s="773">
        <f t="shared" si="5"/>
        <v>1</v>
      </c>
    </row>
    <row r="14" spans="1:29" ht="85.5">
      <c r="A14" s="401" t="s">
        <v>2555</v>
      </c>
      <c r="B14" s="629" t="s">
        <v>2705</v>
      </c>
      <c r="C14" s="2696"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267" t="s">
        <v>2556</v>
      </c>
      <c r="Q14" s="1810" t="str">
        <f t="shared" si="6"/>
        <v>交通便捷度</v>
      </c>
      <c r="R14" s="774" t="s">
        <v>17</v>
      </c>
      <c r="S14" s="775">
        <f t="shared" si="0"/>
        <v>100</v>
      </c>
      <c r="T14" s="774" t="s">
        <v>17</v>
      </c>
      <c r="U14" s="775">
        <f t="shared" si="1"/>
        <v>100</v>
      </c>
      <c r="V14" s="774" t="s">
        <v>17</v>
      </c>
      <c r="W14" s="775">
        <f t="shared" si="2"/>
        <v>100</v>
      </c>
      <c r="X14" s="1813"/>
      <c r="Y14" s="3267" t="s">
        <v>2556</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0"/>
      <c r="M15" s="1131"/>
      <c r="N15" s="1131"/>
      <c r="O15" s="1131"/>
      <c r="P15" s="3268"/>
      <c r="Q15" s="1810"/>
      <c r="R15" s="774"/>
      <c r="S15" s="775"/>
      <c r="T15" s="774"/>
      <c r="U15" s="775"/>
      <c r="V15" s="774"/>
      <c r="W15" s="775"/>
      <c r="X15" s="1813"/>
      <c r="Y15" s="3268"/>
      <c r="Z15" s="1814"/>
      <c r="AA15" s="1811">
        <v>1</v>
      </c>
      <c r="AB15" s="1811">
        <v>1</v>
      </c>
      <c r="AC15" s="1811">
        <v>1</v>
      </c>
    </row>
    <row r="16" spans="1:29" ht="42.75">
      <c r="A16" s="404"/>
      <c r="B16" s="631" t="s">
        <v>2684</v>
      </c>
      <c r="C16" s="2610"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268"/>
      <c r="Q16" s="1810" t="str">
        <f>B16</f>
        <v>公共配套设施</v>
      </c>
      <c r="R16" s="774" t="s">
        <v>17</v>
      </c>
      <c r="S16" s="775">
        <f>F16</f>
        <v>100</v>
      </c>
      <c r="T16" s="774" t="s">
        <v>17</v>
      </c>
      <c r="U16" s="775">
        <f>H16</f>
        <v>100</v>
      </c>
      <c r="V16" s="774" t="s">
        <v>17</v>
      </c>
      <c r="W16" s="775">
        <f>J16</f>
        <v>100</v>
      </c>
      <c r="X16" s="1813"/>
      <c r="Y16" s="3268"/>
      <c r="Z16" s="1814" t="str">
        <f>Q16</f>
        <v>公共配套设施</v>
      </c>
      <c r="AA16" s="1811">
        <f t="shared" si="3"/>
        <v>1</v>
      </c>
      <c r="AB16" s="1811">
        <f t="shared" si="4"/>
        <v>1</v>
      </c>
      <c r="AC16" s="1811">
        <f t="shared" si="5"/>
        <v>1</v>
      </c>
    </row>
    <row r="17" spans="1:29" ht="15">
      <c r="A17" s="404"/>
      <c r="B17" s="632"/>
      <c r="C17" s="2611"/>
      <c r="D17" s="448"/>
      <c r="E17" s="447"/>
      <c r="F17" s="449"/>
      <c r="G17" s="447"/>
      <c r="H17" s="448"/>
      <c r="I17" s="447"/>
      <c r="J17" s="448"/>
      <c r="K17" s="615"/>
      <c r="L17" s="1140"/>
      <c r="M17" s="1131"/>
      <c r="N17" s="1131"/>
      <c r="O17" s="1131"/>
      <c r="P17" s="3268"/>
      <c r="Q17" s="1810"/>
      <c r="R17" s="774"/>
      <c r="S17" s="775"/>
      <c r="T17" s="774"/>
      <c r="U17" s="775"/>
      <c r="V17" s="774"/>
      <c r="W17" s="775"/>
      <c r="X17" s="1813"/>
      <c r="Y17" s="3268"/>
      <c r="Z17" s="1814"/>
      <c r="AA17" s="1811">
        <v>1</v>
      </c>
      <c r="AB17" s="1811">
        <v>1</v>
      </c>
      <c r="AC17" s="1811">
        <v>1</v>
      </c>
    </row>
    <row r="18" spans="1:29" ht="28.5">
      <c r="A18" s="404"/>
      <c r="B18" s="633" t="s">
        <v>2685</v>
      </c>
      <c r="C18" s="2610"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268"/>
      <c r="Q18" s="1810" t="str">
        <f>B18</f>
        <v>基础设施水平</v>
      </c>
      <c r="R18" s="774" t="s">
        <v>17</v>
      </c>
      <c r="S18" s="775">
        <f>F18</f>
        <v>100</v>
      </c>
      <c r="T18" s="774" t="s">
        <v>17</v>
      </c>
      <c r="U18" s="775">
        <f>H18</f>
        <v>100</v>
      </c>
      <c r="V18" s="774" t="s">
        <v>17</v>
      </c>
      <c r="W18" s="775">
        <f>J18</f>
        <v>100</v>
      </c>
      <c r="X18" s="1813"/>
      <c r="Y18" s="3268"/>
      <c r="Z18" s="1814" t="str">
        <f>Q18</f>
        <v>基础设施水平</v>
      </c>
      <c r="AA18" s="1811">
        <f t="shared" ref="AA18" si="8">D18/F18</f>
        <v>1</v>
      </c>
      <c r="AB18" s="1811">
        <f t="shared" ref="AB18" si="9">D18/H18</f>
        <v>1</v>
      </c>
      <c r="AC18" s="1811">
        <f t="shared" ref="AC18" si="10">D18/J18</f>
        <v>1</v>
      </c>
    </row>
    <row r="19" spans="1:29" ht="15">
      <c r="A19" s="404"/>
      <c r="B19" s="633"/>
      <c r="C19" s="2611"/>
      <c r="D19" s="450"/>
      <c r="E19" s="2611"/>
      <c r="F19" s="453"/>
      <c r="G19" s="2611"/>
      <c r="H19" s="448"/>
      <c r="I19" s="447"/>
      <c r="J19" s="448"/>
      <c r="K19" s="1383"/>
      <c r="L19" s="1140"/>
      <c r="M19" s="1131"/>
      <c r="N19" s="1131"/>
      <c r="O19" s="1131"/>
      <c r="P19" s="3268"/>
      <c r="Q19" s="1810"/>
      <c r="R19" s="774"/>
      <c r="S19" s="775"/>
      <c r="T19" s="774"/>
      <c r="U19" s="775"/>
      <c r="V19" s="774"/>
      <c r="W19" s="775"/>
      <c r="X19" s="1813"/>
      <c r="Y19" s="3268"/>
      <c r="Z19" s="1814"/>
      <c r="AA19" s="1811">
        <v>1</v>
      </c>
      <c r="AB19" s="1811">
        <v>1</v>
      </c>
      <c r="AC19" s="1811">
        <v>1</v>
      </c>
    </row>
    <row r="20" spans="1:29" ht="57">
      <c r="A20" s="404"/>
      <c r="B20" s="631" t="s">
        <v>2706</v>
      </c>
      <c r="C20" s="2610"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268"/>
      <c r="Q20" s="1810" t="str">
        <f>B20</f>
        <v>自然及人文环境</v>
      </c>
      <c r="R20" s="774" t="s">
        <v>17</v>
      </c>
      <c r="S20" s="775">
        <f>F20</f>
        <v>100</v>
      </c>
      <c r="T20" s="774" t="s">
        <v>17</v>
      </c>
      <c r="U20" s="775">
        <f>H20</f>
        <v>100</v>
      </c>
      <c r="V20" s="774" t="s">
        <v>17</v>
      </c>
      <c r="W20" s="775">
        <f>J20</f>
        <v>100</v>
      </c>
      <c r="X20" s="1813"/>
      <c r="Y20" s="3268"/>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0"/>
      <c r="M21" s="1131"/>
      <c r="N21" s="1131"/>
      <c r="O21" s="1131"/>
      <c r="P21" s="3268"/>
      <c r="Q21" s="1810"/>
      <c r="R21" s="774"/>
      <c r="S21" s="775"/>
      <c r="T21" s="774"/>
      <c r="U21" s="775"/>
      <c r="V21" s="774"/>
      <c r="W21" s="775"/>
      <c r="X21" s="1813"/>
      <c r="Y21" s="3268"/>
      <c r="Z21" s="1814"/>
      <c r="AA21" s="1811">
        <v>1</v>
      </c>
      <c r="AB21" s="1811">
        <v>1</v>
      </c>
      <c r="AC21" s="1811">
        <v>1</v>
      </c>
    </row>
    <row r="22" spans="1:29" ht="15">
      <c r="A22" s="404"/>
      <c r="B22" s="631" t="s">
        <v>2707</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268"/>
      <c r="Q22" s="1810" t="str">
        <f>B22</f>
        <v>楼层</v>
      </c>
      <c r="R22" s="774" t="s">
        <v>17</v>
      </c>
      <c r="S22" s="775">
        <f>F22</f>
        <v>100</v>
      </c>
      <c r="T22" s="774" t="s">
        <v>17</v>
      </c>
      <c r="U22" s="775">
        <f>H22</f>
        <v>100</v>
      </c>
      <c r="V22" s="774" t="s">
        <v>17</v>
      </c>
      <c r="W22" s="775">
        <f>J22</f>
        <v>100</v>
      </c>
      <c r="X22" s="1813"/>
      <c r="Y22" s="3268"/>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268"/>
      <c r="Q23" s="1810">
        <f>B23</f>
        <v>111</v>
      </c>
      <c r="R23" s="774" t="s">
        <v>17</v>
      </c>
      <c r="S23" s="775">
        <f>F23</f>
        <v>100</v>
      </c>
      <c r="T23" s="774" t="s">
        <v>17</v>
      </c>
      <c r="U23" s="775">
        <f>H23</f>
        <v>100</v>
      </c>
      <c r="V23" s="774" t="s">
        <v>17</v>
      </c>
      <c r="W23" s="775">
        <f>J23</f>
        <v>100</v>
      </c>
      <c r="X23" s="1813"/>
      <c r="Y23" s="3268"/>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268"/>
      <c r="Q24" s="1810">
        <f t="shared" ref="Q24:Q36" si="11">B24</f>
        <v>111</v>
      </c>
      <c r="R24" s="774" t="s">
        <v>17</v>
      </c>
      <c r="S24" s="775">
        <f>F24</f>
        <v>100</v>
      </c>
      <c r="T24" s="774" t="s">
        <v>17</v>
      </c>
      <c r="U24" s="775">
        <f>H24</f>
        <v>100</v>
      </c>
      <c r="V24" s="774" t="s">
        <v>17</v>
      </c>
      <c r="W24" s="775">
        <f>J24</f>
        <v>100</v>
      </c>
      <c r="X24" s="1813"/>
      <c r="Y24" s="3268"/>
      <c r="Z24" s="1814">
        <f>Q24</f>
        <v>111</v>
      </c>
      <c r="AA24" s="1811">
        <f t="shared" si="3"/>
        <v>1</v>
      </c>
      <c r="AB24" s="1811">
        <f t="shared" si="4"/>
        <v>1</v>
      </c>
      <c r="AC24" s="181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268"/>
      <c r="Q25" s="1795">
        <f t="shared" si="11"/>
        <v>111</v>
      </c>
      <c r="R25" s="770" t="s">
        <v>17</v>
      </c>
      <c r="S25" s="771">
        <f>F25</f>
        <v>100</v>
      </c>
      <c r="T25" s="770" t="s">
        <v>17</v>
      </c>
      <c r="U25" s="771">
        <f>H25</f>
        <v>100</v>
      </c>
      <c r="V25" s="770" t="s">
        <v>17</v>
      </c>
      <c r="W25" s="771">
        <f>J25</f>
        <v>100</v>
      </c>
      <c r="X25" s="772"/>
      <c r="Y25" s="3268"/>
      <c r="Z25" s="55">
        <f>Q25</f>
        <v>111</v>
      </c>
      <c r="AA25" s="1811">
        <f>D25/F25</f>
        <v>1</v>
      </c>
      <c r="AB25" s="1811">
        <f>D25/H25</f>
        <v>1</v>
      </c>
      <c r="AC25" s="1811">
        <f>D25/J25</f>
        <v>1</v>
      </c>
    </row>
    <row r="26" spans="1:29" ht="28.5">
      <c r="A26" s="652" t="s">
        <v>2559</v>
      </c>
      <c r="B26" s="70" t="s">
        <v>2708</v>
      </c>
      <c r="C26" s="2697">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323" t="s">
        <v>2561</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272" t="s">
        <v>2561</v>
      </c>
      <c r="Z26" s="1814" t="str">
        <f t="shared" ref="Z26:Z36" si="15">Q26</f>
        <v>配套类型</v>
      </c>
      <c r="AA26" s="1811">
        <f t="shared" si="3"/>
        <v>1</v>
      </c>
      <c r="AB26" s="1811">
        <f t="shared" si="4"/>
        <v>1</v>
      </c>
      <c r="AC26" s="1811">
        <f t="shared" si="5"/>
        <v>1</v>
      </c>
    </row>
    <row r="27" spans="1:29" s="471" customFormat="1" ht="15">
      <c r="A27" s="653"/>
      <c r="B27" s="654" t="s">
        <v>2709</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272"/>
      <c r="Q27" s="776" t="str">
        <f t="shared" si="11"/>
        <v>项目停车位配比</v>
      </c>
      <c r="R27" s="777" t="s">
        <v>17</v>
      </c>
      <c r="S27" s="778">
        <f t="shared" si="12"/>
        <v>100</v>
      </c>
      <c r="T27" s="777" t="s">
        <v>17</v>
      </c>
      <c r="U27" s="778">
        <f t="shared" si="13"/>
        <v>100</v>
      </c>
      <c r="V27" s="777" t="s">
        <v>17</v>
      </c>
      <c r="W27" s="778">
        <f t="shared" si="14"/>
        <v>100</v>
      </c>
      <c r="X27" s="779"/>
      <c r="Y27" s="3272"/>
      <c r="Z27" s="780" t="str">
        <f t="shared" si="15"/>
        <v>项目停车位配比</v>
      </c>
      <c r="AA27" s="1811">
        <f t="shared" si="3"/>
        <v>1</v>
      </c>
      <c r="AB27" s="1811">
        <f t="shared" si="4"/>
        <v>1</v>
      </c>
      <c r="AC27" s="1811">
        <f t="shared" si="5"/>
        <v>1</v>
      </c>
    </row>
    <row r="28" spans="1:29" ht="15">
      <c r="A28" s="656"/>
      <c r="B28" s="654" t="s">
        <v>2710</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272"/>
      <c r="Q28" s="1810" t="str">
        <f t="shared" si="11"/>
        <v>公共部分装修</v>
      </c>
      <c r="R28" s="774" t="s">
        <v>17</v>
      </c>
      <c r="S28" s="775">
        <f t="shared" si="12"/>
        <v>100</v>
      </c>
      <c r="T28" s="774" t="s">
        <v>17</v>
      </c>
      <c r="U28" s="775">
        <f t="shared" si="13"/>
        <v>100</v>
      </c>
      <c r="V28" s="774" t="s">
        <v>17</v>
      </c>
      <c r="W28" s="775">
        <f t="shared" si="14"/>
        <v>100</v>
      </c>
      <c r="X28" s="1813"/>
      <c r="Y28" s="3272"/>
      <c r="Z28" s="1814" t="str">
        <f t="shared" si="15"/>
        <v>公共部分装修</v>
      </c>
      <c r="AA28" s="1811">
        <f t="shared" si="3"/>
        <v>1</v>
      </c>
      <c r="AB28" s="1811">
        <f t="shared" si="4"/>
        <v>1</v>
      </c>
      <c r="AC28" s="1811">
        <f t="shared" si="5"/>
        <v>1</v>
      </c>
    </row>
    <row r="29" spans="1:29" ht="15">
      <c r="A29" s="656"/>
      <c r="B29" s="654" t="s">
        <v>2711</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272"/>
      <c r="Q29" s="1810" t="str">
        <f t="shared" si="11"/>
        <v>成新率</v>
      </c>
      <c r="R29" s="774" t="s">
        <v>17</v>
      </c>
      <c r="S29" s="775" t="e">
        <f t="shared" si="12"/>
        <v>#N/A</v>
      </c>
      <c r="T29" s="774" t="s">
        <v>17</v>
      </c>
      <c r="U29" s="775" t="e">
        <f t="shared" si="13"/>
        <v>#N/A</v>
      </c>
      <c r="V29" s="774" t="s">
        <v>17</v>
      </c>
      <c r="W29" s="775" t="e">
        <f t="shared" si="14"/>
        <v>#N/A</v>
      </c>
      <c r="X29" s="1813"/>
      <c r="Y29" s="3272"/>
      <c r="Z29" s="1814" t="str">
        <f t="shared" si="15"/>
        <v>成新率</v>
      </c>
      <c r="AA29" s="1811" t="e">
        <f t="shared" si="3"/>
        <v>#N/A</v>
      </c>
      <c r="AB29" s="1811" t="e">
        <f t="shared" si="4"/>
        <v>#N/A</v>
      </c>
      <c r="AC29" s="1811" t="e">
        <f t="shared" si="5"/>
        <v>#N/A</v>
      </c>
    </row>
    <row r="30" spans="1:29" ht="15">
      <c r="A30" s="656"/>
      <c r="B30" s="654" t="s">
        <v>2712</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272"/>
      <c r="Q30" s="1810" t="str">
        <f t="shared" si="11"/>
        <v>物业等级</v>
      </c>
      <c r="R30" s="774" t="s">
        <v>17</v>
      </c>
      <c r="S30" s="775">
        <f t="shared" si="12"/>
        <v>100</v>
      </c>
      <c r="T30" s="774" t="s">
        <v>17</v>
      </c>
      <c r="U30" s="775">
        <f t="shared" si="13"/>
        <v>100</v>
      </c>
      <c r="V30" s="774" t="s">
        <v>17</v>
      </c>
      <c r="W30" s="775">
        <f t="shared" si="14"/>
        <v>100</v>
      </c>
      <c r="X30" s="1813"/>
      <c r="Y30" s="3272"/>
      <c r="Z30" s="1814" t="str">
        <f t="shared" si="15"/>
        <v>物业等级</v>
      </c>
      <c r="AA30" s="1811">
        <f t="shared" si="3"/>
        <v>1</v>
      </c>
      <c r="AB30" s="1811">
        <f t="shared" si="4"/>
        <v>1</v>
      </c>
      <c r="AC30" s="1811">
        <f t="shared" si="5"/>
        <v>1</v>
      </c>
    </row>
    <row r="31" spans="1:29" s="117" customFormat="1" ht="15">
      <c r="A31" s="658"/>
      <c r="B31" s="654" t="s">
        <v>2713</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272"/>
      <c r="Q31" s="1795" t="str">
        <f t="shared" si="11"/>
        <v>停车位面积</v>
      </c>
      <c r="R31" s="770" t="s">
        <v>17</v>
      </c>
      <c r="S31" s="771" t="e">
        <f t="shared" si="12"/>
        <v>#N/A</v>
      </c>
      <c r="T31" s="770" t="s">
        <v>17</v>
      </c>
      <c r="U31" s="771" t="e">
        <f t="shared" si="13"/>
        <v>#N/A</v>
      </c>
      <c r="V31" s="770" t="s">
        <v>17</v>
      </c>
      <c r="W31" s="771" t="e">
        <f t="shared" si="14"/>
        <v>#N/A</v>
      </c>
      <c r="X31" s="772"/>
      <c r="Y31" s="3272"/>
      <c r="Z31" s="55" t="str">
        <f t="shared" si="15"/>
        <v>停车位面积</v>
      </c>
      <c r="AA31" s="773" t="e">
        <f t="shared" si="3"/>
        <v>#N/A</v>
      </c>
      <c r="AB31" s="773" t="e">
        <f t="shared" si="4"/>
        <v>#N/A</v>
      </c>
      <c r="AC31" s="773" t="e">
        <f t="shared" si="5"/>
        <v>#N/A</v>
      </c>
    </row>
    <row r="32" spans="1:29" ht="15">
      <c r="A32" s="656"/>
      <c r="B32" s="654" t="s">
        <v>2714</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272" t="s">
        <v>2561</v>
      </c>
      <c r="Q32" s="1810" t="str">
        <f t="shared" si="11"/>
        <v>车位类型</v>
      </c>
      <c r="R32" s="774" t="s">
        <v>17</v>
      </c>
      <c r="S32" s="775">
        <f t="shared" si="12"/>
        <v>100</v>
      </c>
      <c r="T32" s="774" t="s">
        <v>17</v>
      </c>
      <c r="U32" s="775">
        <f t="shared" si="13"/>
        <v>100</v>
      </c>
      <c r="V32" s="774" t="s">
        <v>17</v>
      </c>
      <c r="W32" s="775">
        <f t="shared" si="14"/>
        <v>100</v>
      </c>
      <c r="X32" s="1813"/>
      <c r="Y32" s="3272" t="s">
        <v>2561</v>
      </c>
      <c r="Z32" s="1814" t="str">
        <f t="shared" si="15"/>
        <v>车位类型</v>
      </c>
      <c r="AA32" s="1811">
        <f t="shared" si="3"/>
        <v>1</v>
      </c>
      <c r="AB32" s="1811">
        <f t="shared" si="4"/>
        <v>1</v>
      </c>
      <c r="AC32" s="1811">
        <f t="shared" si="5"/>
        <v>1</v>
      </c>
    </row>
    <row r="33" spans="1:29" ht="15">
      <c r="A33" s="656"/>
      <c r="B33" s="654" t="s">
        <v>2715</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272"/>
      <c r="Q33" s="1810" t="str">
        <f t="shared" si="11"/>
        <v>是否直接入户</v>
      </c>
      <c r="R33" s="774" t="s">
        <v>17</v>
      </c>
      <c r="S33" s="775">
        <f t="shared" si="12"/>
        <v>100</v>
      </c>
      <c r="T33" s="774" t="s">
        <v>17</v>
      </c>
      <c r="U33" s="775">
        <f t="shared" si="13"/>
        <v>100</v>
      </c>
      <c r="V33" s="774" t="s">
        <v>17</v>
      </c>
      <c r="W33" s="775">
        <f t="shared" si="14"/>
        <v>100</v>
      </c>
      <c r="X33" s="1813"/>
      <c r="Y33" s="3272"/>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272"/>
      <c r="Q34" s="1810">
        <f t="shared" si="11"/>
        <v>111</v>
      </c>
      <c r="R34" s="774" t="s">
        <v>17</v>
      </c>
      <c r="S34" s="775">
        <f t="shared" si="12"/>
        <v>100</v>
      </c>
      <c r="T34" s="774" t="s">
        <v>17</v>
      </c>
      <c r="U34" s="775">
        <f t="shared" si="13"/>
        <v>100</v>
      </c>
      <c r="V34" s="774" t="s">
        <v>17</v>
      </c>
      <c r="W34" s="775">
        <f t="shared" si="14"/>
        <v>100</v>
      </c>
      <c r="X34" s="1813"/>
      <c r="Y34" s="3272"/>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272"/>
      <c r="Q35" s="776">
        <f t="shared" si="11"/>
        <v>111</v>
      </c>
      <c r="R35" s="777" t="s">
        <v>17</v>
      </c>
      <c r="S35" s="778">
        <f t="shared" si="12"/>
        <v>100</v>
      </c>
      <c r="T35" s="777" t="s">
        <v>17</v>
      </c>
      <c r="U35" s="778">
        <f t="shared" si="13"/>
        <v>100</v>
      </c>
      <c r="V35" s="777" t="s">
        <v>17</v>
      </c>
      <c r="W35" s="778">
        <f t="shared" si="14"/>
        <v>100</v>
      </c>
      <c r="X35" s="779"/>
      <c r="Y35" s="3272"/>
      <c r="Z35" s="780">
        <f t="shared" si="15"/>
        <v>111</v>
      </c>
      <c r="AA35" s="1811">
        <f t="shared" si="3"/>
        <v>1</v>
      </c>
      <c r="AB35" s="1811">
        <f t="shared" si="4"/>
        <v>1</v>
      </c>
      <c r="AC35" s="181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272"/>
      <c r="Q36" s="1810">
        <f t="shared" si="11"/>
        <v>111</v>
      </c>
      <c r="R36" s="774" t="s">
        <v>17</v>
      </c>
      <c r="S36" s="775">
        <f t="shared" si="12"/>
        <v>100</v>
      </c>
      <c r="T36" s="774" t="s">
        <v>17</v>
      </c>
      <c r="U36" s="775">
        <f t="shared" si="13"/>
        <v>100</v>
      </c>
      <c r="V36" s="774" t="s">
        <v>17</v>
      </c>
      <c r="W36" s="775">
        <f t="shared" si="14"/>
        <v>100</v>
      </c>
      <c r="X36" s="1813"/>
      <c r="Y36" s="3272"/>
      <c r="Z36" s="1814">
        <f t="shared" si="15"/>
        <v>111</v>
      </c>
      <c r="AA36" s="1811">
        <f t="shared" si="3"/>
        <v>1</v>
      </c>
      <c r="AB36" s="1811">
        <f t="shared" si="4"/>
        <v>1</v>
      </c>
      <c r="AC36" s="1811">
        <f t="shared" si="5"/>
        <v>1</v>
      </c>
    </row>
    <row r="37" spans="1:29" ht="15">
      <c r="A37" s="479" t="s">
        <v>2716</v>
      </c>
      <c r="B37" s="2698" t="s">
        <v>2717</v>
      </c>
      <c r="C37" s="1407" t="s">
        <v>1</v>
      </c>
      <c r="D37" s="1408"/>
      <c r="E37" s="1409"/>
      <c r="F37" s="1410"/>
      <c r="G37" s="1411"/>
      <c r="H37" s="1412"/>
      <c r="I37" s="1409"/>
      <c r="J37" s="1412"/>
      <c r="K37" s="619"/>
      <c r="L37" s="1143"/>
      <c r="M37" s="1144"/>
      <c r="N37" s="1131"/>
      <c r="O37" s="1144"/>
      <c r="P37" s="3265" t="str">
        <f>A37</f>
        <v>成交单价</v>
      </c>
      <c r="Q37" s="3265"/>
      <c r="R37" s="3266">
        <f>E37</f>
        <v>0</v>
      </c>
      <c r="S37" s="3266"/>
      <c r="T37" s="3266">
        <f>G37</f>
        <v>0</v>
      </c>
      <c r="U37" s="3266"/>
      <c r="V37" s="3266">
        <f>I37</f>
        <v>0</v>
      </c>
      <c r="W37" s="3266"/>
      <c r="X37" s="759"/>
      <c r="Y37" s="781"/>
      <c r="Z37" s="759"/>
      <c r="AA37" s="759"/>
      <c r="AB37" s="759"/>
      <c r="AC37" s="759"/>
    </row>
    <row r="38" spans="1:29" ht="15.75" thickBot="1">
      <c r="A38" s="486" t="s">
        <v>2718</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265" t="str">
        <f>A38</f>
        <v>比较价值（元/平方米）</v>
      </c>
      <c r="Q38" s="3265"/>
      <c r="R38" s="3266" t="e">
        <f>IF(F1="售价",ROUND(PRODUCT(R37,AA7:AA36),0),ROUND(PRODUCT(R37,AA7:AA36),1))</f>
        <v>#DIV/0!</v>
      </c>
      <c r="S38" s="3266"/>
      <c r="T38" s="3266" t="e">
        <f>IF(F1="售价",ROUND(PRODUCT(T37,AB7:AB36),0),ROUND(PRODUCT(T37,AB7:AB36),1))</f>
        <v>#DIV/0!</v>
      </c>
      <c r="U38" s="3266"/>
      <c r="V38" s="3266" t="e">
        <f>IF(F1="售价",ROUND(PRODUCT(V37,AC7:AC36),0),ROUND(PRODUCT(V37,AC7:AC36),1))</f>
        <v>#DIV/0!</v>
      </c>
      <c r="W38" s="3266"/>
      <c r="X38" s="759"/>
      <c r="Y38" s="759"/>
      <c r="Z38" s="759"/>
      <c r="AA38" s="759"/>
      <c r="AB38" s="759"/>
      <c r="AC38" s="759"/>
    </row>
    <row r="39" spans="1:29" ht="15.75" thickBot="1">
      <c r="A39" s="492" t="s">
        <v>2719</v>
      </c>
      <c r="B39" s="493"/>
      <c r="C39" s="1417" t="e">
        <f>R39</f>
        <v>#DIV/0!</v>
      </c>
      <c r="D39" s="1417"/>
      <c r="E39" s="1417"/>
      <c r="F39" s="1417"/>
      <c r="G39" s="1417"/>
      <c r="H39" s="1417"/>
      <c r="I39" s="1417"/>
      <c r="J39" s="1417"/>
      <c r="K39" s="621"/>
      <c r="L39" s="1143"/>
      <c r="M39" s="1144"/>
      <c r="N39" s="1144"/>
      <c r="O39" s="1144"/>
      <c r="P39" s="3262" t="str">
        <f>A39</f>
        <v>估价对象XX用房的比较价值（楼面单价，元/平方米）</v>
      </c>
      <c r="Q39" s="3263"/>
      <c r="R39" s="3264" t="e">
        <f>IF(F1="售价",ROUND(AVERAGE(R38:V38),0),ROUND(AVERAGE(R38:V38),1))</f>
        <v>#DIV/0!</v>
      </c>
      <c r="S39" s="3264"/>
      <c r="T39" s="3264"/>
      <c r="U39" s="3264"/>
      <c r="V39" s="3264"/>
      <c r="W39" s="3264"/>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2720</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2721</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2722</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2723</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2724</v>
      </c>
      <c r="B48" s="506"/>
      <c r="C48" s="1574" t="str">
        <f>YEAR(C7)&amp;"-"&amp;MONTH(C7)</f>
        <v>2019-5</v>
      </c>
      <c r="D48" s="1575">
        <f>EDATE(C48,-1)</f>
        <v>43556</v>
      </c>
      <c r="E48" s="1575">
        <f t="shared" ref="E48:O48" si="16">EDATE(D48,-1)</f>
        <v>43525</v>
      </c>
      <c r="F48" s="1575">
        <f t="shared" si="16"/>
        <v>43497</v>
      </c>
      <c r="G48" s="1575">
        <f t="shared" si="16"/>
        <v>43466</v>
      </c>
      <c r="H48" s="1575">
        <f t="shared" si="16"/>
        <v>43435</v>
      </c>
      <c r="I48" s="1575">
        <f t="shared" si="16"/>
        <v>43405</v>
      </c>
      <c r="J48" s="1575">
        <f t="shared" si="16"/>
        <v>43374</v>
      </c>
      <c r="K48" s="1575">
        <f t="shared" si="16"/>
        <v>43344</v>
      </c>
      <c r="L48" s="1575">
        <f t="shared" si="16"/>
        <v>43313</v>
      </c>
      <c r="M48" s="1575">
        <f t="shared" si="16"/>
        <v>43282</v>
      </c>
      <c r="N48" s="1575">
        <f t="shared" si="16"/>
        <v>43252</v>
      </c>
      <c r="O48" s="1575">
        <f t="shared" si="16"/>
        <v>43221</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2581</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2546</v>
      </c>
      <c r="B51" s="510"/>
      <c r="C51" s="522" t="s">
        <v>2648</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2584</v>
      </c>
      <c r="B53" s="528" t="s">
        <v>2550</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2553</v>
      </c>
      <c r="C55" s="539" t="s">
        <v>2585</v>
      </c>
      <c r="D55" s="539" t="s">
        <v>2586</v>
      </c>
      <c r="E55" s="539" t="s">
        <v>2587</v>
      </c>
      <c r="F55" s="539" t="s">
        <v>2588</v>
      </c>
      <c r="G55" s="539" t="s">
        <v>2589</v>
      </c>
      <c r="H55" s="539" t="s">
        <v>2590</v>
      </c>
      <c r="I55" s="539" t="s">
        <v>2591</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2555</v>
      </c>
      <c r="B63" s="528" t="s">
        <v>2598</v>
      </c>
      <c r="C63" s="573" t="s">
        <v>2593</v>
      </c>
      <c r="D63" s="573" t="s">
        <v>2594</v>
      </c>
      <c r="E63" s="573" t="s">
        <v>2595</v>
      </c>
      <c r="F63" s="573" t="s">
        <v>2596</v>
      </c>
      <c r="G63" s="573" t="s">
        <v>2597</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2599</v>
      </c>
      <c r="C65" s="578" t="s">
        <v>2593</v>
      </c>
      <c r="D65" s="578" t="s">
        <v>2594</v>
      </c>
      <c r="E65" s="578" t="s">
        <v>2595</v>
      </c>
      <c r="F65" s="578" t="s">
        <v>2596</v>
      </c>
      <c r="G65" s="578" t="s">
        <v>2597</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2685</v>
      </c>
      <c r="C67" s="660" t="s">
        <v>2671</v>
      </c>
      <c r="D67" s="660" t="s">
        <v>2672</v>
      </c>
      <c r="E67" s="660" t="s">
        <v>2673</v>
      </c>
      <c r="F67" s="660" t="s">
        <v>2674</v>
      </c>
      <c r="G67" s="660" t="s">
        <v>2675</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2605</v>
      </c>
      <c r="C69" s="578" t="s">
        <v>2593</v>
      </c>
      <c r="D69" s="578" t="s">
        <v>2594</v>
      </c>
      <c r="E69" s="578" t="s">
        <v>2595</v>
      </c>
      <c r="F69" s="578" t="s">
        <v>2596</v>
      </c>
      <c r="G69" s="578" t="s">
        <v>2597</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2725</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2559</v>
      </c>
      <c r="B79" s="528" t="s">
        <v>2726</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2727</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2612</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2728</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2729</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2730</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2731</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2732</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4" type="noConversion"/>
  <conditionalFormatting sqref="F42 H42 J42">
    <cfRule type="containsText" dxfId="55" priority="14" stopIfTrue="1" operator="containsText" text="超过">
      <formula>NOT(ISERROR(SEARCH("超过",F42)))</formula>
    </cfRule>
  </conditionalFormatting>
  <conditionalFormatting sqref="J44">
    <cfRule type="containsText" dxfId="54" priority="13" stopIfTrue="1" operator="containsText" text="超过">
      <formula>NOT(ISERROR(SEARCH("超过",J44)))</formula>
    </cfRule>
  </conditionalFormatting>
  <conditionalFormatting sqref="H44">
    <cfRule type="containsText" dxfId="53" priority="12" stopIfTrue="1" operator="containsText" text="超过">
      <formula>NOT(ISERROR(SEARCH("超过",H44)))</formula>
    </cfRule>
  </conditionalFormatting>
  <conditionalFormatting sqref="F44">
    <cfRule type="containsText" dxfId="52" priority="11" stopIfTrue="1" operator="containsText" text="超过">
      <formula>NOT(ISERROR(SEARCH("超过",F44)))</formula>
    </cfRule>
  </conditionalFormatting>
  <conditionalFormatting sqref="F43 H43 J43">
    <cfRule type="containsText" dxfId="51" priority="10" stopIfTrue="1" operator="containsText" text="超过">
      <formula>NOT(ISERROR(SEARCH("超过",F43)))</formula>
    </cfRule>
  </conditionalFormatting>
  <conditionalFormatting sqref="E42">
    <cfRule type="expression" dxfId="50" priority="9" stopIfTrue="1">
      <formula>$F$42="超过30%"</formula>
    </cfRule>
  </conditionalFormatting>
  <conditionalFormatting sqref="G44">
    <cfRule type="expression" dxfId="49" priority="8" stopIfTrue="1">
      <formula>$H$54+$H$44="超过30%"</formula>
    </cfRule>
  </conditionalFormatting>
  <conditionalFormatting sqref="E43">
    <cfRule type="expression" dxfId="48" priority="7" stopIfTrue="1">
      <formula>$F$43="超过20%"</formula>
    </cfRule>
  </conditionalFormatting>
  <conditionalFormatting sqref="E44">
    <cfRule type="expression" dxfId="47" priority="6" stopIfTrue="1">
      <formula>$F$44="超过30%"</formula>
    </cfRule>
  </conditionalFormatting>
  <conditionalFormatting sqref="G42">
    <cfRule type="expression" dxfId="46" priority="5" stopIfTrue="1">
      <formula>$H$52+$H$42="超过30%"</formula>
    </cfRule>
  </conditionalFormatting>
  <conditionalFormatting sqref="G43">
    <cfRule type="expression" dxfId="45" priority="4" stopIfTrue="1">
      <formula>$H$43="超过20%"</formula>
    </cfRule>
  </conditionalFormatting>
  <conditionalFormatting sqref="I42">
    <cfRule type="expression" dxfId="44" priority="3" stopIfTrue="1">
      <formula>$J$52+$J$42="超过30%"</formula>
    </cfRule>
  </conditionalFormatting>
  <conditionalFormatting sqref="I43">
    <cfRule type="expression" dxfId="43" priority="2" stopIfTrue="1">
      <formula>$J$53+$J$43="超过20%"</formula>
    </cfRule>
  </conditionalFormatting>
  <conditionalFormatting sqref="I44">
    <cfRule type="expression" dxfId="4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J33" sqref="J3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2703</v>
      </c>
      <c r="B1" s="1619"/>
      <c r="C1" s="1620" t="s">
        <v>2526</v>
      </c>
      <c r="D1" s="1621"/>
      <c r="E1" s="1630"/>
      <c r="F1" s="2587"/>
      <c r="G1" s="1631" t="s">
        <v>2639</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2323</v>
      </c>
      <c r="B2" s="1418" t="e">
        <f ca="1">IF(C2="——",ROUND(C37*D3/10000,0),ROUND(C37*D3/10000,0)-D2)</f>
        <v>#DIV/0!</v>
      </c>
      <c r="C2" s="2589"/>
      <c r="D2" s="1124" t="e">
        <f ca="1">SUMIF(INDIRECT("'"&amp;F2&amp;"'"&amp;"!A:A"),"承租人权益价值",INDIRECT("'"&amp;F2&amp;"'"&amp;"!c:c"))</f>
        <v>#REF!</v>
      </c>
      <c r="E2" s="2590" t="s">
        <v>2324</v>
      </c>
      <c r="F2" s="2591"/>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2325</v>
      </c>
      <c r="B3" s="609" t="e">
        <f ca="1">IF(C2="——",C37,ROUND(B2*10000/D3,0))</f>
        <v>#DIV/0!</v>
      </c>
      <c r="C3" s="400" t="s">
        <v>2640</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2641</v>
      </c>
      <c r="B4" s="402"/>
      <c r="C4" s="3280" t="s">
        <v>2642</v>
      </c>
      <c r="D4" s="3281"/>
      <c r="E4" s="3282" t="s">
        <v>2643</v>
      </c>
      <c r="F4" s="3283"/>
      <c r="G4" s="3280" t="s">
        <v>2644</v>
      </c>
      <c r="H4" s="3281"/>
      <c r="I4" s="3280" t="s">
        <v>2645</v>
      </c>
      <c r="J4" s="3281"/>
      <c r="K4" s="610" t="s">
        <v>2646</v>
      </c>
      <c r="L4" s="1130"/>
      <c r="M4" s="1131"/>
      <c r="N4" s="1131"/>
      <c r="O4" s="1131"/>
      <c r="P4" s="3284" t="s">
        <v>2647</v>
      </c>
      <c r="Q4" s="3285"/>
      <c r="R4" s="3290" t="s">
        <v>2643</v>
      </c>
      <c r="S4" s="3291"/>
      <c r="T4" s="3290" t="s">
        <v>2644</v>
      </c>
      <c r="U4" s="3291"/>
      <c r="V4" s="3296" t="s">
        <v>2645</v>
      </c>
      <c r="W4" s="3296"/>
      <c r="X4" s="1813"/>
      <c r="Y4" s="3290" t="s">
        <v>2647</v>
      </c>
      <c r="Z4" s="3291"/>
      <c r="AA4" s="3277" t="s">
        <v>2643</v>
      </c>
      <c r="AB4" s="3278" t="s">
        <v>2644</v>
      </c>
      <c r="AC4" s="3277" t="s">
        <v>2645</v>
      </c>
    </row>
    <row r="5" spans="1:29" ht="15">
      <c r="A5" s="404"/>
      <c r="B5" s="405"/>
      <c r="C5" s="3299" t="s">
        <v>2538</v>
      </c>
      <c r="D5" s="3300"/>
      <c r="E5" s="3306" t="s">
        <v>2539</v>
      </c>
      <c r="F5" s="3307"/>
      <c r="G5" s="3299" t="s">
        <v>2540</v>
      </c>
      <c r="H5" s="3300"/>
      <c r="I5" s="3299" t="s">
        <v>2541</v>
      </c>
      <c r="J5" s="3300"/>
      <c r="K5" s="610"/>
      <c r="L5" s="1130"/>
      <c r="M5" s="1131"/>
      <c r="N5" s="1131"/>
      <c r="O5" s="1131"/>
      <c r="P5" s="3286"/>
      <c r="Q5" s="3287"/>
      <c r="R5" s="3292"/>
      <c r="S5" s="3293"/>
      <c r="T5" s="3292"/>
      <c r="U5" s="3293"/>
      <c r="V5" s="3296"/>
      <c r="W5" s="3296"/>
      <c r="X5" s="1813"/>
      <c r="Y5" s="3292"/>
      <c r="Z5" s="3293"/>
      <c r="AA5" s="3278"/>
      <c r="AB5" s="3278"/>
      <c r="AC5" s="3278"/>
    </row>
    <row r="6" spans="1:29" ht="15.75" thickBot="1">
      <c r="A6" s="406"/>
      <c r="B6" s="407"/>
      <c r="C6" s="3297" t="s">
        <v>2542</v>
      </c>
      <c r="D6" s="3298"/>
      <c r="E6" s="3304" t="s">
        <v>2542</v>
      </c>
      <c r="F6" s="3305"/>
      <c r="G6" s="3297" t="s">
        <v>2542</v>
      </c>
      <c r="H6" s="3298"/>
      <c r="I6" s="3297" t="s">
        <v>2542</v>
      </c>
      <c r="J6" s="3298"/>
      <c r="K6" s="610" t="s">
        <v>2543</v>
      </c>
      <c r="L6" s="1130"/>
      <c r="M6" s="1131"/>
      <c r="N6" s="1131"/>
      <c r="O6" s="1131"/>
      <c r="P6" s="3288"/>
      <c r="Q6" s="3289"/>
      <c r="R6" s="3292"/>
      <c r="S6" s="3293"/>
      <c r="T6" s="3294"/>
      <c r="U6" s="3295"/>
      <c r="V6" s="3296"/>
      <c r="W6" s="3296"/>
      <c r="X6" s="1813"/>
      <c r="Y6" s="3294"/>
      <c r="Z6" s="3295"/>
      <c r="AA6" s="3279"/>
      <c r="AB6" s="3279"/>
      <c r="AC6" s="3279"/>
    </row>
    <row r="7" spans="1:29" s="117" customFormat="1" ht="15.75" thickBot="1">
      <c r="A7" s="408" t="s">
        <v>2544</v>
      </c>
      <c r="B7" s="409"/>
      <c r="C7" s="410">
        <f>'数据-取费表'!B2</f>
        <v>43592</v>
      </c>
      <c r="D7" s="411">
        <v>100</v>
      </c>
      <c r="E7" s="412"/>
      <c r="F7" s="413">
        <f>SUMIF(46:46,YEAR(E7)&amp;"-"&amp;MONTH(E7),47:47)</f>
        <v>0</v>
      </c>
      <c r="G7" s="2699"/>
      <c r="H7" s="411">
        <f>SUMIF(46:46,YEAR(G7)&amp;"-"&amp;MONTH(G7),47:47)</f>
        <v>0</v>
      </c>
      <c r="I7" s="412"/>
      <c r="J7" s="411">
        <f>SUMIF(46:46,YEAR(I7)&amp;"-"&amp;MONTH(I7),47:47)</f>
        <v>0</v>
      </c>
      <c r="K7" s="611"/>
      <c r="L7" s="1132"/>
      <c r="M7" s="1133"/>
      <c r="N7" s="1133"/>
      <c r="O7" s="1133"/>
      <c r="P7" s="3301" t="s">
        <v>2545</v>
      </c>
      <c r="Q7" s="3303"/>
      <c r="R7" s="770" t="s">
        <v>17</v>
      </c>
      <c r="S7" s="771">
        <f t="shared" ref="S7:S14" si="0">F7</f>
        <v>0</v>
      </c>
      <c r="T7" s="770" t="s">
        <v>17</v>
      </c>
      <c r="U7" s="771">
        <f t="shared" ref="U7:U14" si="1">H7</f>
        <v>0</v>
      </c>
      <c r="V7" s="770" t="s">
        <v>17</v>
      </c>
      <c r="W7" s="771">
        <f t="shared" ref="W7:W14" si="2">J7</f>
        <v>0</v>
      </c>
      <c r="X7" s="772"/>
      <c r="Y7" s="3301" t="s">
        <v>2545</v>
      </c>
      <c r="Z7" s="3302"/>
      <c r="AA7" s="773" t="e">
        <f>D7/F7</f>
        <v>#DIV/0!</v>
      </c>
      <c r="AB7" s="773" t="e">
        <f>D7/H7</f>
        <v>#DIV/0!</v>
      </c>
      <c r="AC7" s="773" t="e">
        <f>D7/J7</f>
        <v>#DIV/0!</v>
      </c>
    </row>
    <row r="8" spans="1:29" s="117" customFormat="1" ht="15.75" thickBot="1">
      <c r="A8" s="408" t="s">
        <v>2546</v>
      </c>
      <c r="B8" s="409"/>
      <c r="C8" s="414" t="s">
        <v>2648</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301" t="s">
        <v>2548</v>
      </c>
      <c r="Q8" s="3302"/>
      <c r="R8" s="770" t="s">
        <v>17</v>
      </c>
      <c r="S8" s="771">
        <f t="shared" si="0"/>
        <v>0</v>
      </c>
      <c r="T8" s="770" t="s">
        <v>17</v>
      </c>
      <c r="U8" s="771">
        <f t="shared" si="1"/>
        <v>0</v>
      </c>
      <c r="V8" s="770" t="s">
        <v>17</v>
      </c>
      <c r="W8" s="771">
        <f t="shared" si="2"/>
        <v>0</v>
      </c>
      <c r="X8" s="772"/>
      <c r="Y8" s="3301" t="s">
        <v>2548</v>
      </c>
      <c r="Z8" s="3302"/>
      <c r="AA8" s="773" t="e">
        <f t="shared" ref="AA8:AA34" si="3">D8/F8</f>
        <v>#DIV/0!</v>
      </c>
      <c r="AB8" s="773" t="e">
        <f t="shared" ref="AB8:AB34" si="4">D8/H8</f>
        <v>#DIV/0!</v>
      </c>
      <c r="AC8" s="773" t="e">
        <f t="shared" ref="AC8:AC34" si="5">D8/J8</f>
        <v>#DIV/0!</v>
      </c>
    </row>
    <row r="9" spans="1:29" s="117" customFormat="1">
      <c r="A9" s="415" t="s">
        <v>2549</v>
      </c>
      <c r="B9" s="71" t="s">
        <v>2550</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265" t="s">
        <v>2551</v>
      </c>
      <c r="Q9" s="1795" t="str">
        <f t="shared" ref="Q9:Q14" si="6">B9</f>
        <v>用途</v>
      </c>
      <c r="R9" s="770" t="s">
        <v>17</v>
      </c>
      <c r="S9" s="771">
        <f t="shared" si="0"/>
        <v>100</v>
      </c>
      <c r="T9" s="770" t="s">
        <v>17</v>
      </c>
      <c r="U9" s="771">
        <f t="shared" si="1"/>
        <v>100</v>
      </c>
      <c r="V9" s="770" t="s">
        <v>17</v>
      </c>
      <c r="W9" s="771">
        <f t="shared" si="2"/>
        <v>100</v>
      </c>
      <c r="X9" s="772"/>
      <c r="Y9" s="3042" t="s">
        <v>2552</v>
      </c>
      <c r="Z9" s="55" t="str">
        <f t="shared" ref="Z9:Z14" si="7">Q9</f>
        <v>用途</v>
      </c>
      <c r="AA9" s="773">
        <f t="shared" si="3"/>
        <v>1</v>
      </c>
      <c r="AB9" s="773">
        <f t="shared" si="4"/>
        <v>1</v>
      </c>
      <c r="AC9" s="773">
        <f t="shared" si="5"/>
        <v>1</v>
      </c>
    </row>
    <row r="10" spans="1:29" s="427" customFormat="1" ht="27">
      <c r="A10" s="421"/>
      <c r="B10" s="422" t="s">
        <v>2553</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265"/>
      <c r="Q10" s="1795" t="str">
        <f t="shared" si="6"/>
        <v>土地使用年限（年）</v>
      </c>
      <c r="R10" s="770" t="s">
        <v>17</v>
      </c>
      <c r="S10" s="771">
        <f t="shared" si="0"/>
        <v>100</v>
      </c>
      <c r="T10" s="770" t="s">
        <v>17</v>
      </c>
      <c r="U10" s="771">
        <f t="shared" si="1"/>
        <v>100</v>
      </c>
      <c r="V10" s="770" t="s">
        <v>17</v>
      </c>
      <c r="W10" s="771">
        <f t="shared" si="2"/>
        <v>100</v>
      </c>
      <c r="X10" s="772"/>
      <c r="Y10" s="3042"/>
      <c r="Z10" s="55" t="str">
        <f t="shared" si="7"/>
        <v>土地使用年限（年）</v>
      </c>
      <c r="AA10" s="773">
        <f t="shared" si="3"/>
        <v>1</v>
      </c>
      <c r="AB10" s="773">
        <f t="shared" si="4"/>
        <v>1</v>
      </c>
      <c r="AC10" s="773">
        <f t="shared" si="5"/>
        <v>1</v>
      </c>
    </row>
    <row r="11" spans="1:29" ht="15">
      <c r="A11" s="428"/>
      <c r="B11" s="2603">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265"/>
      <c r="Q11" s="1795">
        <f t="shared" si="6"/>
        <v>111</v>
      </c>
      <c r="R11" s="770" t="s">
        <v>17</v>
      </c>
      <c r="S11" s="771">
        <f t="shared" si="0"/>
        <v>100</v>
      </c>
      <c r="T11" s="770" t="s">
        <v>17</v>
      </c>
      <c r="U11" s="771">
        <f t="shared" si="1"/>
        <v>100</v>
      </c>
      <c r="V11" s="770" t="s">
        <v>17</v>
      </c>
      <c r="W11" s="771">
        <f t="shared" si="2"/>
        <v>100</v>
      </c>
      <c r="X11" s="772"/>
      <c r="Y11" s="3042"/>
      <c r="Z11" s="55">
        <f t="shared" si="7"/>
        <v>111</v>
      </c>
      <c r="AA11" s="773">
        <f t="shared" si="3"/>
        <v>1</v>
      </c>
      <c r="AB11" s="773">
        <f t="shared" si="4"/>
        <v>1</v>
      </c>
      <c r="AC11" s="773">
        <f t="shared" si="5"/>
        <v>1</v>
      </c>
    </row>
    <row r="12" spans="1:29" s="117" customFormat="1" ht="15">
      <c r="A12" s="431"/>
      <c r="B12" s="2603">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265"/>
      <c r="Q12" s="1795">
        <f t="shared" si="6"/>
        <v>111</v>
      </c>
      <c r="R12" s="770" t="s">
        <v>17</v>
      </c>
      <c r="S12" s="771">
        <f t="shared" si="0"/>
        <v>100</v>
      </c>
      <c r="T12" s="770" t="s">
        <v>17</v>
      </c>
      <c r="U12" s="771">
        <f t="shared" si="1"/>
        <v>100</v>
      </c>
      <c r="V12" s="770" t="s">
        <v>17</v>
      </c>
      <c r="W12" s="771">
        <f t="shared" si="2"/>
        <v>100</v>
      </c>
      <c r="X12" s="772"/>
      <c r="Y12" s="3042"/>
      <c r="Z12" s="55">
        <f t="shared" si="7"/>
        <v>111</v>
      </c>
      <c r="AA12" s="773">
        <f>D12/F12</f>
        <v>1</v>
      </c>
      <c r="AB12" s="773">
        <f>D12/H12</f>
        <v>1</v>
      </c>
      <c r="AC12" s="773">
        <f>D12/J12</f>
        <v>1</v>
      </c>
    </row>
    <row r="13" spans="1:29" ht="15.75" thickBot="1">
      <c r="A13" s="428"/>
      <c r="B13" s="2603">
        <v>111</v>
      </c>
      <c r="C13" s="434"/>
      <c r="D13" s="435">
        <v>100</v>
      </c>
      <c r="E13" s="469"/>
      <c r="F13" s="425">
        <f>SUMIF(59:59,E13,60:60)-SUMIF(59:59,C13,60:60)+100</f>
        <v>100</v>
      </c>
      <c r="G13" s="2700"/>
      <c r="H13" s="438">
        <f>SUMIF(59:59,G13,60:60)-SUMIF(59:59,C13,60:60)+100</f>
        <v>100</v>
      </c>
      <c r="I13" s="469"/>
      <c r="J13" s="435">
        <f>SUMIF(59:59,I13,60:60)-SUMIF(59:59,C13,60:60)+100</f>
        <v>100</v>
      </c>
      <c r="K13" s="613"/>
      <c r="L13" s="1140"/>
      <c r="M13" s="1131"/>
      <c r="N13" s="1131"/>
      <c r="O13" s="1139"/>
      <c r="P13" s="3265"/>
      <c r="Q13" s="1795">
        <f t="shared" si="6"/>
        <v>111</v>
      </c>
      <c r="R13" s="770" t="s">
        <v>17</v>
      </c>
      <c r="S13" s="771">
        <f t="shared" si="0"/>
        <v>100</v>
      </c>
      <c r="T13" s="770" t="s">
        <v>17</v>
      </c>
      <c r="U13" s="771">
        <f t="shared" si="1"/>
        <v>100</v>
      </c>
      <c r="V13" s="770" t="s">
        <v>17</v>
      </c>
      <c r="W13" s="771">
        <f t="shared" si="2"/>
        <v>100</v>
      </c>
      <c r="X13" s="772"/>
      <c r="Y13" s="3042"/>
      <c r="Z13" s="55">
        <f t="shared" si="7"/>
        <v>111</v>
      </c>
      <c r="AA13" s="773">
        <f t="shared" si="3"/>
        <v>1</v>
      </c>
      <c r="AB13" s="773">
        <f t="shared" si="4"/>
        <v>1</v>
      </c>
      <c r="AC13" s="773">
        <f t="shared" si="5"/>
        <v>1</v>
      </c>
    </row>
    <row r="14" spans="1:29" ht="85.5">
      <c r="A14" s="440" t="s">
        <v>2555</v>
      </c>
      <c r="B14" s="69" t="s">
        <v>2705</v>
      </c>
      <c r="C14" s="2696"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267" t="s">
        <v>2556</v>
      </c>
      <c r="Q14" s="1810" t="str">
        <f t="shared" si="6"/>
        <v>交通便捷度</v>
      </c>
      <c r="R14" s="774" t="s">
        <v>17</v>
      </c>
      <c r="S14" s="775">
        <f t="shared" si="0"/>
        <v>100</v>
      </c>
      <c r="T14" s="774" t="s">
        <v>17</v>
      </c>
      <c r="U14" s="775">
        <f t="shared" si="1"/>
        <v>100</v>
      </c>
      <c r="V14" s="774" t="s">
        <v>17</v>
      </c>
      <c r="W14" s="775">
        <f t="shared" si="2"/>
        <v>100</v>
      </c>
      <c r="X14" s="1813"/>
      <c r="Y14" s="3267" t="s">
        <v>2556</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0"/>
      <c r="M15" s="1131"/>
      <c r="N15" s="1131"/>
      <c r="O15" s="1139"/>
      <c r="P15" s="3268"/>
      <c r="Q15" s="1810"/>
      <c r="R15" s="774"/>
      <c r="S15" s="775"/>
      <c r="T15" s="774"/>
      <c r="U15" s="775"/>
      <c r="V15" s="774"/>
      <c r="W15" s="775"/>
      <c r="X15" s="1813"/>
      <c r="Y15" s="3268"/>
      <c r="Z15" s="1814"/>
      <c r="AA15" s="1811">
        <v>1</v>
      </c>
      <c r="AB15" s="1811">
        <v>1</v>
      </c>
      <c r="AC15" s="1811">
        <v>1</v>
      </c>
    </row>
    <row r="16" spans="1:29" ht="42.75">
      <c r="A16" s="428"/>
      <c r="B16" s="451" t="s">
        <v>2684</v>
      </c>
      <c r="C16" s="2610"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268"/>
      <c r="Q16" s="1810" t="str">
        <f>B16</f>
        <v>公共配套设施</v>
      </c>
      <c r="R16" s="774" t="s">
        <v>17</v>
      </c>
      <c r="S16" s="775">
        <f>F16</f>
        <v>100</v>
      </c>
      <c r="T16" s="774" t="s">
        <v>17</v>
      </c>
      <c r="U16" s="775">
        <f>H16</f>
        <v>100</v>
      </c>
      <c r="V16" s="774" t="s">
        <v>17</v>
      </c>
      <c r="W16" s="775">
        <f>J16</f>
        <v>100</v>
      </c>
      <c r="X16" s="1813"/>
      <c r="Y16" s="3268"/>
      <c r="Z16" s="1814" t="str">
        <f>Q16</f>
        <v>公共配套设施</v>
      </c>
      <c r="AA16" s="1811">
        <f t="shared" si="3"/>
        <v>1</v>
      </c>
      <c r="AB16" s="1811">
        <f t="shared" si="4"/>
        <v>1</v>
      </c>
      <c r="AC16" s="1811">
        <f t="shared" si="5"/>
        <v>1</v>
      </c>
    </row>
    <row r="17" spans="1:29" ht="15">
      <c r="A17" s="428"/>
      <c r="B17" s="456"/>
      <c r="C17" s="2611"/>
      <c r="D17" s="448"/>
      <c r="E17" s="447"/>
      <c r="F17" s="449"/>
      <c r="G17" s="447"/>
      <c r="H17" s="448"/>
      <c r="I17" s="447"/>
      <c r="J17" s="448"/>
      <c r="K17" s="615"/>
      <c r="L17" s="1140"/>
      <c r="M17" s="1131"/>
      <c r="N17" s="1131"/>
      <c r="O17" s="1139"/>
      <c r="P17" s="3268"/>
      <c r="Q17" s="1810"/>
      <c r="R17" s="774"/>
      <c r="S17" s="775"/>
      <c r="T17" s="774"/>
      <c r="U17" s="775"/>
      <c r="V17" s="774"/>
      <c r="W17" s="775"/>
      <c r="X17" s="1813"/>
      <c r="Y17" s="3268"/>
      <c r="Z17" s="1814"/>
      <c r="AA17" s="1811">
        <v>1</v>
      </c>
      <c r="AB17" s="1811">
        <v>1</v>
      </c>
      <c r="AC17" s="1811">
        <v>1</v>
      </c>
    </row>
    <row r="18" spans="1:29" ht="28.5">
      <c r="A18" s="428"/>
      <c r="B18" s="1384" t="s">
        <v>2685</v>
      </c>
      <c r="C18" s="2610"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268"/>
      <c r="Q18" s="1810" t="str">
        <f>B18</f>
        <v>基础设施水平</v>
      </c>
      <c r="R18" s="774" t="s">
        <v>17</v>
      </c>
      <c r="S18" s="775">
        <f>F18</f>
        <v>100</v>
      </c>
      <c r="T18" s="774" t="s">
        <v>17</v>
      </c>
      <c r="U18" s="775">
        <f>H18</f>
        <v>100</v>
      </c>
      <c r="V18" s="774" t="s">
        <v>17</v>
      </c>
      <c r="W18" s="775">
        <f>J18</f>
        <v>100</v>
      </c>
      <c r="X18" s="1813"/>
      <c r="Y18" s="3268"/>
      <c r="Z18" s="1814" t="str">
        <f>Q18</f>
        <v>基础设施水平</v>
      </c>
      <c r="AA18" s="1811">
        <f t="shared" ref="AA18" si="8">D18/F18</f>
        <v>1</v>
      </c>
      <c r="AB18" s="1811">
        <f t="shared" ref="AB18" si="9">D18/H18</f>
        <v>1</v>
      </c>
      <c r="AC18" s="1811">
        <f t="shared" ref="AC18" si="10">D18/J18</f>
        <v>1</v>
      </c>
    </row>
    <row r="19" spans="1:29" ht="15">
      <c r="A19" s="428"/>
      <c r="B19" s="1384"/>
      <c r="C19" s="2611"/>
      <c r="D19" s="450"/>
      <c r="E19" s="2611"/>
      <c r="F19" s="453"/>
      <c r="G19" s="2611"/>
      <c r="H19" s="448"/>
      <c r="I19" s="447"/>
      <c r="J19" s="448"/>
      <c r="K19" s="1383"/>
      <c r="L19" s="1140"/>
      <c r="M19" s="1131"/>
      <c r="N19" s="1131"/>
      <c r="O19" s="1139"/>
      <c r="P19" s="3268"/>
      <c r="Q19" s="1810"/>
      <c r="R19" s="774"/>
      <c r="S19" s="775"/>
      <c r="T19" s="774"/>
      <c r="U19" s="775"/>
      <c r="V19" s="774"/>
      <c r="W19" s="775"/>
      <c r="X19" s="1813"/>
      <c r="Y19" s="3268"/>
      <c r="Z19" s="1814"/>
      <c r="AA19" s="1811">
        <v>1</v>
      </c>
      <c r="AB19" s="1811">
        <v>1</v>
      </c>
      <c r="AC19" s="1811">
        <v>1</v>
      </c>
    </row>
    <row r="20" spans="1:29" ht="57">
      <c r="A20" s="428"/>
      <c r="B20" s="451" t="s">
        <v>2706</v>
      </c>
      <c r="C20" s="2610"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268"/>
      <c r="Q20" s="1810" t="str">
        <f>B20</f>
        <v>自然及人文环境</v>
      </c>
      <c r="R20" s="774" t="s">
        <v>17</v>
      </c>
      <c r="S20" s="775">
        <f>F20</f>
        <v>100</v>
      </c>
      <c r="T20" s="774" t="s">
        <v>17</v>
      </c>
      <c r="U20" s="775">
        <f>H20</f>
        <v>100</v>
      </c>
      <c r="V20" s="774" t="s">
        <v>17</v>
      </c>
      <c r="W20" s="775">
        <f>J20</f>
        <v>100</v>
      </c>
      <c r="X20" s="1813"/>
      <c r="Y20" s="3268"/>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0"/>
      <c r="M21" s="1131"/>
      <c r="N21" s="1131"/>
      <c r="O21" s="1139"/>
      <c r="P21" s="3268"/>
      <c r="Q21" s="1810"/>
      <c r="R21" s="774"/>
      <c r="S21" s="775"/>
      <c r="T21" s="774"/>
      <c r="U21" s="775"/>
      <c r="V21" s="774"/>
      <c r="W21" s="775"/>
      <c r="X21" s="1813"/>
      <c r="Y21" s="3268"/>
      <c r="Z21" s="1814"/>
      <c r="AA21" s="1811">
        <v>1</v>
      </c>
      <c r="AB21" s="1811">
        <v>1</v>
      </c>
      <c r="AC21" s="1811">
        <v>1</v>
      </c>
    </row>
    <row r="22" spans="1:29" ht="15">
      <c r="A22" s="428"/>
      <c r="B22" s="451" t="s">
        <v>2707</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268"/>
      <c r="Q22" s="1810" t="str">
        <f>B22</f>
        <v>楼层</v>
      </c>
      <c r="R22" s="774" t="s">
        <v>17</v>
      </c>
      <c r="S22" s="775">
        <f>F22</f>
        <v>100</v>
      </c>
      <c r="T22" s="774" t="s">
        <v>17</v>
      </c>
      <c r="U22" s="775">
        <f>H22</f>
        <v>100</v>
      </c>
      <c r="V22" s="774" t="s">
        <v>17</v>
      </c>
      <c r="W22" s="775">
        <f>J22</f>
        <v>100</v>
      </c>
      <c r="X22" s="1813"/>
      <c r="Y22" s="3268"/>
      <c r="Z22" s="1814" t="str">
        <f>Q22</f>
        <v>楼层</v>
      </c>
      <c r="AA22" s="1811">
        <f t="shared" si="3"/>
        <v>1</v>
      </c>
      <c r="AB22" s="1811">
        <f t="shared" si="4"/>
        <v>1</v>
      </c>
      <c r="AC22" s="1811">
        <f t="shared" si="5"/>
        <v>1</v>
      </c>
    </row>
    <row r="23" spans="1:29" ht="15">
      <c r="A23" s="404"/>
      <c r="B23" s="2603">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268"/>
      <c r="Q23" s="1810">
        <f>B23</f>
        <v>111</v>
      </c>
      <c r="R23" s="774" t="s">
        <v>17</v>
      </c>
      <c r="S23" s="775">
        <f>F23</f>
        <v>100</v>
      </c>
      <c r="T23" s="774" t="s">
        <v>17</v>
      </c>
      <c r="U23" s="775">
        <f>H23</f>
        <v>100</v>
      </c>
      <c r="V23" s="774" t="s">
        <v>17</v>
      </c>
      <c r="W23" s="775">
        <f>J23</f>
        <v>100</v>
      </c>
      <c r="X23" s="1813"/>
      <c r="Y23" s="3268"/>
      <c r="Z23" s="1814">
        <f>Q23</f>
        <v>111</v>
      </c>
      <c r="AA23" s="1811">
        <f t="shared" si="3"/>
        <v>1</v>
      </c>
      <c r="AB23" s="1811">
        <f t="shared" si="4"/>
        <v>1</v>
      </c>
      <c r="AC23" s="1811">
        <f t="shared" si="5"/>
        <v>1</v>
      </c>
    </row>
    <row r="24" spans="1:29" ht="15">
      <c r="A24" s="428"/>
      <c r="B24" s="2603">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268"/>
      <c r="Q24" s="1810">
        <f t="shared" ref="Q24:Q34" si="11">B24</f>
        <v>111</v>
      </c>
      <c r="R24" s="774" t="s">
        <v>17</v>
      </c>
      <c r="S24" s="775">
        <f>F24</f>
        <v>100</v>
      </c>
      <c r="T24" s="774" t="s">
        <v>17</v>
      </c>
      <c r="U24" s="775">
        <f>H24</f>
        <v>100</v>
      </c>
      <c r="V24" s="774" t="s">
        <v>17</v>
      </c>
      <c r="W24" s="775">
        <f>J24</f>
        <v>100</v>
      </c>
      <c r="X24" s="1813"/>
      <c r="Y24" s="3268"/>
      <c r="Z24" s="1814">
        <f>Q24</f>
        <v>111</v>
      </c>
      <c r="AA24" s="1811">
        <f t="shared" si="3"/>
        <v>1</v>
      </c>
      <c r="AB24" s="1811">
        <f t="shared" si="4"/>
        <v>1</v>
      </c>
      <c r="AC24" s="1811">
        <f t="shared" si="5"/>
        <v>1</v>
      </c>
    </row>
    <row r="25" spans="1:29" s="117" customFormat="1" ht="15.75" thickBot="1">
      <c r="A25" s="431"/>
      <c r="B25" s="2603">
        <v>111</v>
      </c>
      <c r="C25" s="2701"/>
      <c r="D25" s="665">
        <v>100</v>
      </c>
      <c r="E25" s="2701"/>
      <c r="F25" s="666">
        <f>SUMIF(75:75,E25,76:76)-SUMIF(75:75,C25,76:76)+100</f>
        <v>100</v>
      </c>
      <c r="G25" s="2701"/>
      <c r="H25" s="665">
        <f>SUMIF(75:75,G25,76:76)-SUMIF(75:75,C25,76:76)+100</f>
        <v>100</v>
      </c>
      <c r="I25" s="2701"/>
      <c r="J25" s="665">
        <f>SUMIF(75:75,I25,76:76)-SUMIF(75:75,C25,76:76)+100</f>
        <v>100</v>
      </c>
      <c r="K25" s="613"/>
      <c r="L25" s="1132"/>
      <c r="M25" s="1133"/>
      <c r="N25" s="1133"/>
      <c r="O25" s="1134"/>
      <c r="P25" s="3268"/>
      <c r="Q25" s="1795">
        <f t="shared" si="11"/>
        <v>111</v>
      </c>
      <c r="R25" s="770" t="s">
        <v>17</v>
      </c>
      <c r="S25" s="771">
        <f>F25</f>
        <v>100</v>
      </c>
      <c r="T25" s="770" t="s">
        <v>17</v>
      </c>
      <c r="U25" s="771">
        <f>H25</f>
        <v>100</v>
      </c>
      <c r="V25" s="770" t="s">
        <v>17</v>
      </c>
      <c r="W25" s="771">
        <f>J25</f>
        <v>100</v>
      </c>
      <c r="X25" s="772"/>
      <c r="Y25" s="3268"/>
      <c r="Z25" s="55">
        <f>Q25</f>
        <v>111</v>
      </c>
      <c r="AA25" s="1811">
        <f>D25/F25</f>
        <v>1</v>
      </c>
      <c r="AB25" s="1811">
        <f>D25/H25</f>
        <v>1</v>
      </c>
      <c r="AC25" s="1811">
        <f>D25/J25</f>
        <v>1</v>
      </c>
    </row>
    <row r="26" spans="1:29" ht="28.5">
      <c r="A26" s="466" t="s">
        <v>2559</v>
      </c>
      <c r="B26" s="71" t="s">
        <v>2710</v>
      </c>
      <c r="C26" s="2682"/>
      <c r="D26" s="467">
        <v>100</v>
      </c>
      <c r="E26" s="2682"/>
      <c r="F26" s="667">
        <f>SUMIF(77:77,E26,78:78)-SUMIF(77:77,C26,78:78)+100</f>
        <v>100</v>
      </c>
      <c r="G26" s="2682"/>
      <c r="H26" s="467">
        <f>SUMIF(77:77,G26,78:78)-SUMIF(77:77,C26,78:78)+100</f>
        <v>100</v>
      </c>
      <c r="I26" s="2682"/>
      <c r="J26" s="467">
        <f>SUMIF(77:77,I26,78:78)-SUMIF(77:77,C26,78:78)+100</f>
        <v>100</v>
      </c>
      <c r="K26" s="612"/>
      <c r="L26" s="1140"/>
      <c r="M26" s="1131"/>
      <c r="N26" s="1131"/>
      <c r="O26" s="1139"/>
      <c r="P26" s="3323" t="s">
        <v>2561</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272" t="s">
        <v>2561</v>
      </c>
      <c r="Z26" s="1814" t="str">
        <f t="shared" ref="Z26:Z34" si="15">Q26</f>
        <v>公共部分装修</v>
      </c>
      <c r="AA26" s="1811">
        <f t="shared" si="3"/>
        <v>1</v>
      </c>
      <c r="AB26" s="1811">
        <f t="shared" si="4"/>
        <v>1</v>
      </c>
      <c r="AC26" s="1811">
        <f t="shared" si="5"/>
        <v>1</v>
      </c>
    </row>
    <row r="27" spans="1:29" s="471" customFormat="1" ht="15">
      <c r="A27" s="468"/>
      <c r="B27" s="422" t="s">
        <v>2711</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272"/>
      <c r="Q27" s="776" t="str">
        <f t="shared" si="11"/>
        <v>成新率</v>
      </c>
      <c r="R27" s="777" t="s">
        <v>17</v>
      </c>
      <c r="S27" s="778" t="e">
        <f t="shared" si="12"/>
        <v>#N/A</v>
      </c>
      <c r="T27" s="777" t="s">
        <v>17</v>
      </c>
      <c r="U27" s="778" t="e">
        <f t="shared" si="13"/>
        <v>#N/A</v>
      </c>
      <c r="V27" s="777" t="s">
        <v>17</v>
      </c>
      <c r="W27" s="778" t="e">
        <f t="shared" si="14"/>
        <v>#N/A</v>
      </c>
      <c r="X27" s="779"/>
      <c r="Y27" s="3272"/>
      <c r="Z27" s="780" t="str">
        <f t="shared" si="15"/>
        <v>成新率</v>
      </c>
      <c r="AA27" s="1811" t="e">
        <f t="shared" si="3"/>
        <v>#N/A</v>
      </c>
      <c r="AB27" s="1811" t="e">
        <f t="shared" si="4"/>
        <v>#N/A</v>
      </c>
      <c r="AC27" s="1811" t="e">
        <f t="shared" si="5"/>
        <v>#N/A</v>
      </c>
    </row>
    <row r="28" spans="1:29" ht="15">
      <c r="A28" s="472"/>
      <c r="B28" s="422" t="s">
        <v>2712</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272"/>
      <c r="Q28" s="1810" t="str">
        <f t="shared" si="11"/>
        <v>物业等级</v>
      </c>
      <c r="R28" s="774" t="s">
        <v>17</v>
      </c>
      <c r="S28" s="775">
        <f t="shared" si="12"/>
        <v>100</v>
      </c>
      <c r="T28" s="774" t="s">
        <v>17</v>
      </c>
      <c r="U28" s="775">
        <f t="shared" si="13"/>
        <v>100</v>
      </c>
      <c r="V28" s="774" t="s">
        <v>17</v>
      </c>
      <c r="W28" s="775">
        <f t="shared" si="14"/>
        <v>100</v>
      </c>
      <c r="X28" s="1813"/>
      <c r="Y28" s="3272"/>
      <c r="Z28" s="1814" t="str">
        <f t="shared" si="15"/>
        <v>物业等级</v>
      </c>
      <c r="AA28" s="1811">
        <f t="shared" si="3"/>
        <v>1</v>
      </c>
      <c r="AB28" s="1811">
        <f t="shared" si="4"/>
        <v>1</v>
      </c>
      <c r="AC28" s="1811">
        <f t="shared" si="5"/>
        <v>1</v>
      </c>
    </row>
    <row r="29" spans="1:29" ht="15">
      <c r="A29" s="472"/>
      <c r="B29" s="422" t="s">
        <v>2733</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272"/>
      <c r="Q29" s="1810" t="str">
        <f t="shared" si="11"/>
        <v>有无电梯</v>
      </c>
      <c r="R29" s="774" t="s">
        <v>17</v>
      </c>
      <c r="S29" s="775">
        <f t="shared" si="12"/>
        <v>100</v>
      </c>
      <c r="T29" s="774" t="s">
        <v>17</v>
      </c>
      <c r="U29" s="775">
        <f t="shared" si="13"/>
        <v>100</v>
      </c>
      <c r="V29" s="774" t="s">
        <v>17</v>
      </c>
      <c r="W29" s="775">
        <f t="shared" si="14"/>
        <v>100</v>
      </c>
      <c r="X29" s="1813"/>
      <c r="Y29" s="3272"/>
      <c r="Z29" s="1814" t="str">
        <f t="shared" si="15"/>
        <v>有无电梯</v>
      </c>
      <c r="AA29" s="1811">
        <f t="shared" si="3"/>
        <v>1</v>
      </c>
      <c r="AB29" s="1811">
        <f t="shared" si="4"/>
        <v>1</v>
      </c>
      <c r="AC29" s="1811">
        <f t="shared" si="5"/>
        <v>1</v>
      </c>
    </row>
    <row r="30" spans="1:29" ht="15">
      <c r="A30" s="472"/>
      <c r="B30" s="422" t="s">
        <v>2734</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272"/>
      <c r="Q30" s="1810" t="str">
        <f t="shared" si="11"/>
        <v>建筑面积</v>
      </c>
      <c r="R30" s="774" t="s">
        <v>17</v>
      </c>
      <c r="S30" s="775" t="e">
        <f t="shared" si="12"/>
        <v>#N/A</v>
      </c>
      <c r="T30" s="774" t="s">
        <v>17</v>
      </c>
      <c r="U30" s="775" t="e">
        <f t="shared" si="13"/>
        <v>#N/A</v>
      </c>
      <c r="V30" s="774" t="s">
        <v>17</v>
      </c>
      <c r="W30" s="775" t="e">
        <f t="shared" si="14"/>
        <v>#N/A</v>
      </c>
      <c r="X30" s="1813"/>
      <c r="Y30" s="3272"/>
      <c r="Z30" s="1814" t="str">
        <f t="shared" si="15"/>
        <v>建筑面积</v>
      </c>
      <c r="AA30" s="1811" t="e">
        <f t="shared" si="3"/>
        <v>#N/A</v>
      </c>
      <c r="AB30" s="1811" t="e">
        <f t="shared" si="4"/>
        <v>#N/A</v>
      </c>
      <c r="AC30" s="1811" t="e">
        <f t="shared" si="5"/>
        <v>#N/A</v>
      </c>
    </row>
    <row r="31" spans="1:29" s="117" customFormat="1" ht="15">
      <c r="A31" s="473"/>
      <c r="B31" s="422" t="s">
        <v>2735</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272"/>
      <c r="Q31" s="1795" t="str">
        <f t="shared" si="11"/>
        <v>是否封闭</v>
      </c>
      <c r="R31" s="770" t="s">
        <v>17</v>
      </c>
      <c r="S31" s="771">
        <f t="shared" si="12"/>
        <v>100</v>
      </c>
      <c r="T31" s="770" t="s">
        <v>17</v>
      </c>
      <c r="U31" s="771">
        <f t="shared" si="13"/>
        <v>100</v>
      </c>
      <c r="V31" s="770" t="s">
        <v>17</v>
      </c>
      <c r="W31" s="771">
        <f t="shared" si="14"/>
        <v>100</v>
      </c>
      <c r="X31" s="772"/>
      <c r="Y31" s="3272"/>
      <c r="Z31" s="55" t="str">
        <f t="shared" si="15"/>
        <v>是否封闭</v>
      </c>
      <c r="AA31" s="773">
        <f t="shared" si="3"/>
        <v>1</v>
      </c>
      <c r="AB31" s="773">
        <f t="shared" si="4"/>
        <v>1</v>
      </c>
      <c r="AC31" s="773">
        <f t="shared" si="5"/>
        <v>1</v>
      </c>
    </row>
    <row r="32" spans="1:29" ht="15">
      <c r="A32" s="472"/>
      <c r="B32" s="2603">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272" t="s">
        <v>2561</v>
      </c>
      <c r="Q32" s="1810">
        <f t="shared" si="11"/>
        <v>111</v>
      </c>
      <c r="R32" s="774" t="s">
        <v>17</v>
      </c>
      <c r="S32" s="775">
        <f t="shared" si="12"/>
        <v>100</v>
      </c>
      <c r="T32" s="774" t="s">
        <v>17</v>
      </c>
      <c r="U32" s="775">
        <f t="shared" si="13"/>
        <v>100</v>
      </c>
      <c r="V32" s="774" t="s">
        <v>17</v>
      </c>
      <c r="W32" s="775">
        <f t="shared" si="14"/>
        <v>100</v>
      </c>
      <c r="X32" s="1813"/>
      <c r="Y32" s="3272" t="s">
        <v>2561</v>
      </c>
      <c r="Z32" s="1814">
        <f t="shared" si="15"/>
        <v>111</v>
      </c>
      <c r="AA32" s="1811">
        <f t="shared" si="3"/>
        <v>1</v>
      </c>
      <c r="AB32" s="1811">
        <f t="shared" si="4"/>
        <v>1</v>
      </c>
      <c r="AC32" s="1811">
        <f t="shared" si="5"/>
        <v>1</v>
      </c>
    </row>
    <row r="33" spans="1:29" ht="15">
      <c r="A33" s="472"/>
      <c r="B33" s="2603">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272"/>
      <c r="Q33" s="1810">
        <f t="shared" si="11"/>
        <v>111</v>
      </c>
      <c r="R33" s="774" t="s">
        <v>17</v>
      </c>
      <c r="S33" s="775">
        <f t="shared" si="12"/>
        <v>100</v>
      </c>
      <c r="T33" s="774" t="s">
        <v>17</v>
      </c>
      <c r="U33" s="775">
        <f t="shared" si="13"/>
        <v>100</v>
      </c>
      <c r="V33" s="774" t="s">
        <v>17</v>
      </c>
      <c r="W33" s="775">
        <f t="shared" si="14"/>
        <v>100</v>
      </c>
      <c r="X33" s="1813"/>
      <c r="Y33" s="3272"/>
      <c r="Z33" s="1814">
        <f t="shared" si="15"/>
        <v>111</v>
      </c>
      <c r="AA33" s="1811">
        <f t="shared" si="3"/>
        <v>1</v>
      </c>
      <c r="AB33" s="1811">
        <f t="shared" si="4"/>
        <v>1</v>
      </c>
      <c r="AC33" s="1811">
        <f t="shared" si="5"/>
        <v>1</v>
      </c>
    </row>
    <row r="34" spans="1:29" ht="15.75" thickBot="1">
      <c r="A34" s="478"/>
      <c r="B34" s="2605">
        <v>111</v>
      </c>
      <c r="C34" s="437"/>
      <c r="D34" s="438">
        <v>100</v>
      </c>
      <c r="E34" s="2700"/>
      <c r="F34" s="439">
        <f>SUMIF(95:95,E34,96:96)-SUMIF(95:95,C34,96:96)+100</f>
        <v>100</v>
      </c>
      <c r="G34" s="2700"/>
      <c r="H34" s="438">
        <f>SUMIF(95:95,G34,96:96)-SUMIF(95:95,C34,96:96)+100</f>
        <v>100</v>
      </c>
      <c r="I34" s="2700"/>
      <c r="J34" s="438">
        <f>SUMIF(95:95,I34,96:96)-SUMIF(95:95,C34,96:96)+100</f>
        <v>100</v>
      </c>
      <c r="K34" s="613"/>
      <c r="L34" s="1140"/>
      <c r="M34" s="1131"/>
      <c r="N34" s="1131"/>
      <c r="O34" s="1139"/>
      <c r="P34" s="3272"/>
      <c r="Q34" s="1810">
        <f t="shared" si="11"/>
        <v>111</v>
      </c>
      <c r="R34" s="774" t="s">
        <v>17</v>
      </c>
      <c r="S34" s="775">
        <f t="shared" si="12"/>
        <v>100</v>
      </c>
      <c r="T34" s="774" t="s">
        <v>17</v>
      </c>
      <c r="U34" s="775">
        <f t="shared" si="13"/>
        <v>100</v>
      </c>
      <c r="V34" s="774" t="s">
        <v>17</v>
      </c>
      <c r="W34" s="775">
        <f t="shared" si="14"/>
        <v>100</v>
      </c>
      <c r="X34" s="1813"/>
      <c r="Y34" s="3272"/>
      <c r="Z34" s="1814">
        <f t="shared" si="15"/>
        <v>111</v>
      </c>
      <c r="AA34" s="1811">
        <f t="shared" si="3"/>
        <v>1</v>
      </c>
      <c r="AB34" s="1811">
        <f t="shared" si="4"/>
        <v>1</v>
      </c>
      <c r="AC34" s="1811">
        <f t="shared" si="5"/>
        <v>1</v>
      </c>
    </row>
    <row r="35" spans="1:29" ht="15">
      <c r="A35" s="479" t="s">
        <v>2573</v>
      </c>
      <c r="B35" s="480"/>
      <c r="C35" s="1407" t="s">
        <v>1</v>
      </c>
      <c r="D35" s="1408"/>
      <c r="E35" s="1409"/>
      <c r="F35" s="1410"/>
      <c r="G35" s="1411"/>
      <c r="H35" s="1412"/>
      <c r="I35" s="1409"/>
      <c r="J35" s="1412"/>
      <c r="K35" s="783"/>
      <c r="L35" s="1143"/>
      <c r="M35" s="1144"/>
      <c r="N35" s="1131"/>
      <c r="O35" s="1144"/>
      <c r="P35" s="3265" t="str">
        <f>A35</f>
        <v>成交单价（元/平方米）</v>
      </c>
      <c r="Q35" s="3265"/>
      <c r="R35" s="3266">
        <f>E35</f>
        <v>0</v>
      </c>
      <c r="S35" s="3266"/>
      <c r="T35" s="3266">
        <f>G35</f>
        <v>0</v>
      </c>
      <c r="U35" s="3266"/>
      <c r="V35" s="3266">
        <f>I35</f>
        <v>0</v>
      </c>
      <c r="W35" s="3266"/>
      <c r="X35" s="759"/>
      <c r="Y35" s="781"/>
      <c r="Z35" s="759"/>
      <c r="AA35" s="759"/>
      <c r="AB35" s="759"/>
      <c r="AC35" s="759"/>
    </row>
    <row r="36" spans="1:29" ht="15.75" thickBot="1">
      <c r="A36" s="486" t="s">
        <v>2665</v>
      </c>
      <c r="B36" s="487"/>
      <c r="C36" s="1413" t="e">
        <f>R37</f>
        <v>#DIV/0!</v>
      </c>
      <c r="D36" s="1414"/>
      <c r="E36" s="1415" t="e">
        <f>R36</f>
        <v>#DIV/0!</v>
      </c>
      <c r="F36" s="1415"/>
      <c r="G36" s="1413" t="e">
        <f>T36</f>
        <v>#DIV/0!</v>
      </c>
      <c r="H36" s="1414"/>
      <c r="I36" s="1415" t="e">
        <f>V36</f>
        <v>#DIV/0!</v>
      </c>
      <c r="J36" s="1414"/>
      <c r="K36" s="784"/>
      <c r="L36" s="1143"/>
      <c r="M36" s="1144"/>
      <c r="N36" s="1131"/>
      <c r="O36" s="1144"/>
      <c r="P36" s="3265" t="str">
        <f>A36</f>
        <v>比较价值（元/平方米）</v>
      </c>
      <c r="Q36" s="3265"/>
      <c r="R36" s="3266" t="e">
        <f>IF(F1="售价",ROUND(PRODUCT(R35,AA7:AA34),0),ROUND(PRODUCT(R35,AA7:AA34),1))</f>
        <v>#DIV/0!</v>
      </c>
      <c r="S36" s="3266"/>
      <c r="T36" s="3266" t="e">
        <f>IF(F1="售价",ROUND(PRODUCT(T35,AB7:AB34),0),ROUND(PRODUCT(T35,AB7:AB34),1))</f>
        <v>#DIV/0!</v>
      </c>
      <c r="U36" s="3266"/>
      <c r="V36" s="3266" t="e">
        <f>IF(F1="售价",ROUND(PRODUCT(V35,AC7:AC34),0),ROUND(PRODUCT(V35,AC7:AC34),1))</f>
        <v>#DIV/0!</v>
      </c>
      <c r="W36" s="3266"/>
      <c r="X36" s="759"/>
      <c r="Y36" s="759"/>
      <c r="Z36" s="759"/>
      <c r="AA36" s="759"/>
      <c r="AB36" s="759"/>
      <c r="AC36" s="759"/>
    </row>
    <row r="37" spans="1:29" ht="15.75" thickBot="1">
      <c r="A37" s="492" t="s">
        <v>2666</v>
      </c>
      <c r="B37" s="493"/>
      <c r="C37" s="1417" t="e">
        <f>R37</f>
        <v>#DIV/0!</v>
      </c>
      <c r="D37" s="1417"/>
      <c r="E37" s="1417"/>
      <c r="F37" s="1417"/>
      <c r="G37" s="1417"/>
      <c r="H37" s="1417"/>
      <c r="I37" s="1417"/>
      <c r="J37" s="1417"/>
      <c r="K37" s="785"/>
      <c r="L37" s="1143"/>
      <c r="M37" s="1144"/>
      <c r="N37" s="1144"/>
      <c r="O37" s="1144"/>
      <c r="P37" s="3262" t="str">
        <f>A37</f>
        <v>估价对象XX用房的比较价值（楼面单价，元/平方米）</v>
      </c>
      <c r="Q37" s="3263"/>
      <c r="R37" s="3264" t="e">
        <f>IF(F1="售价",ROUND(AVERAGE(R36:V36),0),ROUND(AVERAGE(R36:V36),1))</f>
        <v>#DIV/0!</v>
      </c>
      <c r="S37" s="3264"/>
      <c r="T37" s="3264"/>
      <c r="U37" s="3264"/>
      <c r="V37" s="3264"/>
      <c r="W37" s="3264"/>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2667</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2668</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2669</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2670</v>
      </c>
      <c r="B45" s="759"/>
      <c r="C45" s="764"/>
      <c r="D45" s="764"/>
      <c r="E45" s="764"/>
      <c r="F45" s="765"/>
      <c r="G45" s="765"/>
      <c r="H45" s="764"/>
      <c r="I45" s="764"/>
      <c r="J45" s="764"/>
      <c r="K45" s="766"/>
      <c r="L45" s="767"/>
      <c r="M45" s="764"/>
      <c r="N45" s="764"/>
      <c r="O45" s="764"/>
      <c r="P45" s="503"/>
      <c r="Q45" s="504"/>
    </row>
    <row r="46" spans="1:29" s="508" customFormat="1" ht="15">
      <c r="A46" s="505" t="s">
        <v>2544</v>
      </c>
      <c r="B46" s="506"/>
      <c r="C46" s="1574" t="str">
        <f>YEAR(C7)&amp;"-"&amp;MONTH(C7)</f>
        <v>2019-5</v>
      </c>
      <c r="D46" s="1575">
        <f>EDATE(C46,-1)</f>
        <v>43556</v>
      </c>
      <c r="E46" s="1575">
        <f t="shared" ref="E46:O46" si="16">EDATE(D46,-1)</f>
        <v>43525</v>
      </c>
      <c r="F46" s="1575">
        <f t="shared" si="16"/>
        <v>43497</v>
      </c>
      <c r="G46" s="1575">
        <f t="shared" si="16"/>
        <v>43466</v>
      </c>
      <c r="H46" s="1575">
        <f t="shared" si="16"/>
        <v>43435</v>
      </c>
      <c r="I46" s="1575">
        <f t="shared" si="16"/>
        <v>43405</v>
      </c>
      <c r="J46" s="1575">
        <f t="shared" si="16"/>
        <v>43374</v>
      </c>
      <c r="K46" s="1575">
        <f t="shared" si="16"/>
        <v>43344</v>
      </c>
      <c r="L46" s="1575">
        <f t="shared" si="16"/>
        <v>43313</v>
      </c>
      <c r="M46" s="1575">
        <f t="shared" si="16"/>
        <v>43282</v>
      </c>
      <c r="N46" s="1575">
        <f t="shared" si="16"/>
        <v>43252</v>
      </c>
      <c r="O46" s="1575">
        <f t="shared" si="16"/>
        <v>43221</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2581</v>
      </c>
      <c r="B48" s="516"/>
      <c r="C48" s="517"/>
      <c r="D48" s="518"/>
      <c r="E48" s="518"/>
      <c r="F48" s="518"/>
      <c r="G48" s="518"/>
      <c r="H48" s="518"/>
      <c r="I48" s="518"/>
      <c r="J48" s="518"/>
      <c r="K48" s="518"/>
      <c r="L48" s="518"/>
      <c r="M48" s="519"/>
      <c r="N48" s="518"/>
      <c r="O48" s="520"/>
      <c r="P48" s="504"/>
      <c r="Q48" s="504"/>
    </row>
    <row r="49" spans="1:17" s="117" customFormat="1" ht="15">
      <c r="A49" s="521" t="s">
        <v>2546</v>
      </c>
      <c r="B49" s="510"/>
      <c r="C49" s="522" t="s">
        <v>2648</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2584</v>
      </c>
      <c r="B51" s="528" t="s">
        <v>2550</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2553</v>
      </c>
      <c r="C53" s="539" t="s">
        <v>2585</v>
      </c>
      <c r="D53" s="539" t="s">
        <v>2586</v>
      </c>
      <c r="E53" s="539" t="s">
        <v>2587</v>
      </c>
      <c r="F53" s="539" t="s">
        <v>2588</v>
      </c>
      <c r="G53" s="539" t="s">
        <v>2589</v>
      </c>
      <c r="H53" s="539" t="s">
        <v>2590</v>
      </c>
      <c r="I53" s="539" t="s">
        <v>2591</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2555</v>
      </c>
      <c r="B61" s="528" t="s">
        <v>2598</v>
      </c>
      <c r="C61" s="573" t="s">
        <v>2593</v>
      </c>
      <c r="D61" s="573" t="s">
        <v>2594</v>
      </c>
      <c r="E61" s="573" t="s">
        <v>2595</v>
      </c>
      <c r="F61" s="573" t="s">
        <v>2596</v>
      </c>
      <c r="G61" s="573" t="s">
        <v>2597</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2736</v>
      </c>
      <c r="C63" s="578" t="s">
        <v>2593</v>
      </c>
      <c r="D63" s="578" t="s">
        <v>2594</v>
      </c>
      <c r="E63" s="578" t="s">
        <v>2595</v>
      </c>
      <c r="F63" s="578" t="s">
        <v>2596</v>
      </c>
      <c r="G63" s="578" t="s">
        <v>2597</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2685</v>
      </c>
      <c r="C65" s="660" t="s">
        <v>2671</v>
      </c>
      <c r="D65" s="660" t="s">
        <v>2672</v>
      </c>
      <c r="E65" s="660" t="s">
        <v>2673</v>
      </c>
      <c r="F65" s="660" t="s">
        <v>2674</v>
      </c>
      <c r="G65" s="660" t="s">
        <v>2675</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2605</v>
      </c>
      <c r="C67" s="578" t="s">
        <v>2593</v>
      </c>
      <c r="D67" s="578" t="s">
        <v>2594</v>
      </c>
      <c r="E67" s="578" t="s">
        <v>2595</v>
      </c>
      <c r="F67" s="578" t="s">
        <v>2596</v>
      </c>
      <c r="G67" s="578" t="s">
        <v>2597</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2725</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2559</v>
      </c>
      <c r="B77" s="528" t="s">
        <v>2612</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2728</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2729</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2737</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2738</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2739</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4" type="noConversion"/>
  <conditionalFormatting sqref="F40 H40 J40">
    <cfRule type="containsText" dxfId="41" priority="14" stopIfTrue="1" operator="containsText" text="超过">
      <formula>NOT(ISERROR(SEARCH("超过",F40)))</formula>
    </cfRule>
  </conditionalFormatting>
  <conditionalFormatting sqref="J42">
    <cfRule type="containsText" dxfId="40" priority="13" stopIfTrue="1" operator="containsText" text="超过">
      <formula>NOT(ISERROR(SEARCH("超过",J42)))</formula>
    </cfRule>
  </conditionalFormatting>
  <conditionalFormatting sqref="H42">
    <cfRule type="containsText" dxfId="39" priority="12" stopIfTrue="1" operator="containsText" text="超过">
      <formula>NOT(ISERROR(SEARCH("超过",H42)))</formula>
    </cfRule>
  </conditionalFormatting>
  <conditionalFormatting sqref="F42">
    <cfRule type="containsText" dxfId="38" priority="11" stopIfTrue="1" operator="containsText" text="超过">
      <formula>NOT(ISERROR(SEARCH("超过",F42)))</formula>
    </cfRule>
  </conditionalFormatting>
  <conditionalFormatting sqref="F41 H41 J41">
    <cfRule type="containsText" dxfId="37" priority="10" stopIfTrue="1" operator="containsText" text="超过">
      <formula>NOT(ISERROR(SEARCH("超过",F41)))</formula>
    </cfRule>
  </conditionalFormatting>
  <conditionalFormatting sqref="E40">
    <cfRule type="expression" dxfId="36" priority="9" stopIfTrue="1">
      <formula>$F$40="超过30%"</formula>
    </cfRule>
  </conditionalFormatting>
  <conditionalFormatting sqref="G42">
    <cfRule type="expression" dxfId="35" priority="8" stopIfTrue="1">
      <formula>$H$54+$H$42="超过30%"</formula>
    </cfRule>
  </conditionalFormatting>
  <conditionalFormatting sqref="E41">
    <cfRule type="expression" dxfId="34" priority="7" stopIfTrue="1">
      <formula>$F$41="超过20%"</formula>
    </cfRule>
  </conditionalFormatting>
  <conditionalFormatting sqref="E42">
    <cfRule type="expression" dxfId="33" priority="6" stopIfTrue="1">
      <formula>$F$42="超过30%"</formula>
    </cfRule>
  </conditionalFormatting>
  <conditionalFormatting sqref="G40">
    <cfRule type="expression" dxfId="32" priority="5" stopIfTrue="1">
      <formula>$H$52+$H$40="超过30%"</formula>
    </cfRule>
  </conditionalFormatting>
  <conditionalFormatting sqref="G41">
    <cfRule type="expression" dxfId="31" priority="4" stopIfTrue="1">
      <formula>$H$53+$H$41="超过20%"</formula>
    </cfRule>
  </conditionalFormatting>
  <conditionalFormatting sqref="I40">
    <cfRule type="expression" dxfId="30" priority="3" stopIfTrue="1">
      <formula>$J$40="超过30%"</formula>
    </cfRule>
  </conditionalFormatting>
  <conditionalFormatting sqref="I41">
    <cfRule type="expression" dxfId="29" priority="2" stopIfTrue="1">
      <formula>$J$41="超过20%"</formula>
    </cfRule>
  </conditionalFormatting>
  <conditionalFormatting sqref="I42">
    <cfRule type="expression" dxfId="2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J33" sqref="J33"/>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2740</v>
      </c>
      <c r="B1" s="395"/>
      <c r="C1" s="396" t="s">
        <v>2741</v>
      </c>
      <c r="D1" s="755"/>
      <c r="E1" s="755"/>
      <c r="F1" s="754" t="s">
        <v>2639</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2323</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2325</v>
      </c>
      <c r="B3" s="609" t="e">
        <f>ROUND(IF(D3="",B2*10000/'数据-汇总表'!E3,B2*10000/D3),0)</f>
        <v>#DIV/0!</v>
      </c>
      <c r="C3" s="247" t="s">
        <v>2742</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2641</v>
      </c>
      <c r="B4" s="402"/>
      <c r="C4" s="3280" t="s">
        <v>2642</v>
      </c>
      <c r="D4" s="3281"/>
      <c r="E4" s="3282" t="s">
        <v>2643</v>
      </c>
      <c r="F4" s="3283"/>
      <c r="G4" s="3280" t="s">
        <v>2644</v>
      </c>
      <c r="H4" s="3281"/>
      <c r="I4" s="3280" t="s">
        <v>2645</v>
      </c>
      <c r="J4" s="3281"/>
      <c r="K4" s="610" t="s">
        <v>2646</v>
      </c>
      <c r="L4" s="1130"/>
      <c r="M4" s="1131"/>
      <c r="N4" s="1131"/>
      <c r="O4" s="1131"/>
      <c r="P4" s="3284" t="s">
        <v>2647</v>
      </c>
      <c r="Q4" s="3285"/>
      <c r="R4" s="3290" t="s">
        <v>2643</v>
      </c>
      <c r="S4" s="3291"/>
      <c r="T4" s="3290" t="s">
        <v>2644</v>
      </c>
      <c r="U4" s="3291"/>
      <c r="V4" s="3296" t="s">
        <v>2645</v>
      </c>
      <c r="W4" s="3296"/>
      <c r="X4" s="1813"/>
      <c r="Y4" s="3290" t="s">
        <v>2647</v>
      </c>
      <c r="Z4" s="3291"/>
      <c r="AA4" s="3277" t="s">
        <v>2643</v>
      </c>
      <c r="AB4" s="3278" t="s">
        <v>2644</v>
      </c>
      <c r="AC4" s="3277" t="s">
        <v>2645</v>
      </c>
    </row>
    <row r="5" spans="1:30" ht="15">
      <c r="A5" s="404"/>
      <c r="B5" s="405"/>
      <c r="C5" s="3299" t="s">
        <v>2538</v>
      </c>
      <c r="D5" s="3300"/>
      <c r="E5" s="3306" t="s">
        <v>2539</v>
      </c>
      <c r="F5" s="3307"/>
      <c r="G5" s="3299" t="s">
        <v>2540</v>
      </c>
      <c r="H5" s="3300"/>
      <c r="I5" s="3299" t="s">
        <v>2541</v>
      </c>
      <c r="J5" s="3300"/>
      <c r="K5" s="610"/>
      <c r="L5" s="1130"/>
      <c r="M5" s="1131"/>
      <c r="N5" s="1131"/>
      <c r="O5" s="1131"/>
      <c r="P5" s="3286"/>
      <c r="Q5" s="3287"/>
      <c r="R5" s="3292"/>
      <c r="S5" s="3293"/>
      <c r="T5" s="3292"/>
      <c r="U5" s="3293"/>
      <c r="V5" s="3296"/>
      <c r="W5" s="3296"/>
      <c r="X5" s="1813"/>
      <c r="Y5" s="3292"/>
      <c r="Z5" s="3293"/>
      <c r="AA5" s="3278"/>
      <c r="AB5" s="3278"/>
      <c r="AC5" s="3278"/>
    </row>
    <row r="6" spans="1:30" ht="15.75" thickBot="1">
      <c r="A6" s="406"/>
      <c r="B6" s="407"/>
      <c r="C6" s="3297" t="s">
        <v>2542</v>
      </c>
      <c r="D6" s="3298"/>
      <c r="E6" s="3304" t="s">
        <v>2542</v>
      </c>
      <c r="F6" s="3305"/>
      <c r="G6" s="3297" t="s">
        <v>2542</v>
      </c>
      <c r="H6" s="3298"/>
      <c r="I6" s="3297" t="s">
        <v>2542</v>
      </c>
      <c r="J6" s="3298"/>
      <c r="K6" s="610" t="s">
        <v>2543</v>
      </c>
      <c r="L6" s="1130"/>
      <c r="M6" s="1131"/>
      <c r="N6" s="1131"/>
      <c r="O6" s="1131"/>
      <c r="P6" s="3288"/>
      <c r="Q6" s="3289"/>
      <c r="R6" s="3292"/>
      <c r="S6" s="3293"/>
      <c r="T6" s="3294"/>
      <c r="U6" s="3295"/>
      <c r="V6" s="3296"/>
      <c r="W6" s="3296"/>
      <c r="X6" s="1813"/>
      <c r="Y6" s="3294"/>
      <c r="Z6" s="3295"/>
      <c r="AA6" s="3279"/>
      <c r="AB6" s="3279"/>
      <c r="AC6" s="3279"/>
    </row>
    <row r="7" spans="1:30" s="117" customFormat="1" ht="15.75" thickBot="1">
      <c r="A7" s="408" t="s">
        <v>2544</v>
      </c>
      <c r="B7" s="409"/>
      <c r="C7" s="410">
        <f>'数据-取费表'!B2</f>
        <v>43592</v>
      </c>
      <c r="D7" s="411">
        <v>100</v>
      </c>
      <c r="E7" s="412">
        <v>42309</v>
      </c>
      <c r="F7" s="413">
        <f>SUMIF(70:70,YEAR(E7)&amp;"-"&amp;INT((MONTH(E7)+2)/3),71:71)</f>
        <v>0</v>
      </c>
      <c r="G7" s="2699">
        <v>42309</v>
      </c>
      <c r="H7" s="411">
        <f>SUMIF(70:70,YEAR(G7)&amp;"-"&amp;INT((MONTH(G7)+2)/3),71:71)</f>
        <v>0</v>
      </c>
      <c r="I7" s="2699">
        <v>42036</v>
      </c>
      <c r="J7" s="411">
        <f>SUMIF(70:70,YEAR(I7)&amp;"-"&amp;INT((MONTH(I7)+2)/3),71:71)</f>
        <v>0</v>
      </c>
      <c r="K7" s="611"/>
      <c r="L7" s="1132"/>
      <c r="M7" s="1133"/>
      <c r="N7" s="1133"/>
      <c r="O7" s="1133"/>
      <c r="P7" s="3301" t="s">
        <v>2545</v>
      </c>
      <c r="Q7" s="3303"/>
      <c r="R7" s="770" t="s">
        <v>17</v>
      </c>
      <c r="S7" s="771">
        <f t="shared" ref="S7:S15" si="0">F7</f>
        <v>0</v>
      </c>
      <c r="T7" s="770" t="s">
        <v>17</v>
      </c>
      <c r="U7" s="771">
        <f t="shared" ref="U7:U15" si="1">H7</f>
        <v>0</v>
      </c>
      <c r="V7" s="770" t="s">
        <v>17</v>
      </c>
      <c r="W7" s="771">
        <f t="shared" ref="W7:W15" si="2">J7</f>
        <v>0</v>
      </c>
      <c r="X7" s="772"/>
      <c r="Y7" s="3301" t="s">
        <v>2545</v>
      </c>
      <c r="Z7" s="3302"/>
      <c r="AA7" s="773" t="e">
        <f>D7/F7</f>
        <v>#DIV/0!</v>
      </c>
      <c r="AB7" s="773" t="e">
        <f>D7/H7</f>
        <v>#DIV/0!</v>
      </c>
      <c r="AC7" s="773" t="e">
        <f>D7/J7</f>
        <v>#DIV/0!</v>
      </c>
    </row>
    <row r="8" spans="1:30" s="117" customFormat="1" ht="15.75" thickBot="1">
      <c r="A8" s="408" t="s">
        <v>2546</v>
      </c>
      <c r="B8" s="409"/>
      <c r="C8" s="414" t="s">
        <v>2547</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301" t="s">
        <v>2548</v>
      </c>
      <c r="Q8" s="3302"/>
      <c r="R8" s="770" t="s">
        <v>17</v>
      </c>
      <c r="S8" s="771">
        <f t="shared" si="0"/>
        <v>0</v>
      </c>
      <c r="T8" s="770" t="s">
        <v>17</v>
      </c>
      <c r="U8" s="771">
        <f t="shared" si="1"/>
        <v>0</v>
      </c>
      <c r="V8" s="770" t="s">
        <v>17</v>
      </c>
      <c r="W8" s="771">
        <f t="shared" si="2"/>
        <v>0</v>
      </c>
      <c r="X8" s="772"/>
      <c r="Y8" s="3301" t="s">
        <v>2548</v>
      </c>
      <c r="Z8" s="3302"/>
      <c r="AA8" s="773" t="e">
        <f t="shared" ref="AA8:AA45" si="3">D8/F8</f>
        <v>#DIV/0!</v>
      </c>
      <c r="AB8" s="773" t="e">
        <f t="shared" ref="AB8:AB45" si="4">D8/H8</f>
        <v>#DIV/0!</v>
      </c>
      <c r="AC8" s="773" t="e">
        <f t="shared" ref="AC8:AC45" si="5">D8/J8</f>
        <v>#DIV/0!</v>
      </c>
    </row>
    <row r="9" spans="1:30" s="117" customFormat="1">
      <c r="A9" s="415" t="s">
        <v>2549</v>
      </c>
      <c r="B9" s="71" t="s">
        <v>2550</v>
      </c>
      <c r="C9" s="2702"/>
      <c r="D9" s="135">
        <v>100</v>
      </c>
      <c r="E9" s="2702"/>
      <c r="F9" s="135">
        <f>SUMIF(75:75,E9,76:76)-SUMIF(75:75,C9,76:76)+100</f>
        <v>100</v>
      </c>
      <c r="G9" s="2702"/>
      <c r="H9" s="135">
        <f>SUMIF(75:75,G9,76:76)-SUMIF(75:75,C9,76:76)+100</f>
        <v>100</v>
      </c>
      <c r="I9" s="2702"/>
      <c r="J9" s="135">
        <f>SUMIF(75:75,I9,76:76)-SUMIF(75:75,C9,76:76)+100</f>
        <v>100</v>
      </c>
      <c r="K9" s="611"/>
      <c r="L9" s="1132"/>
      <c r="M9" s="1133"/>
      <c r="N9" s="1133"/>
      <c r="O9" s="1134"/>
      <c r="P9" s="3265" t="s">
        <v>2551</v>
      </c>
      <c r="Q9" s="1795" t="str">
        <f t="shared" ref="Q9:Q15" si="6">B9</f>
        <v>用途</v>
      </c>
      <c r="R9" s="770" t="s">
        <v>17</v>
      </c>
      <c r="S9" s="771">
        <f t="shared" si="0"/>
        <v>100</v>
      </c>
      <c r="T9" s="770" t="s">
        <v>17</v>
      </c>
      <c r="U9" s="771">
        <f t="shared" si="1"/>
        <v>100</v>
      </c>
      <c r="V9" s="770" t="s">
        <v>17</v>
      </c>
      <c r="W9" s="771">
        <f t="shared" si="2"/>
        <v>100</v>
      </c>
      <c r="X9" s="772"/>
      <c r="Y9" s="3042" t="s">
        <v>2552</v>
      </c>
      <c r="Z9" s="55" t="str">
        <f t="shared" ref="Z9:Z15" si="7">Q9</f>
        <v>用途</v>
      </c>
      <c r="AA9" s="773">
        <f t="shared" si="3"/>
        <v>1</v>
      </c>
      <c r="AB9" s="773">
        <f t="shared" si="4"/>
        <v>1</v>
      </c>
      <c r="AC9" s="773">
        <f t="shared" si="5"/>
        <v>1</v>
      </c>
    </row>
    <row r="10" spans="1:30" s="427" customFormat="1" ht="27">
      <c r="A10" s="421"/>
      <c r="B10" s="422" t="s">
        <v>2553</v>
      </c>
      <c r="C10" s="432"/>
      <c r="D10" s="136">
        <v>100</v>
      </c>
      <c r="E10" s="465"/>
      <c r="F10" s="136">
        <f ca="1">ROUND(100/'数据-取费表'!G16,0)</f>
        <v>124</v>
      </c>
      <c r="G10" s="463"/>
      <c r="H10" s="136">
        <f ca="1">ROUND(100/'数据-取费表'!G16,0)</f>
        <v>124</v>
      </c>
      <c r="I10" s="463"/>
      <c r="J10" s="136">
        <f ca="1">ROUND(100/'数据-取费表'!G16,0)</f>
        <v>124</v>
      </c>
      <c r="K10" s="672"/>
      <c r="L10" s="1135"/>
      <c r="M10" s="1136"/>
      <c r="N10" s="1136"/>
      <c r="O10" s="1137"/>
      <c r="P10" s="3265"/>
      <c r="Q10" s="1795" t="str">
        <f t="shared" si="6"/>
        <v>土地使用年限（年）</v>
      </c>
      <c r="R10" s="770" t="s">
        <v>17</v>
      </c>
      <c r="S10" s="771">
        <f t="shared" ca="1" si="0"/>
        <v>124</v>
      </c>
      <c r="T10" s="770" t="s">
        <v>17</v>
      </c>
      <c r="U10" s="771">
        <f t="shared" ca="1" si="1"/>
        <v>124</v>
      </c>
      <c r="V10" s="770" t="s">
        <v>17</v>
      </c>
      <c r="W10" s="771">
        <f t="shared" ca="1" si="2"/>
        <v>124</v>
      </c>
      <c r="X10" s="772"/>
      <c r="Y10" s="3042"/>
      <c r="Z10" s="55" t="str">
        <f t="shared" si="7"/>
        <v>土地使用年限（年）</v>
      </c>
      <c r="AA10" s="773">
        <f t="shared" ca="1" si="3"/>
        <v>0.80645161290322576</v>
      </c>
      <c r="AB10" s="773">
        <f t="shared" ca="1" si="4"/>
        <v>0.80645161290322576</v>
      </c>
      <c r="AC10" s="773">
        <f t="shared" ca="1" si="5"/>
        <v>0.80645161290322576</v>
      </c>
    </row>
    <row r="11" spans="1:30" ht="15">
      <c r="A11" s="428"/>
      <c r="B11" s="422" t="s">
        <v>2554</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265"/>
      <c r="Q11" s="1795" t="str">
        <f t="shared" si="6"/>
        <v>容积率</v>
      </c>
      <c r="R11" s="770" t="s">
        <v>17</v>
      </c>
      <c r="S11" s="771" t="e">
        <f t="shared" si="0"/>
        <v>#N/A</v>
      </c>
      <c r="T11" s="770" t="s">
        <v>17</v>
      </c>
      <c r="U11" s="771" t="e">
        <f t="shared" si="1"/>
        <v>#N/A</v>
      </c>
      <c r="V11" s="770" t="s">
        <v>17</v>
      </c>
      <c r="W11" s="771" t="e">
        <f t="shared" si="2"/>
        <v>#N/A</v>
      </c>
      <c r="X11" s="772"/>
      <c r="Y11" s="3042"/>
      <c r="Z11" s="55" t="str">
        <f t="shared" si="7"/>
        <v>容积率</v>
      </c>
      <c r="AA11" s="773" t="e">
        <f t="shared" si="3"/>
        <v>#N/A</v>
      </c>
      <c r="AB11" s="773" t="e">
        <f t="shared" si="4"/>
        <v>#N/A</v>
      </c>
      <c r="AC11" s="773" t="e">
        <f t="shared" si="5"/>
        <v>#N/A</v>
      </c>
    </row>
    <row r="12" spans="1:30" s="117" customFormat="1" ht="15">
      <c r="A12" s="431"/>
      <c r="B12" s="2603" t="s">
        <v>2743</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265"/>
      <c r="Q12" s="1795" t="str">
        <f t="shared" si="6"/>
        <v>配建</v>
      </c>
      <c r="R12" s="770" t="s">
        <v>17</v>
      </c>
      <c r="S12" s="771">
        <f t="shared" si="0"/>
        <v>100</v>
      </c>
      <c r="T12" s="770" t="s">
        <v>17</v>
      </c>
      <c r="U12" s="771">
        <f t="shared" si="1"/>
        <v>100</v>
      </c>
      <c r="V12" s="770" t="s">
        <v>17</v>
      </c>
      <c r="W12" s="771">
        <f t="shared" si="2"/>
        <v>100</v>
      </c>
      <c r="X12" s="772"/>
      <c r="Y12" s="3042"/>
      <c r="Z12" s="55" t="str">
        <f t="shared" si="7"/>
        <v>配建</v>
      </c>
      <c r="AA12" s="773">
        <f>D12/F12</f>
        <v>1</v>
      </c>
      <c r="AB12" s="773">
        <f>D12/H12</f>
        <v>1</v>
      </c>
      <c r="AC12" s="773">
        <f>D12/J12</f>
        <v>1</v>
      </c>
    </row>
    <row r="13" spans="1:30" ht="15">
      <c r="A13" s="428"/>
      <c r="B13" s="2603">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265"/>
      <c r="Q13" s="1795">
        <f t="shared" si="6"/>
        <v>111</v>
      </c>
      <c r="R13" s="770" t="s">
        <v>17</v>
      </c>
      <c r="S13" s="771">
        <f t="shared" si="0"/>
        <v>100</v>
      </c>
      <c r="T13" s="770" t="s">
        <v>17</v>
      </c>
      <c r="U13" s="771">
        <f t="shared" si="1"/>
        <v>100</v>
      </c>
      <c r="V13" s="770" t="s">
        <v>17</v>
      </c>
      <c r="W13" s="771">
        <f t="shared" si="2"/>
        <v>100</v>
      </c>
      <c r="X13" s="772"/>
      <c r="Y13" s="3042"/>
      <c r="Z13" s="55">
        <f t="shared" si="7"/>
        <v>111</v>
      </c>
      <c r="AA13" s="773">
        <f>D13/F13</f>
        <v>1</v>
      </c>
      <c r="AB13" s="773">
        <f>D13/H13</f>
        <v>1</v>
      </c>
      <c r="AC13" s="773">
        <f>D13/J13</f>
        <v>1</v>
      </c>
    </row>
    <row r="14" spans="1:30" ht="15.75" thickBot="1">
      <c r="A14" s="436"/>
      <c r="B14" s="2605">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265"/>
      <c r="Q14" s="1795">
        <f t="shared" si="6"/>
        <v>111</v>
      </c>
      <c r="R14" s="770" t="s">
        <v>17</v>
      </c>
      <c r="S14" s="771">
        <f t="shared" si="0"/>
        <v>100</v>
      </c>
      <c r="T14" s="770" t="s">
        <v>17</v>
      </c>
      <c r="U14" s="771">
        <f t="shared" si="1"/>
        <v>100</v>
      </c>
      <c r="V14" s="770" t="s">
        <v>17</v>
      </c>
      <c r="W14" s="771">
        <f t="shared" si="2"/>
        <v>100</v>
      </c>
      <c r="X14" s="772"/>
      <c r="Y14" s="3042"/>
      <c r="Z14" s="55">
        <f t="shared" si="7"/>
        <v>111</v>
      </c>
      <c r="AA14" s="773">
        <f>D14/F14</f>
        <v>1</v>
      </c>
      <c r="AB14" s="773">
        <f>D14/H14</f>
        <v>1</v>
      </c>
      <c r="AC14" s="773">
        <f>D14/J14</f>
        <v>1</v>
      </c>
    </row>
    <row r="15" spans="1:30" ht="99.75">
      <c r="A15" s="440" t="s">
        <v>2555</v>
      </c>
      <c r="B15" s="69" t="s">
        <v>2083</v>
      </c>
      <c r="C15" s="2606"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267" t="s">
        <v>2556</v>
      </c>
      <c r="Q15" s="1810" t="str">
        <f t="shared" si="6"/>
        <v>居住社区成熟度</v>
      </c>
      <c r="R15" s="774" t="s">
        <v>17</v>
      </c>
      <c r="S15" s="775">
        <f t="shared" si="0"/>
        <v>100</v>
      </c>
      <c r="T15" s="774" t="s">
        <v>17</v>
      </c>
      <c r="U15" s="775">
        <f t="shared" si="1"/>
        <v>100</v>
      </c>
      <c r="V15" s="774" t="s">
        <v>17</v>
      </c>
      <c r="W15" s="775">
        <f t="shared" si="2"/>
        <v>100</v>
      </c>
      <c r="X15" s="1813"/>
      <c r="Y15" s="3267" t="s">
        <v>2556</v>
      </c>
      <c r="Z15" s="1814" t="str">
        <f t="shared" si="7"/>
        <v>居住社区成熟度</v>
      </c>
      <c r="AA15" s="1811">
        <f t="shared" si="3"/>
        <v>1</v>
      </c>
      <c r="AB15" s="1811">
        <f t="shared" si="4"/>
        <v>1</v>
      </c>
      <c r="AC15" s="1811">
        <f t="shared" si="5"/>
        <v>1</v>
      </c>
    </row>
    <row r="16" spans="1:30" ht="15">
      <c r="A16" s="428"/>
      <c r="B16" s="446"/>
      <c r="C16" s="447"/>
      <c r="D16" s="448"/>
      <c r="E16" s="2608"/>
      <c r="F16" s="448"/>
      <c r="G16" s="2608"/>
      <c r="H16" s="450"/>
      <c r="I16" s="2607"/>
      <c r="J16" s="448"/>
      <c r="K16" s="672"/>
      <c r="L16" s="1140"/>
      <c r="M16" s="1131"/>
      <c r="N16" s="1131"/>
      <c r="O16" s="1139"/>
      <c r="P16" s="3268"/>
      <c r="Q16" s="1810"/>
      <c r="R16" s="774"/>
      <c r="S16" s="775"/>
      <c r="T16" s="774"/>
      <c r="U16" s="775"/>
      <c r="V16" s="774"/>
      <c r="W16" s="775"/>
      <c r="X16" s="1813"/>
      <c r="Y16" s="3268"/>
      <c r="Z16" s="1814"/>
      <c r="AA16" s="1811">
        <v>1</v>
      </c>
      <c r="AB16" s="1811">
        <v>1</v>
      </c>
      <c r="AC16" s="1811">
        <v>1</v>
      </c>
    </row>
    <row r="17" spans="1:29" ht="71.25">
      <c r="A17" s="428"/>
      <c r="B17" s="451" t="s">
        <v>2649</v>
      </c>
      <c r="C17" s="2667"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268"/>
      <c r="Q17" s="1810" t="str">
        <f>B17</f>
        <v>商业繁华度</v>
      </c>
      <c r="R17" s="774" t="s">
        <v>17</v>
      </c>
      <c r="S17" s="775">
        <f>F17</f>
        <v>100</v>
      </c>
      <c r="T17" s="774" t="s">
        <v>17</v>
      </c>
      <c r="U17" s="775">
        <f>H17</f>
        <v>100</v>
      </c>
      <c r="V17" s="774" t="s">
        <v>17</v>
      </c>
      <c r="W17" s="775">
        <f>J17</f>
        <v>100</v>
      </c>
      <c r="X17" s="1813"/>
      <c r="Y17" s="3268"/>
      <c r="Z17" s="1814" t="str">
        <f>Q17</f>
        <v>商业繁华度</v>
      </c>
      <c r="AA17" s="1811">
        <f t="shared" si="3"/>
        <v>1</v>
      </c>
      <c r="AB17" s="1811">
        <f t="shared" si="4"/>
        <v>1</v>
      </c>
      <c r="AC17" s="1811">
        <f t="shared" si="5"/>
        <v>1</v>
      </c>
    </row>
    <row r="18" spans="1:29" ht="15">
      <c r="A18" s="428"/>
      <c r="B18" s="456"/>
      <c r="C18" s="2611"/>
      <c r="D18" s="450"/>
      <c r="E18" s="2613"/>
      <c r="F18" s="450"/>
      <c r="G18" s="2613"/>
      <c r="H18" s="448"/>
      <c r="I18" s="2612"/>
      <c r="J18" s="448"/>
      <c r="K18" s="672"/>
      <c r="L18" s="1140"/>
      <c r="M18" s="1131"/>
      <c r="N18" s="1131"/>
      <c r="O18" s="1139"/>
      <c r="P18" s="3268"/>
      <c r="Q18" s="1810"/>
      <c r="R18" s="774"/>
      <c r="S18" s="775"/>
      <c r="T18" s="774"/>
      <c r="U18" s="775"/>
      <c r="V18" s="774"/>
      <c r="W18" s="775"/>
      <c r="X18" s="1813"/>
      <c r="Y18" s="3268"/>
      <c r="Z18" s="1814"/>
      <c r="AA18" s="1811">
        <v>1</v>
      </c>
      <c r="AB18" s="1811">
        <v>1</v>
      </c>
      <c r="AC18" s="1811">
        <v>1</v>
      </c>
    </row>
    <row r="19" spans="1:29" ht="71.25">
      <c r="A19" s="428"/>
      <c r="B19" s="451" t="s">
        <v>2683</v>
      </c>
      <c r="C19" s="2667"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268"/>
      <c r="Q19" s="1810" t="str">
        <f>B19</f>
        <v>办公集聚程度</v>
      </c>
      <c r="R19" s="774" t="s">
        <v>17</v>
      </c>
      <c r="S19" s="775">
        <f>F19</f>
        <v>100</v>
      </c>
      <c r="T19" s="774" t="s">
        <v>17</v>
      </c>
      <c r="U19" s="775">
        <f>H19</f>
        <v>100</v>
      </c>
      <c r="V19" s="774" t="s">
        <v>17</v>
      </c>
      <c r="W19" s="775">
        <f>J19</f>
        <v>100</v>
      </c>
      <c r="X19" s="1813"/>
      <c r="Y19" s="3268"/>
      <c r="Z19" s="1814" t="str">
        <f>Q19</f>
        <v>办公集聚程度</v>
      </c>
      <c r="AA19" s="1811">
        <f t="shared" si="3"/>
        <v>1</v>
      </c>
      <c r="AB19" s="1811">
        <f t="shared" si="4"/>
        <v>1</v>
      </c>
      <c r="AC19" s="1811">
        <f t="shared" si="5"/>
        <v>1</v>
      </c>
    </row>
    <row r="20" spans="1:29" ht="15">
      <c r="A20" s="428"/>
      <c r="B20" s="456"/>
      <c r="C20" s="447"/>
      <c r="D20" s="448"/>
      <c r="E20" s="2608"/>
      <c r="F20" s="448"/>
      <c r="G20" s="2608"/>
      <c r="H20" s="448"/>
      <c r="I20" s="2607"/>
      <c r="J20" s="448"/>
      <c r="K20" s="672"/>
      <c r="L20" s="1140"/>
      <c r="M20" s="1131"/>
      <c r="N20" s="1131"/>
      <c r="O20" s="1139"/>
      <c r="P20" s="3268"/>
      <c r="Q20" s="1810"/>
      <c r="R20" s="774"/>
      <c r="S20" s="775"/>
      <c r="T20" s="774"/>
      <c r="U20" s="775"/>
      <c r="V20" s="774"/>
      <c r="W20" s="775"/>
      <c r="X20" s="1813"/>
      <c r="Y20" s="3268"/>
      <c r="Z20" s="1814"/>
      <c r="AA20" s="1811">
        <v>1</v>
      </c>
      <c r="AB20" s="1811">
        <v>1</v>
      </c>
      <c r="AC20" s="1811">
        <v>1</v>
      </c>
    </row>
    <row r="21" spans="1:29" ht="85.5">
      <c r="A21" s="428"/>
      <c r="B21" s="451" t="s">
        <v>2705</v>
      </c>
      <c r="C21" s="2610"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268"/>
      <c r="Q21" s="1810" t="str">
        <f>B21</f>
        <v>交通便捷度</v>
      </c>
      <c r="R21" s="774" t="s">
        <v>17</v>
      </c>
      <c r="S21" s="775">
        <f>F21</f>
        <v>100</v>
      </c>
      <c r="T21" s="774" t="s">
        <v>17</v>
      </c>
      <c r="U21" s="775">
        <f>H21</f>
        <v>100</v>
      </c>
      <c r="V21" s="774" t="s">
        <v>17</v>
      </c>
      <c r="W21" s="775">
        <f>J21</f>
        <v>100</v>
      </c>
      <c r="X21" s="1813"/>
      <c r="Y21" s="3268"/>
      <c r="Z21" s="1814" t="str">
        <f>Q21</f>
        <v>交通便捷度</v>
      </c>
      <c r="AA21" s="1811">
        <f t="shared" si="3"/>
        <v>1</v>
      </c>
      <c r="AB21" s="1811">
        <f t="shared" si="4"/>
        <v>1</v>
      </c>
      <c r="AC21" s="1811">
        <f t="shared" si="5"/>
        <v>1</v>
      </c>
    </row>
    <row r="22" spans="1:29" ht="15">
      <c r="A22" s="428"/>
      <c r="B22" s="1384"/>
      <c r="C22" s="447"/>
      <c r="D22" s="450"/>
      <c r="E22" s="2608"/>
      <c r="F22" s="448"/>
      <c r="G22" s="2608"/>
      <c r="H22" s="448"/>
      <c r="I22" s="2607"/>
      <c r="J22" s="448"/>
      <c r="K22" s="672"/>
      <c r="L22" s="1140"/>
      <c r="M22" s="1131"/>
      <c r="N22" s="1131"/>
      <c r="O22" s="1139"/>
      <c r="P22" s="3268"/>
      <c r="Q22" s="1810"/>
      <c r="R22" s="774"/>
      <c r="S22" s="775"/>
      <c r="T22" s="774"/>
      <c r="U22" s="775"/>
      <c r="V22" s="774"/>
      <c r="W22" s="775"/>
      <c r="X22" s="1813"/>
      <c r="Y22" s="3268"/>
      <c r="Z22" s="1814"/>
      <c r="AA22" s="1811">
        <v>1</v>
      </c>
      <c r="AB22" s="1811">
        <v>1</v>
      </c>
      <c r="AC22" s="1811">
        <v>1</v>
      </c>
    </row>
    <row r="23" spans="1:29" ht="15">
      <c r="A23" s="404"/>
      <c r="B23" s="451" t="s">
        <v>2744</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268"/>
      <c r="Q23" s="1810" t="str">
        <f t="shared" ref="Q23:Q37" si="8">B23</f>
        <v>区域土地利用方向</v>
      </c>
      <c r="R23" s="774" t="s">
        <v>17</v>
      </c>
      <c r="S23" s="775">
        <f>F23</f>
        <v>100</v>
      </c>
      <c r="T23" s="774" t="s">
        <v>17</v>
      </c>
      <c r="U23" s="775">
        <f>H23</f>
        <v>100</v>
      </c>
      <c r="V23" s="774" t="s">
        <v>17</v>
      </c>
      <c r="W23" s="775">
        <f>J23</f>
        <v>100</v>
      </c>
      <c r="X23" s="1813"/>
      <c r="Y23" s="3268"/>
      <c r="Z23" s="1814" t="str">
        <f>Q23</f>
        <v>区域土地利用方向</v>
      </c>
      <c r="AA23" s="1811">
        <f t="shared" si="3"/>
        <v>1</v>
      </c>
      <c r="AB23" s="1811">
        <f t="shared" si="4"/>
        <v>1</v>
      </c>
      <c r="AC23" s="1811">
        <f t="shared" si="5"/>
        <v>1</v>
      </c>
    </row>
    <row r="24" spans="1:29" ht="15">
      <c r="A24" s="404"/>
      <c r="B24" s="456"/>
      <c r="C24" s="616"/>
      <c r="D24" s="448"/>
      <c r="E24" s="2608"/>
      <c r="F24" s="448"/>
      <c r="G24" s="2607"/>
      <c r="H24" s="448"/>
      <c r="I24" s="2607"/>
      <c r="J24" s="448"/>
      <c r="K24" s="812"/>
      <c r="L24" s="1140"/>
      <c r="M24" s="1131"/>
      <c r="N24" s="1131"/>
      <c r="O24" s="1139"/>
      <c r="P24" s="3268"/>
      <c r="Q24" s="1810"/>
      <c r="R24" s="774"/>
      <c r="S24" s="775"/>
      <c r="T24" s="774"/>
      <c r="U24" s="775"/>
      <c r="V24" s="774"/>
      <c r="W24" s="775"/>
      <c r="X24" s="1813"/>
      <c r="Y24" s="3268"/>
      <c r="Z24" s="1814"/>
      <c r="AA24" s="1811"/>
      <c r="AB24" s="1811"/>
      <c r="AC24" s="1811"/>
    </row>
    <row r="25" spans="1:29" ht="57">
      <c r="A25" s="404"/>
      <c r="B25" s="1384" t="s">
        <v>2745</v>
      </c>
      <c r="C25" s="2667"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268"/>
      <c r="Q25" s="1810" t="str">
        <f t="shared" si="8"/>
        <v>自然及人文环境状况</v>
      </c>
      <c r="R25" s="774" t="s">
        <v>17</v>
      </c>
      <c r="S25" s="775">
        <f>F25</f>
        <v>100</v>
      </c>
      <c r="T25" s="774" t="s">
        <v>17</v>
      </c>
      <c r="U25" s="775">
        <f>H25</f>
        <v>100</v>
      </c>
      <c r="V25" s="774" t="s">
        <v>17</v>
      </c>
      <c r="W25" s="775">
        <f>J25</f>
        <v>100</v>
      </c>
      <c r="X25" s="1813"/>
      <c r="Y25" s="3268"/>
      <c r="Z25" s="1814" t="str">
        <f>Q25</f>
        <v>自然及人文环境状况</v>
      </c>
      <c r="AA25" s="1811">
        <f t="shared" si="3"/>
        <v>1</v>
      </c>
      <c r="AB25" s="1811">
        <f t="shared" si="4"/>
        <v>1</v>
      </c>
      <c r="AC25" s="1811">
        <f t="shared" si="5"/>
        <v>1</v>
      </c>
    </row>
    <row r="26" spans="1:29" ht="15">
      <c r="A26" s="404"/>
      <c r="B26" s="456"/>
      <c r="C26" s="447"/>
      <c r="D26" s="448"/>
      <c r="E26" s="2614"/>
      <c r="F26" s="448"/>
      <c r="G26" s="2614"/>
      <c r="H26" s="448"/>
      <c r="I26" s="447"/>
      <c r="J26" s="448"/>
      <c r="K26" s="672"/>
      <c r="L26" s="1140"/>
      <c r="M26" s="1131"/>
      <c r="N26" s="1131"/>
      <c r="O26" s="1139"/>
      <c r="P26" s="3268"/>
      <c r="Q26" s="1810"/>
      <c r="R26" s="774"/>
      <c r="S26" s="775"/>
      <c r="T26" s="774"/>
      <c r="U26" s="775"/>
      <c r="V26" s="774"/>
      <c r="W26" s="775"/>
      <c r="X26" s="1813"/>
      <c r="Y26" s="3268"/>
      <c r="Z26" s="1814"/>
      <c r="AA26" s="1811">
        <v>1</v>
      </c>
      <c r="AB26" s="1811">
        <v>1</v>
      </c>
      <c r="AC26" s="1811">
        <v>1</v>
      </c>
    </row>
    <row r="27" spans="1:29" s="117" customFormat="1" ht="42.75">
      <c r="A27" s="649"/>
      <c r="B27" s="1384" t="s">
        <v>2650</v>
      </c>
      <c r="C27" s="2610"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268"/>
      <c r="Q27" s="1795" t="str">
        <f t="shared" si="8"/>
        <v>公共配套设施</v>
      </c>
      <c r="R27" s="770" t="s">
        <v>17</v>
      </c>
      <c r="S27" s="771">
        <f>F27</f>
        <v>100</v>
      </c>
      <c r="T27" s="770" t="s">
        <v>17</v>
      </c>
      <c r="U27" s="771">
        <f>H27</f>
        <v>100</v>
      </c>
      <c r="V27" s="770" t="s">
        <v>17</v>
      </c>
      <c r="W27" s="771">
        <f>J27</f>
        <v>100</v>
      </c>
      <c r="X27" s="772"/>
      <c r="Y27" s="3268"/>
      <c r="Z27" s="55" t="str">
        <f>Q27</f>
        <v>公共配套设施</v>
      </c>
      <c r="AA27" s="1811">
        <f>D27/F27</f>
        <v>1</v>
      </c>
      <c r="AB27" s="1811">
        <f>D27/H27</f>
        <v>1</v>
      </c>
      <c r="AC27" s="1811">
        <f>D27/J27</f>
        <v>1</v>
      </c>
    </row>
    <row r="28" spans="1:29" s="117" customFormat="1" ht="15">
      <c r="A28" s="649"/>
      <c r="B28" s="456"/>
      <c r="C28" s="2703"/>
      <c r="D28" s="448"/>
      <c r="E28" s="2614"/>
      <c r="F28" s="448"/>
      <c r="G28" s="2614"/>
      <c r="H28" s="448"/>
      <c r="I28" s="447"/>
      <c r="J28" s="448"/>
      <c r="K28" s="672"/>
      <c r="L28" s="1132"/>
      <c r="M28" s="1133"/>
      <c r="N28" s="1133"/>
      <c r="O28" s="1134"/>
      <c r="P28" s="3268"/>
      <c r="Q28" s="1795"/>
      <c r="R28" s="770"/>
      <c r="S28" s="771"/>
      <c r="T28" s="770"/>
      <c r="U28" s="771"/>
      <c r="V28" s="770"/>
      <c r="W28" s="771"/>
      <c r="X28" s="772"/>
      <c r="Y28" s="3268"/>
      <c r="Z28" s="55"/>
      <c r="AA28" s="1811">
        <v>1</v>
      </c>
      <c r="AB28" s="1811">
        <v>1</v>
      </c>
      <c r="AC28" s="1811">
        <v>1</v>
      </c>
    </row>
    <row r="29" spans="1:29" s="117" customFormat="1" ht="28.5">
      <c r="A29" s="649"/>
      <c r="B29" s="1384" t="s">
        <v>2651</v>
      </c>
      <c r="C29" s="2610"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268"/>
      <c r="Q29" s="1795" t="str">
        <f t="shared" ref="Q29" si="9">B29</f>
        <v>基础设施水平</v>
      </c>
      <c r="R29" s="770" t="s">
        <v>17</v>
      </c>
      <c r="S29" s="771">
        <f>F29</f>
        <v>100</v>
      </c>
      <c r="T29" s="770" t="s">
        <v>17</v>
      </c>
      <c r="U29" s="771">
        <f>H29</f>
        <v>100</v>
      </c>
      <c r="V29" s="770" t="s">
        <v>17</v>
      </c>
      <c r="W29" s="771">
        <f>J29</f>
        <v>100</v>
      </c>
      <c r="X29" s="772"/>
      <c r="Y29" s="3268"/>
      <c r="Z29" s="55" t="str">
        <f>Q29</f>
        <v>基础设施水平</v>
      </c>
      <c r="AA29" s="1811">
        <f>D29/F29</f>
        <v>1</v>
      </c>
      <c r="AB29" s="1811">
        <f>D29/H29</f>
        <v>1</v>
      </c>
      <c r="AC29" s="1811">
        <f>D29/J29</f>
        <v>1</v>
      </c>
    </row>
    <row r="30" spans="1:29" s="117" customFormat="1" ht="15">
      <c r="A30" s="649"/>
      <c r="B30" s="456"/>
      <c r="C30" s="2703"/>
      <c r="D30" s="448"/>
      <c r="E30" s="2704"/>
      <c r="F30" s="448"/>
      <c r="G30" s="2704"/>
      <c r="H30" s="448"/>
      <c r="I30" s="2704"/>
      <c r="J30" s="448"/>
      <c r="K30" s="672"/>
      <c r="L30" s="1132"/>
      <c r="M30" s="1133"/>
      <c r="N30" s="1133"/>
      <c r="O30" s="1134"/>
      <c r="P30" s="3268"/>
      <c r="Q30" s="1795"/>
      <c r="R30" s="770"/>
      <c r="S30" s="771"/>
      <c r="T30" s="770"/>
      <c r="U30" s="771"/>
      <c r="V30" s="770"/>
      <c r="W30" s="771"/>
      <c r="X30" s="772"/>
      <c r="Y30" s="3268"/>
      <c r="Z30" s="55"/>
      <c r="AA30" s="1811">
        <v>1</v>
      </c>
      <c r="AB30" s="1811">
        <v>1</v>
      </c>
      <c r="AC30" s="1811">
        <v>1</v>
      </c>
    </row>
    <row r="31" spans="1:29" ht="15">
      <c r="A31" s="428"/>
      <c r="B31" s="456" t="s">
        <v>2652</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268"/>
      <c r="Q31" s="1810" t="str">
        <f t="shared" si="8"/>
        <v>临街状况</v>
      </c>
      <c r="R31" s="774" t="s">
        <v>17</v>
      </c>
      <c r="S31" s="775">
        <f t="shared" ref="S31:S45" si="10">F31</f>
        <v>100</v>
      </c>
      <c r="T31" s="774" t="s">
        <v>17</v>
      </c>
      <c r="U31" s="775">
        <f t="shared" ref="U31:U45" si="11">H31</f>
        <v>100</v>
      </c>
      <c r="V31" s="774" t="s">
        <v>17</v>
      </c>
      <c r="W31" s="775">
        <f t="shared" ref="W31:W45" si="12">J31</f>
        <v>100</v>
      </c>
      <c r="X31" s="1813"/>
      <c r="Y31" s="3268"/>
      <c r="Z31" s="1814" t="str">
        <f t="shared" ref="Z31:Z45" si="13">Q31</f>
        <v>临街状况</v>
      </c>
      <c r="AA31" s="1811">
        <f t="shared" si="3"/>
        <v>1</v>
      </c>
      <c r="AB31" s="1811">
        <f t="shared" si="4"/>
        <v>1</v>
      </c>
      <c r="AC31" s="1811">
        <f t="shared" si="5"/>
        <v>1</v>
      </c>
    </row>
    <row r="32" spans="1:29" ht="27">
      <c r="A32" s="428"/>
      <c r="B32" s="1384" t="s">
        <v>2687</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268"/>
      <c r="Q32" s="1810" t="str">
        <f t="shared" si="8"/>
        <v>毗邻道路的类型与等级</v>
      </c>
      <c r="R32" s="774" t="s">
        <v>17</v>
      </c>
      <c r="S32" s="775">
        <f t="shared" si="10"/>
        <v>100</v>
      </c>
      <c r="T32" s="774" t="s">
        <v>17</v>
      </c>
      <c r="U32" s="775">
        <f t="shared" si="11"/>
        <v>100</v>
      </c>
      <c r="V32" s="774" t="s">
        <v>17</v>
      </c>
      <c r="W32" s="775">
        <f t="shared" si="12"/>
        <v>100</v>
      </c>
      <c r="X32" s="1813"/>
      <c r="Y32" s="3268"/>
      <c r="Z32" s="1814" t="str">
        <f t="shared" si="13"/>
        <v>毗邻道路的类型与等级</v>
      </c>
      <c r="AA32" s="1811">
        <f t="shared" si="3"/>
        <v>1</v>
      </c>
      <c r="AB32" s="1811">
        <f t="shared" si="4"/>
        <v>1</v>
      </c>
      <c r="AC32" s="1811">
        <f t="shared" si="5"/>
        <v>1</v>
      </c>
    </row>
    <row r="33" spans="1:29" ht="15">
      <c r="A33" s="428"/>
      <c r="B33" s="456"/>
      <c r="C33" s="447"/>
      <c r="D33" s="448"/>
      <c r="E33" s="2614"/>
      <c r="F33" s="448"/>
      <c r="G33" s="2614"/>
      <c r="H33" s="448"/>
      <c r="I33" s="447"/>
      <c r="J33" s="448"/>
      <c r="K33" s="613"/>
      <c r="L33" s="1140"/>
      <c r="M33" s="1131"/>
      <c r="N33" s="1131"/>
      <c r="O33" s="1139"/>
      <c r="P33" s="3268"/>
      <c r="Q33" s="1810"/>
      <c r="R33" s="774"/>
      <c r="S33" s="775"/>
      <c r="T33" s="774"/>
      <c r="U33" s="775"/>
      <c r="V33" s="774"/>
      <c r="W33" s="775"/>
      <c r="X33" s="1813"/>
      <c r="Y33" s="3268"/>
      <c r="Z33" s="1814"/>
      <c r="AA33" s="1811">
        <v>1</v>
      </c>
      <c r="AB33" s="1811">
        <v>1</v>
      </c>
      <c r="AC33" s="1811">
        <v>1</v>
      </c>
    </row>
    <row r="34" spans="1:29" ht="15">
      <c r="A34" s="428"/>
      <c r="B34" s="422" t="s">
        <v>2746</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268"/>
      <c r="Q34" s="1810" t="str">
        <f t="shared" si="8"/>
        <v>土地级别</v>
      </c>
      <c r="R34" s="774" t="s">
        <v>17</v>
      </c>
      <c r="S34" s="775">
        <f t="shared" si="10"/>
        <v>100</v>
      </c>
      <c r="T34" s="774" t="s">
        <v>17</v>
      </c>
      <c r="U34" s="775">
        <f t="shared" si="11"/>
        <v>100</v>
      </c>
      <c r="V34" s="774" t="s">
        <v>17</v>
      </c>
      <c r="W34" s="775">
        <f t="shared" si="12"/>
        <v>100</v>
      </c>
      <c r="X34" s="1813"/>
      <c r="Y34" s="3268"/>
      <c r="Z34" s="1814" t="str">
        <f t="shared" si="13"/>
        <v>土地级别</v>
      </c>
      <c r="AA34" s="1811">
        <f t="shared" si="3"/>
        <v>1</v>
      </c>
      <c r="AB34" s="1811">
        <f t="shared" si="4"/>
        <v>1</v>
      </c>
      <c r="AC34" s="1811">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268"/>
      <c r="Q35" s="1810">
        <f t="shared" si="8"/>
        <v>111</v>
      </c>
      <c r="R35" s="774" t="s">
        <v>17</v>
      </c>
      <c r="S35" s="775">
        <f t="shared" si="10"/>
        <v>100</v>
      </c>
      <c r="T35" s="774" t="s">
        <v>17</v>
      </c>
      <c r="U35" s="775">
        <f t="shared" si="11"/>
        <v>100</v>
      </c>
      <c r="V35" s="774" t="s">
        <v>17</v>
      </c>
      <c r="W35" s="775">
        <f t="shared" si="12"/>
        <v>100</v>
      </c>
      <c r="X35" s="1813"/>
      <c r="Y35" s="3268"/>
      <c r="Z35" s="1814">
        <f t="shared" si="13"/>
        <v>111</v>
      </c>
      <c r="AA35" s="1811">
        <f t="shared" si="3"/>
        <v>1</v>
      </c>
      <c r="AB35" s="1811">
        <f t="shared" si="4"/>
        <v>1</v>
      </c>
      <c r="AC35" s="1811">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323" t="s">
        <v>2561</v>
      </c>
      <c r="Q36" s="1810">
        <f t="shared" si="8"/>
        <v>111</v>
      </c>
      <c r="R36" s="774" t="s">
        <v>17</v>
      </c>
      <c r="S36" s="775">
        <f t="shared" si="10"/>
        <v>100</v>
      </c>
      <c r="T36" s="774" t="s">
        <v>17</v>
      </c>
      <c r="U36" s="775">
        <f t="shared" si="11"/>
        <v>100</v>
      </c>
      <c r="V36" s="774" t="s">
        <v>17</v>
      </c>
      <c r="W36" s="775">
        <f t="shared" si="12"/>
        <v>100</v>
      </c>
      <c r="X36" s="1813"/>
      <c r="Y36" s="3272" t="s">
        <v>2561</v>
      </c>
      <c r="Z36" s="1814">
        <f t="shared" si="13"/>
        <v>111</v>
      </c>
      <c r="AA36" s="1811">
        <f t="shared" si="3"/>
        <v>1</v>
      </c>
      <c r="AB36" s="1811">
        <f t="shared" si="4"/>
        <v>1</v>
      </c>
      <c r="AC36" s="1811">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272"/>
      <c r="Q37" s="1810">
        <f t="shared" si="8"/>
        <v>111</v>
      </c>
      <c r="R37" s="777" t="s">
        <v>17</v>
      </c>
      <c r="S37" s="778">
        <f t="shared" si="10"/>
        <v>100</v>
      </c>
      <c r="T37" s="777" t="s">
        <v>17</v>
      </c>
      <c r="U37" s="778">
        <f t="shared" si="11"/>
        <v>100</v>
      </c>
      <c r="V37" s="777" t="s">
        <v>17</v>
      </c>
      <c r="W37" s="778">
        <f t="shared" si="12"/>
        <v>100</v>
      </c>
      <c r="X37" s="779"/>
      <c r="Y37" s="3272"/>
      <c r="Z37" s="780">
        <f t="shared" si="13"/>
        <v>111</v>
      </c>
      <c r="AA37" s="1811">
        <f t="shared" si="3"/>
        <v>1</v>
      </c>
      <c r="AB37" s="1811">
        <f t="shared" si="4"/>
        <v>1</v>
      </c>
      <c r="AC37" s="1811">
        <f t="shared" si="5"/>
        <v>1</v>
      </c>
    </row>
    <row r="38" spans="1:29" ht="15">
      <c r="A38" s="472" t="s">
        <v>2559</v>
      </c>
      <c r="B38" s="456" t="s">
        <v>2747</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272"/>
      <c r="Q38" s="1810" t="str">
        <f>B38</f>
        <v>宗地面积</v>
      </c>
      <c r="R38" s="774" t="s">
        <v>17</v>
      </c>
      <c r="S38" s="775" t="e">
        <f t="shared" si="10"/>
        <v>#N/A</v>
      </c>
      <c r="T38" s="774" t="s">
        <v>17</v>
      </c>
      <c r="U38" s="775" t="e">
        <f t="shared" si="11"/>
        <v>#N/A</v>
      </c>
      <c r="V38" s="774" t="s">
        <v>17</v>
      </c>
      <c r="W38" s="775" t="e">
        <f t="shared" si="12"/>
        <v>#N/A</v>
      </c>
      <c r="X38" s="1813"/>
      <c r="Y38" s="3272"/>
      <c r="Z38" s="1814" t="str">
        <f t="shared" si="13"/>
        <v>宗地面积</v>
      </c>
      <c r="AA38" s="1811" t="e">
        <f t="shared" si="3"/>
        <v>#N/A</v>
      </c>
      <c r="AB38" s="1811" t="e">
        <f t="shared" si="4"/>
        <v>#N/A</v>
      </c>
      <c r="AC38" s="1811" t="e">
        <f t="shared" si="5"/>
        <v>#N/A</v>
      </c>
    </row>
    <row r="39" spans="1:29" ht="15">
      <c r="A39" s="472"/>
      <c r="B39" s="422" t="s">
        <v>2748</v>
      </c>
      <c r="C39" s="2616"/>
      <c r="D39" s="435">
        <v>100</v>
      </c>
      <c r="E39" s="2616"/>
      <c r="F39" s="435">
        <f>SUMIF(119:119,E39,120:120)-SUMIF(119:119,C39,120:120)+100</f>
        <v>100</v>
      </c>
      <c r="G39" s="2616"/>
      <c r="H39" s="435">
        <f>SUMIF(119:119,G39,120:120)-SUMIF(119:119,C39,120:120)+100</f>
        <v>100</v>
      </c>
      <c r="I39" s="2616"/>
      <c r="J39" s="435">
        <f>SUMIF(119:119,I39,120:120)-SUMIF(119:119,C39,120:120)+100</f>
        <v>100</v>
      </c>
      <c r="K39" s="612"/>
      <c r="L39" s="1140"/>
      <c r="M39" s="1131"/>
      <c r="N39" s="1131"/>
      <c r="O39" s="1139"/>
      <c r="P39" s="3272"/>
      <c r="Q39" s="1810" t="str">
        <f t="shared" ref="Q39:Q45" si="14">B39</f>
        <v>宗地形状</v>
      </c>
      <c r="R39" s="774" t="s">
        <v>17</v>
      </c>
      <c r="S39" s="775">
        <f t="shared" si="10"/>
        <v>100</v>
      </c>
      <c r="T39" s="774" t="s">
        <v>17</v>
      </c>
      <c r="U39" s="775">
        <f t="shared" si="11"/>
        <v>100</v>
      </c>
      <c r="V39" s="774" t="s">
        <v>17</v>
      </c>
      <c r="W39" s="775">
        <f t="shared" si="12"/>
        <v>100</v>
      </c>
      <c r="X39" s="1813"/>
      <c r="Y39" s="3272"/>
      <c r="Z39" s="1814" t="str">
        <f t="shared" si="13"/>
        <v>宗地形状</v>
      </c>
      <c r="AA39" s="1811">
        <f t="shared" si="3"/>
        <v>1</v>
      </c>
      <c r="AB39" s="1811">
        <f t="shared" si="4"/>
        <v>1</v>
      </c>
      <c r="AC39" s="1811">
        <f t="shared" si="5"/>
        <v>1</v>
      </c>
    </row>
    <row r="40" spans="1:29" ht="15">
      <c r="A40" s="472"/>
      <c r="B40" s="422" t="s">
        <v>2749</v>
      </c>
      <c r="C40" s="2616"/>
      <c r="D40" s="435">
        <v>100</v>
      </c>
      <c r="E40" s="2616"/>
      <c r="F40" s="435">
        <f>SUMIF(121:121,E40,122:122)-SUMIF(121:121,C40,122:122)+100</f>
        <v>100</v>
      </c>
      <c r="G40" s="2616"/>
      <c r="H40" s="435">
        <f>SUMIF(121:121,G40,122:122)-SUMIF(121:121,C40,122:122)+100</f>
        <v>100</v>
      </c>
      <c r="I40" s="2616"/>
      <c r="J40" s="435">
        <f>SUMIF(121:121,I40,122:122)-SUMIF(121:121,C40,122:122)+100</f>
        <v>100</v>
      </c>
      <c r="K40" s="612"/>
      <c r="L40" s="1140"/>
      <c r="M40" s="1131"/>
      <c r="N40" s="1131"/>
      <c r="O40" s="1139"/>
      <c r="P40" s="3272"/>
      <c r="Q40" s="1810" t="str">
        <f t="shared" si="14"/>
        <v>临街宽度及深度</v>
      </c>
      <c r="R40" s="774" t="s">
        <v>17</v>
      </c>
      <c r="S40" s="775">
        <f t="shared" si="10"/>
        <v>100</v>
      </c>
      <c r="T40" s="774" t="s">
        <v>17</v>
      </c>
      <c r="U40" s="775">
        <f t="shared" si="11"/>
        <v>100</v>
      </c>
      <c r="V40" s="774" t="s">
        <v>17</v>
      </c>
      <c r="W40" s="775">
        <f t="shared" si="12"/>
        <v>100</v>
      </c>
      <c r="X40" s="1813"/>
      <c r="Y40" s="3272"/>
      <c r="Z40" s="1814" t="str">
        <f t="shared" si="13"/>
        <v>临街宽度及深度</v>
      </c>
      <c r="AA40" s="1811">
        <f t="shared" si="3"/>
        <v>1</v>
      </c>
      <c r="AB40" s="1811">
        <f t="shared" si="4"/>
        <v>1</v>
      </c>
      <c r="AC40" s="1811">
        <f t="shared" si="5"/>
        <v>1</v>
      </c>
    </row>
    <row r="41" spans="1:29" s="117" customFormat="1" ht="15">
      <c r="A41" s="473"/>
      <c r="B41" s="422" t="s">
        <v>2750</v>
      </c>
      <c r="C41" s="2705"/>
      <c r="D41" s="136">
        <v>100</v>
      </c>
      <c r="E41" s="2705"/>
      <c r="F41" s="435">
        <f>SUMIF(123:123,E41,124:124)-SUMIF(123:123,C41,124:124)+100</f>
        <v>100</v>
      </c>
      <c r="G41" s="2705"/>
      <c r="H41" s="435">
        <f>SUMIF(123:123,G41,124:124)-SUMIF(123:123,C41,124:124)+100</f>
        <v>100</v>
      </c>
      <c r="I41" s="2705"/>
      <c r="J41" s="435">
        <f>SUMIF(123:123,I41,124:124)-SUMIF(123:123,C41,124:124)+100</f>
        <v>100</v>
      </c>
      <c r="K41" s="612"/>
      <c r="L41" s="1132"/>
      <c r="M41" s="1133"/>
      <c r="N41" s="1133"/>
      <c r="O41" s="1134"/>
      <c r="P41" s="3272"/>
      <c r="Q41" s="1810" t="str">
        <f t="shared" si="14"/>
        <v>宗地开发程度</v>
      </c>
      <c r="R41" s="770" t="s">
        <v>17</v>
      </c>
      <c r="S41" s="771">
        <f t="shared" si="10"/>
        <v>100</v>
      </c>
      <c r="T41" s="770" t="s">
        <v>17</v>
      </c>
      <c r="U41" s="771">
        <f t="shared" si="11"/>
        <v>100</v>
      </c>
      <c r="V41" s="770" t="s">
        <v>17</v>
      </c>
      <c r="W41" s="771">
        <f t="shared" si="12"/>
        <v>100</v>
      </c>
      <c r="X41" s="772"/>
      <c r="Y41" s="3272"/>
      <c r="Z41" s="55" t="str">
        <f t="shared" si="13"/>
        <v>宗地开发程度</v>
      </c>
      <c r="AA41" s="773">
        <f t="shared" si="3"/>
        <v>1</v>
      </c>
      <c r="AB41" s="773">
        <f t="shared" si="4"/>
        <v>1</v>
      </c>
      <c r="AC41" s="773">
        <f t="shared" si="5"/>
        <v>1</v>
      </c>
    </row>
    <row r="42" spans="1:29" ht="15">
      <c r="A42" s="472"/>
      <c r="B42" s="422" t="s">
        <v>2751</v>
      </c>
      <c r="C42" s="2616"/>
      <c r="D42" s="435">
        <v>100</v>
      </c>
      <c r="E42" s="2616"/>
      <c r="F42" s="435">
        <f>SUMIF(125:125,E42,126:126)-SUMIF(125:125,C42,126:126)+100</f>
        <v>100</v>
      </c>
      <c r="G42" s="2616"/>
      <c r="H42" s="435">
        <f>SUMIF(125:125,G42,126:126)-SUMIF(125:125,C42,126:126)+100</f>
        <v>100</v>
      </c>
      <c r="I42" s="2616"/>
      <c r="J42" s="435">
        <f>SUMIF(125:125,I42,126:126)-SUMIF(125:125,C42,126:126)+100</f>
        <v>100</v>
      </c>
      <c r="K42" s="612"/>
      <c r="L42" s="1140"/>
      <c r="M42" s="1131"/>
      <c r="N42" s="1131"/>
      <c r="O42" s="1139"/>
      <c r="P42" s="3272" t="s">
        <v>2561</v>
      </c>
      <c r="Q42" s="1810" t="str">
        <f t="shared" si="14"/>
        <v>工程地质条件</v>
      </c>
      <c r="R42" s="774" t="s">
        <v>17</v>
      </c>
      <c r="S42" s="775">
        <f t="shared" si="10"/>
        <v>100</v>
      </c>
      <c r="T42" s="774" t="s">
        <v>17</v>
      </c>
      <c r="U42" s="775">
        <f t="shared" si="11"/>
        <v>100</v>
      </c>
      <c r="V42" s="774" t="s">
        <v>17</v>
      </c>
      <c r="W42" s="775">
        <f t="shared" si="12"/>
        <v>100</v>
      </c>
      <c r="X42" s="1813"/>
      <c r="Y42" s="3272" t="s">
        <v>2561</v>
      </c>
      <c r="Z42" s="1814" t="str">
        <f t="shared" si="13"/>
        <v>工程地质条件</v>
      </c>
      <c r="AA42" s="1811">
        <f t="shared" si="3"/>
        <v>1</v>
      </c>
      <c r="AB42" s="1811">
        <f t="shared" si="4"/>
        <v>1</v>
      </c>
      <c r="AC42" s="1811">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272"/>
      <c r="Q43" s="1810">
        <f t="shared" si="14"/>
        <v>111</v>
      </c>
      <c r="R43" s="774" t="s">
        <v>17</v>
      </c>
      <c r="S43" s="775">
        <f t="shared" si="10"/>
        <v>100</v>
      </c>
      <c r="T43" s="774" t="s">
        <v>17</v>
      </c>
      <c r="U43" s="775">
        <f t="shared" si="11"/>
        <v>100</v>
      </c>
      <c r="V43" s="774" t="s">
        <v>17</v>
      </c>
      <c r="W43" s="775">
        <f t="shared" si="12"/>
        <v>100</v>
      </c>
      <c r="X43" s="1813"/>
      <c r="Y43" s="3272"/>
      <c r="Z43" s="1814">
        <f t="shared" si="13"/>
        <v>111</v>
      </c>
      <c r="AA43" s="1811">
        <f t="shared" si="3"/>
        <v>1</v>
      </c>
      <c r="AB43" s="1811">
        <f t="shared" si="4"/>
        <v>1</v>
      </c>
      <c r="AC43" s="1811">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272"/>
      <c r="Q44" s="1810">
        <f t="shared" si="14"/>
        <v>111</v>
      </c>
      <c r="R44" s="774" t="s">
        <v>17</v>
      </c>
      <c r="S44" s="775">
        <f t="shared" si="10"/>
        <v>100</v>
      </c>
      <c r="T44" s="774" t="s">
        <v>17</v>
      </c>
      <c r="U44" s="775">
        <f t="shared" si="11"/>
        <v>100</v>
      </c>
      <c r="V44" s="774" t="s">
        <v>17</v>
      </c>
      <c r="W44" s="775">
        <f t="shared" si="12"/>
        <v>100</v>
      </c>
      <c r="X44" s="1813"/>
      <c r="Y44" s="3272"/>
      <c r="Z44" s="1814">
        <f t="shared" si="13"/>
        <v>111</v>
      </c>
      <c r="AA44" s="1811">
        <f t="shared" si="3"/>
        <v>1</v>
      </c>
      <c r="AB44" s="1811">
        <f t="shared" si="4"/>
        <v>1</v>
      </c>
      <c r="AC44" s="1811">
        <f t="shared" si="5"/>
        <v>1</v>
      </c>
    </row>
    <row r="45" spans="1:29" s="471" customFormat="1" ht="15.75" thickBot="1">
      <c r="A45" s="468"/>
      <c r="B45" s="1387">
        <v>111</v>
      </c>
      <c r="C45" s="2706"/>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272"/>
      <c r="Q45" s="1810">
        <f t="shared" si="14"/>
        <v>111</v>
      </c>
      <c r="R45" s="777" t="s">
        <v>17</v>
      </c>
      <c r="S45" s="778">
        <f t="shared" si="10"/>
        <v>100</v>
      </c>
      <c r="T45" s="777" t="s">
        <v>17</v>
      </c>
      <c r="U45" s="778">
        <f t="shared" si="11"/>
        <v>100</v>
      </c>
      <c r="V45" s="777" t="s">
        <v>17</v>
      </c>
      <c r="W45" s="778">
        <f t="shared" si="12"/>
        <v>100</v>
      </c>
      <c r="X45" s="779"/>
      <c r="Y45" s="3272"/>
      <c r="Z45" s="780">
        <f t="shared" si="13"/>
        <v>111</v>
      </c>
      <c r="AA45" s="1811">
        <f t="shared" si="3"/>
        <v>1</v>
      </c>
      <c r="AB45" s="1811">
        <f t="shared" si="4"/>
        <v>1</v>
      </c>
      <c r="AC45" s="1811">
        <f t="shared" si="5"/>
        <v>1</v>
      </c>
    </row>
    <row r="46" spans="1:29" ht="15">
      <c r="A46" s="479" t="s">
        <v>2716</v>
      </c>
      <c r="B46" s="2707" t="s">
        <v>2752</v>
      </c>
      <c r="C46" s="682" t="s">
        <v>1</v>
      </c>
      <c r="D46" s="481"/>
      <c r="E46" s="482"/>
      <c r="F46" s="483"/>
      <c r="G46" s="484"/>
      <c r="H46" s="485"/>
      <c r="I46" s="482"/>
      <c r="J46" s="485"/>
      <c r="K46" s="783"/>
      <c r="L46" s="1143"/>
      <c r="M46" s="1144"/>
      <c r="N46" s="1131"/>
      <c r="O46" s="1144"/>
      <c r="P46" s="3265" t="str">
        <f>A46</f>
        <v>成交单价</v>
      </c>
      <c r="Q46" s="3265"/>
      <c r="R46" s="3296">
        <f>E46</f>
        <v>0</v>
      </c>
      <c r="S46" s="3296"/>
      <c r="T46" s="3296">
        <f>G46</f>
        <v>0</v>
      </c>
      <c r="U46" s="3296"/>
      <c r="V46" s="3296">
        <f>I46</f>
        <v>0</v>
      </c>
      <c r="W46" s="3296"/>
      <c r="X46" s="759"/>
      <c r="Y46" s="781"/>
      <c r="Z46" s="759"/>
      <c r="AA46" s="759"/>
      <c r="AB46" s="759"/>
      <c r="AC46" s="759"/>
    </row>
    <row r="47" spans="1:29" ht="15.75" thickBot="1">
      <c r="A47" s="486" t="s">
        <v>2665</v>
      </c>
      <c r="B47" s="683"/>
      <c r="C47" s="490" t="e">
        <f>R48</f>
        <v>#DIV/0!</v>
      </c>
      <c r="D47" s="489"/>
      <c r="E47" s="490" t="e">
        <f>R47</f>
        <v>#DIV/0!</v>
      </c>
      <c r="F47" s="491"/>
      <c r="G47" s="488" t="e">
        <f>T47</f>
        <v>#DIV/0!</v>
      </c>
      <c r="H47" s="489"/>
      <c r="I47" s="490" t="e">
        <f>V47</f>
        <v>#DIV/0!</v>
      </c>
      <c r="J47" s="489"/>
      <c r="K47" s="784"/>
      <c r="L47" s="1143"/>
      <c r="M47" s="1144"/>
      <c r="N47" s="1144"/>
      <c r="O47" s="1144"/>
      <c r="P47" s="3265" t="str">
        <f>A47</f>
        <v>比较价值（元/平方米）</v>
      </c>
      <c r="Q47" s="3265"/>
      <c r="R47" s="3324" t="e">
        <f>ROUND(PRODUCT(R46,AA7:AA45),0)</f>
        <v>#DIV/0!</v>
      </c>
      <c r="S47" s="3324"/>
      <c r="T47" s="3324" t="e">
        <f>ROUND(PRODUCT(T46,AB7:AB45),0)</f>
        <v>#DIV/0!</v>
      </c>
      <c r="U47" s="3324"/>
      <c r="V47" s="3324" t="e">
        <f>ROUND(PRODUCT(V46,AC7:AC45),0)</f>
        <v>#DIV/0!</v>
      </c>
      <c r="W47" s="3324"/>
      <c r="X47" s="759"/>
      <c r="Y47" s="759"/>
      <c r="Z47" s="759"/>
      <c r="AA47" s="759"/>
      <c r="AB47" s="759"/>
      <c r="AC47" s="759"/>
    </row>
    <row r="48" spans="1:29" ht="15.75" thickBot="1">
      <c r="A48" s="492" t="s">
        <v>2753</v>
      </c>
      <c r="B48" s="493"/>
      <c r="C48" s="494" t="e">
        <f>R48</f>
        <v>#DIV/0!</v>
      </c>
      <c r="D48" s="494"/>
      <c r="E48" s="494"/>
      <c r="F48" s="494"/>
      <c r="G48" s="494"/>
      <c r="H48" s="494"/>
      <c r="I48" s="494"/>
      <c r="J48" s="494"/>
      <c r="K48" s="785"/>
      <c r="L48" s="1143"/>
      <c r="M48" s="1144"/>
      <c r="N48" s="1144"/>
      <c r="O48" s="1144"/>
      <c r="P48" s="3262" t="str">
        <f>A48</f>
        <v>估价对象XX用房的比较价值（楼面单价，元/平方米）</v>
      </c>
      <c r="Q48" s="3263"/>
      <c r="R48" s="3325" t="e">
        <f>ROUND(AVERAGE(R47:V47),0)</f>
        <v>#DIV/0!</v>
      </c>
      <c r="S48" s="3325"/>
      <c r="T48" s="3325"/>
      <c r="U48" s="3325"/>
      <c r="V48" s="3325"/>
      <c r="W48" s="3325"/>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2667</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2668</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2669</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2754</v>
      </c>
      <c r="B55" s="685" t="s">
        <v>2755</v>
      </c>
      <c r="C55" s="2708" t="s">
        <v>2756</v>
      </c>
      <c r="D55" s="2709" t="s">
        <v>2757</v>
      </c>
      <c r="E55" s="686" t="s">
        <v>2758</v>
      </c>
      <c r="F55" s="1107" t="s">
        <v>2759</v>
      </c>
      <c r="G55" s="3280" t="s">
        <v>2760</v>
      </c>
      <c r="H55" s="3326"/>
      <c r="I55" s="144" t="s">
        <v>2761</v>
      </c>
      <c r="J55" s="2710">
        <f>项目基本情况!F35</f>
        <v>0</v>
      </c>
      <c r="K55" s="2711" t="s">
        <v>2762</v>
      </c>
      <c r="L55" s="1106"/>
      <c r="M55" s="1144"/>
      <c r="N55" s="1144"/>
      <c r="O55" s="1144"/>
    </row>
    <row r="56" spans="1:15" s="692" customFormat="1">
      <c r="A56" s="688" t="s">
        <v>2763</v>
      </c>
      <c r="B56" s="689" t="e">
        <f>C48</f>
        <v>#DIV/0!</v>
      </c>
      <c r="C56" s="690">
        <v>1</v>
      </c>
      <c r="D56" s="1163">
        <v>1</v>
      </c>
      <c r="E56" s="690">
        <f>'数据-汇总表'!E8+'数据-汇总表'!E9</f>
        <v>27202.3</v>
      </c>
      <c r="F56" s="1103" t="e">
        <f t="shared" ref="F56:F65" si="15">ROUND(B56*E56/10000,0)</f>
        <v>#DIV/0!</v>
      </c>
      <c r="G56" s="3276"/>
      <c r="H56" s="3265"/>
      <c r="I56" s="1108">
        <v>1</v>
      </c>
      <c r="J56" s="1111">
        <v>1</v>
      </c>
      <c r="K56" s="1145"/>
      <c r="L56" s="941"/>
      <c r="M56" s="941"/>
      <c r="N56" s="941"/>
      <c r="O56" s="941"/>
    </row>
    <row r="57" spans="1:15" s="692" customFormat="1">
      <c r="A57" s="693" t="s">
        <v>2764</v>
      </c>
      <c r="B57" s="262" t="e">
        <f>ROUND($C$48*C57*D57,0)</f>
        <v>#DIV/0!</v>
      </c>
      <c r="C57" s="200">
        <f t="shared" ref="C57:C65" si="16">IF($C$55="北京市系数",I57,J57)</f>
        <v>0.8</v>
      </c>
      <c r="D57" s="1164">
        <v>0.25</v>
      </c>
      <c r="E57" s="694"/>
      <c r="F57" s="1103" t="e">
        <f t="shared" si="15"/>
        <v>#DIV/0!</v>
      </c>
      <c r="G57" s="3327" t="s">
        <v>2765</v>
      </c>
      <c r="H57" s="1104" t="str">
        <f>项目基本情况!B37</f>
        <v>二级</v>
      </c>
      <c r="I57" s="1108">
        <f>SUMIF(修正!A45:A56,H57,修正!B45:B56)</f>
        <v>0.8</v>
      </c>
      <c r="J57" s="1112"/>
      <c r="K57" s="1144"/>
      <c r="L57" s="941"/>
      <c r="M57" s="941"/>
      <c r="N57" s="941"/>
      <c r="O57" s="941"/>
    </row>
    <row r="58" spans="1:15" s="692" customFormat="1">
      <c r="A58" s="693" t="s">
        <v>2766</v>
      </c>
      <c r="B58" s="262" t="e">
        <f t="shared" ref="B58:B65" si="17">ROUND($C$48*C58*D58,0)</f>
        <v>#DIV/0!</v>
      </c>
      <c r="C58" s="200">
        <f t="shared" si="16"/>
        <v>0.5</v>
      </c>
      <c r="D58" s="1164">
        <v>0.25</v>
      </c>
      <c r="E58" s="694"/>
      <c r="F58" s="1103" t="e">
        <f t="shared" si="15"/>
        <v>#DIV/0!</v>
      </c>
      <c r="G58" s="3327"/>
      <c r="H58" s="1104" t="str">
        <f>项目基本情况!B37</f>
        <v>二级</v>
      </c>
      <c r="I58" s="1108">
        <f>SUMIF(修正!A45:A56,H58,修正!C45:C56)</f>
        <v>0.5</v>
      </c>
      <c r="J58" s="1112"/>
      <c r="K58" s="1145"/>
      <c r="L58" s="941"/>
      <c r="M58" s="941"/>
      <c r="N58" s="941"/>
      <c r="O58" s="941"/>
    </row>
    <row r="59" spans="1:15" s="692" customFormat="1">
      <c r="A59" s="693" t="s">
        <v>2767</v>
      </c>
      <c r="B59" s="262" t="e">
        <f t="shared" si="17"/>
        <v>#DIV/0!</v>
      </c>
      <c r="C59" s="200">
        <f t="shared" si="16"/>
        <v>0.36</v>
      </c>
      <c r="D59" s="1164">
        <v>0.25</v>
      </c>
      <c r="E59" s="694"/>
      <c r="F59" s="1103" t="e">
        <f t="shared" si="15"/>
        <v>#DIV/0!</v>
      </c>
      <c r="G59" s="3327"/>
      <c r="H59" s="1104" t="str">
        <f>项目基本情况!B37</f>
        <v>二级</v>
      </c>
      <c r="I59" s="1108">
        <f>SUMIF(修正!A45:A56,H59,修正!D45:D56)</f>
        <v>0.36</v>
      </c>
      <c r="J59" s="1112"/>
      <c r="K59" s="1144"/>
      <c r="L59" s="941"/>
      <c r="M59" s="941"/>
      <c r="N59" s="941"/>
      <c r="O59" s="941"/>
    </row>
    <row r="60" spans="1:15" s="692" customFormat="1">
      <c r="A60" s="693" t="s">
        <v>2768</v>
      </c>
      <c r="B60" s="262" t="e">
        <f t="shared" si="17"/>
        <v>#DIV/0!</v>
      </c>
      <c r="C60" s="200">
        <f t="shared" si="16"/>
        <v>0.3</v>
      </c>
      <c r="D60" s="1164">
        <v>0.25</v>
      </c>
      <c r="E60" s="694"/>
      <c r="F60" s="1103" t="e">
        <f t="shared" si="15"/>
        <v>#DIV/0!</v>
      </c>
      <c r="G60" s="3327"/>
      <c r="H60" s="1104" t="str">
        <f>项目基本情况!B37</f>
        <v>二级</v>
      </c>
      <c r="I60" s="1108">
        <f>SUMIF(修正!A45:A56,H60,修正!E45:E56)</f>
        <v>0.3</v>
      </c>
      <c r="J60" s="1112"/>
      <c r="K60" s="1145"/>
      <c r="L60" s="941"/>
      <c r="M60" s="941"/>
      <c r="N60" s="941"/>
      <c r="O60" s="941"/>
    </row>
    <row r="61" spans="1:15" s="692" customFormat="1">
      <c r="A61" s="693" t="s">
        <v>2769</v>
      </c>
      <c r="B61" s="262" t="e">
        <f t="shared" si="17"/>
        <v>#DIV/0!</v>
      </c>
      <c r="C61" s="200">
        <f t="shared" si="16"/>
        <v>0.3</v>
      </c>
      <c r="D61" s="1164">
        <v>0.25</v>
      </c>
      <c r="E61" s="261">
        <f>'数据-汇总表'!E11</f>
        <v>0</v>
      </c>
      <c r="F61" s="1103" t="e">
        <f t="shared" si="15"/>
        <v>#DIV/0!</v>
      </c>
      <c r="G61" s="2712" t="s">
        <v>2770</v>
      </c>
      <c r="H61" s="1104" t="str">
        <f>项目基本情况!C37</f>
        <v>二级</v>
      </c>
      <c r="I61" s="1108">
        <f>SUMIF(修正!A45:A56,H61,修正!F45:F56)</f>
        <v>0.3</v>
      </c>
      <c r="J61" s="1112"/>
      <c r="K61" s="1144"/>
      <c r="L61" s="941"/>
      <c r="M61" s="941"/>
      <c r="N61" s="941"/>
      <c r="O61" s="941"/>
    </row>
    <row r="62" spans="1:15" s="692" customFormat="1">
      <c r="A62" s="693" t="s">
        <v>2771</v>
      </c>
      <c r="B62" s="262" t="e">
        <f t="shared" si="17"/>
        <v>#DIV/0!</v>
      </c>
      <c r="C62" s="200">
        <f t="shared" si="16"/>
        <v>0.3</v>
      </c>
      <c r="D62" s="1164">
        <v>0.25</v>
      </c>
      <c r="E62" s="261">
        <f>'数据-汇总表'!E12</f>
        <v>0</v>
      </c>
      <c r="F62" s="1103" t="e">
        <f t="shared" si="15"/>
        <v>#DIV/0!</v>
      </c>
      <c r="G62" s="1109" t="s">
        <v>2772</v>
      </c>
      <c r="H62" s="1104" t="str">
        <f>IF(G62="商业",项目基本情况!B37,IF(G62="办公",项目基本情况!C37,IF(G62="住宅",项目基本情况!D37,项目基本情况!E37)))</f>
        <v>二级</v>
      </c>
      <c r="I62" s="1108">
        <f>SUMIF(修正!A45:A56,H62,修正!G45:G56)</f>
        <v>0.3</v>
      </c>
      <c r="J62" s="1112"/>
      <c r="K62" s="1145"/>
      <c r="L62" s="941"/>
      <c r="M62" s="941"/>
      <c r="N62" s="941"/>
      <c r="O62" s="941"/>
    </row>
    <row r="63" spans="1:15" s="692" customFormat="1">
      <c r="A63" s="693" t="s">
        <v>2773</v>
      </c>
      <c r="B63" s="262" t="e">
        <f t="shared" si="17"/>
        <v>#DIV/0!</v>
      </c>
      <c r="C63" s="200">
        <f t="shared" si="16"/>
        <v>0</v>
      </c>
      <c r="D63" s="1164">
        <v>0.25</v>
      </c>
      <c r="E63" s="261">
        <f>'数据-汇总表'!E13</f>
        <v>0</v>
      </c>
      <c r="F63" s="1103" t="e">
        <f t="shared" si="15"/>
        <v>#DIV/0!</v>
      </c>
      <c r="G63" s="1109" t="s">
        <v>2774</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2775</v>
      </c>
      <c r="B64" s="262" t="e">
        <f t="shared" si="17"/>
        <v>#DIV/0!</v>
      </c>
      <c r="C64" s="200">
        <f t="shared" si="16"/>
        <v>0.25</v>
      </c>
      <c r="D64" s="1164">
        <v>0.25</v>
      </c>
      <c r="E64" s="261">
        <f>'数据-汇总表'!E14</f>
        <v>0</v>
      </c>
      <c r="F64" s="1103" t="e">
        <f t="shared" si="15"/>
        <v>#DIV/0!</v>
      </c>
      <c r="G64" s="2712" t="s">
        <v>2765</v>
      </c>
      <c r="H64" s="1104" t="str">
        <f>项目基本情况!B37</f>
        <v>二级</v>
      </c>
      <c r="I64" s="1108">
        <f>SUMIF(修正!A45:A56,H64,修正!H45:H56)</f>
        <v>0.25</v>
      </c>
      <c r="J64" s="1112"/>
      <c r="K64" s="1145"/>
      <c r="L64" s="941"/>
      <c r="M64" s="941"/>
      <c r="N64" s="941"/>
      <c r="O64" s="941"/>
    </row>
    <row r="65" spans="1:17" s="692" customFormat="1" ht="15" thickBot="1">
      <c r="A65" s="693" t="s">
        <v>2776</v>
      </c>
      <c r="B65" s="262" t="e">
        <f t="shared" si="17"/>
        <v>#DIV/0!</v>
      </c>
      <c r="C65" s="200">
        <f t="shared" si="16"/>
        <v>0.25</v>
      </c>
      <c r="D65" s="1164">
        <v>0.25</v>
      </c>
      <c r="E65" s="261">
        <f>'数据-汇总表'!E15</f>
        <v>0</v>
      </c>
      <c r="F65" s="1103" t="e">
        <f t="shared" si="15"/>
        <v>#DIV/0!</v>
      </c>
      <c r="G65" s="2713" t="s">
        <v>2770</v>
      </c>
      <c r="H65" s="1114" t="str">
        <f>项目基本情况!C37</f>
        <v>二级</v>
      </c>
      <c r="I65" s="1110">
        <f>SUMIF(修正!A45:A56,H65,修正!H45:H56)</f>
        <v>0.25</v>
      </c>
      <c r="J65" s="1113"/>
      <c r="K65" s="1144"/>
      <c r="L65" s="941"/>
      <c r="M65" s="941"/>
      <c r="N65" s="941"/>
      <c r="O65" s="941"/>
    </row>
    <row r="66" spans="1:17" s="692" customFormat="1" ht="13.5" thickBot="1">
      <c r="A66" s="695" t="s">
        <v>2777</v>
      </c>
      <c r="B66" s="696" t="s">
        <v>28</v>
      </c>
      <c r="C66" s="696" t="s">
        <v>29</v>
      </c>
      <c r="D66" s="696" t="s">
        <v>1026</v>
      </c>
      <c r="E66" s="696">
        <f>IF(B46="楼面地价",SUM(E56:E65),'数据-汇总表'!D3)</f>
        <v>27202.3</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2019-5-1</v>
      </c>
      <c r="D68" s="761">
        <f>EDATE(C68,-3)</f>
        <v>43497</v>
      </c>
      <c r="E68" s="761">
        <f>EDATE(D68,-3)</f>
        <v>43405</v>
      </c>
      <c r="F68" s="761">
        <f t="shared" ref="F68:O68" si="18">EDATE(E68,-3)</f>
        <v>43313</v>
      </c>
      <c r="G68" s="761">
        <f t="shared" si="18"/>
        <v>43221</v>
      </c>
      <c r="H68" s="761">
        <f t="shared" si="18"/>
        <v>43132</v>
      </c>
      <c r="I68" s="761">
        <f t="shared" si="18"/>
        <v>43040</v>
      </c>
      <c r="J68" s="761">
        <f t="shared" si="18"/>
        <v>42948</v>
      </c>
      <c r="K68" s="761">
        <f t="shared" si="18"/>
        <v>42856</v>
      </c>
      <c r="L68" s="761">
        <f t="shared" si="18"/>
        <v>42767</v>
      </c>
      <c r="M68" s="761">
        <f t="shared" si="18"/>
        <v>42675</v>
      </c>
      <c r="N68" s="761">
        <f t="shared" si="18"/>
        <v>42583</v>
      </c>
      <c r="O68" s="761">
        <f t="shared" si="18"/>
        <v>42491</v>
      </c>
    </row>
    <row r="69" spans="1:17" ht="21.75" thickBot="1">
      <c r="A69" s="763" t="s">
        <v>2670</v>
      </c>
      <c r="B69" s="759"/>
      <c r="C69" s="764"/>
      <c r="D69" s="764"/>
      <c r="E69" s="764"/>
      <c r="F69" s="765"/>
      <c r="G69" s="765"/>
      <c r="H69" s="764"/>
      <c r="I69" s="764"/>
      <c r="J69" s="1159"/>
      <c r="K69" s="1160"/>
      <c r="L69" s="1161"/>
      <c r="M69" s="1159"/>
      <c r="N69" s="1159"/>
      <c r="O69" s="1159"/>
      <c r="P69" s="503"/>
      <c r="Q69" s="504"/>
    </row>
    <row r="70" spans="1:17" s="508" customFormat="1" ht="15">
      <c r="A70" s="2714" t="s">
        <v>2778</v>
      </c>
      <c r="B70" s="1359"/>
      <c r="C70" s="1572" t="str">
        <f>YEAR(C68)&amp;"-"&amp;ROUNDUP(MONTH(C68)/3,0)</f>
        <v>2019-2</v>
      </c>
      <c r="D70" s="1572" t="str">
        <f>YEAR(D68)&amp;"-"&amp;ROUNDUP(MONTH(D68)/3,0)</f>
        <v>2019-1</v>
      </c>
      <c r="E70" s="1572" t="str">
        <f t="shared" ref="E70:O70" si="19">YEAR(E68)&amp;"-"&amp;ROUNDUP(MONTH(E68)/3,0)</f>
        <v>2018-4</v>
      </c>
      <c r="F70" s="1572" t="str">
        <f t="shared" si="19"/>
        <v>2018-3</v>
      </c>
      <c r="G70" s="1572" t="str">
        <f t="shared" si="19"/>
        <v>2018-2</v>
      </c>
      <c r="H70" s="1572" t="str">
        <f t="shared" si="19"/>
        <v>2018-1</v>
      </c>
      <c r="I70" s="1572" t="str">
        <f t="shared" si="19"/>
        <v>2017-4</v>
      </c>
      <c r="J70" s="1572" t="str">
        <f t="shared" si="19"/>
        <v>2017-3</v>
      </c>
      <c r="K70" s="1572" t="str">
        <f t="shared" si="19"/>
        <v>2017-2</v>
      </c>
      <c r="L70" s="1572" t="str">
        <f t="shared" si="19"/>
        <v>2017-1</v>
      </c>
      <c r="M70" s="1572" t="str">
        <f t="shared" si="19"/>
        <v>2016-4</v>
      </c>
      <c r="N70" s="1572" t="str">
        <f t="shared" si="19"/>
        <v>2016-3</v>
      </c>
      <c r="O70" s="1572" t="str">
        <f t="shared" si="19"/>
        <v>2016-2</v>
      </c>
      <c r="P70" s="507"/>
    </row>
    <row r="71" spans="1:17" s="117" customFormat="1" ht="30" customHeight="1">
      <c r="A71" s="2715" t="s">
        <v>2779</v>
      </c>
      <c r="B71" s="332" t="str">
        <f>"北京市平均增长率"&amp;TEXT(SUMIF(基准地价修正!N21:N25,A71,基准地价修正!P21:P25),"0.00%")</f>
        <v>北京市平均增长率2.26%</v>
      </c>
      <c r="C71" s="603">
        <v>100</v>
      </c>
      <c r="D71" s="595"/>
      <c r="E71" s="595"/>
      <c r="F71" s="595"/>
      <c r="G71" s="595"/>
      <c r="H71" s="595"/>
      <c r="I71" s="595"/>
      <c r="J71" s="595"/>
      <c r="K71" s="595"/>
      <c r="L71" s="595"/>
      <c r="M71" s="1567"/>
      <c r="N71" s="595"/>
      <c r="O71" s="1568"/>
      <c r="P71" s="504"/>
    </row>
    <row r="72" spans="1:17" s="117" customFormat="1" ht="15.75" thickBot="1">
      <c r="A72" s="515" t="s">
        <v>2581</v>
      </c>
      <c r="B72" s="516"/>
      <c r="C72" s="517"/>
      <c r="D72" s="518"/>
      <c r="E72" s="518"/>
      <c r="F72" s="518"/>
      <c r="G72" s="518"/>
      <c r="H72" s="518"/>
      <c r="I72" s="518"/>
      <c r="J72" s="518"/>
      <c r="K72" s="518"/>
      <c r="L72" s="518"/>
      <c r="M72" s="519"/>
      <c r="N72" s="518"/>
      <c r="O72" s="1162"/>
      <c r="P72" s="504"/>
      <c r="Q72" s="504"/>
    </row>
    <row r="73" spans="1:17" s="117" customFormat="1" ht="15">
      <c r="A73" s="521" t="s">
        <v>2546</v>
      </c>
      <c r="B73" s="510"/>
      <c r="C73" s="522" t="s">
        <v>2648</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2584</v>
      </c>
      <c r="B75" s="528" t="s">
        <v>2550</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2553</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2554</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2555</v>
      </c>
      <c r="B88" s="528" t="s">
        <v>2592</v>
      </c>
      <c r="C88" s="573" t="s">
        <v>2593</v>
      </c>
      <c r="D88" s="573" t="s">
        <v>2594</v>
      </c>
      <c r="E88" s="573" t="s">
        <v>2595</v>
      </c>
      <c r="F88" s="573" t="s">
        <v>2596</v>
      </c>
      <c r="G88" s="573" t="s">
        <v>2597</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2780</v>
      </c>
      <c r="C90" s="578" t="s">
        <v>2593</v>
      </c>
      <c r="D90" s="578" t="s">
        <v>2594</v>
      </c>
      <c r="E90" s="578" t="s">
        <v>2595</v>
      </c>
      <c r="F90" s="578" t="s">
        <v>2596</v>
      </c>
      <c r="G90" s="578" t="s">
        <v>2597</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2693</v>
      </c>
      <c r="C92" s="578" t="s">
        <v>2593</v>
      </c>
      <c r="D92" s="578" t="s">
        <v>2594</v>
      </c>
      <c r="E92" s="578" t="s">
        <v>2595</v>
      </c>
      <c r="F92" s="578" t="s">
        <v>2596</v>
      </c>
      <c r="G92" s="578" t="s">
        <v>2597</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2598</v>
      </c>
      <c r="C94" s="578" t="s">
        <v>2593</v>
      </c>
      <c r="D94" s="578" t="s">
        <v>2594</v>
      </c>
      <c r="E94" s="578" t="s">
        <v>2595</v>
      </c>
      <c r="F94" s="578" t="s">
        <v>2596</v>
      </c>
      <c r="G94" s="578" t="s">
        <v>2597</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2781</v>
      </c>
      <c r="C96" s="578" t="s">
        <v>2593</v>
      </c>
      <c r="D96" s="578" t="s">
        <v>2594</v>
      </c>
      <c r="E96" s="578" t="s">
        <v>2595</v>
      </c>
      <c r="F96" s="578" t="s">
        <v>2596</v>
      </c>
      <c r="G96" s="578" t="s">
        <v>2597</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2782</v>
      </c>
      <c r="C98" s="573" t="s">
        <v>2593</v>
      </c>
      <c r="D98" s="573" t="s">
        <v>2594</v>
      </c>
      <c r="E98" s="573" t="s">
        <v>2595</v>
      </c>
      <c r="F98" s="573" t="s">
        <v>2596</v>
      </c>
      <c r="G98" s="573" t="s">
        <v>2597</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2650</v>
      </c>
      <c r="C100" s="573" t="s">
        <v>2593</v>
      </c>
      <c r="D100" s="573" t="s">
        <v>2594</v>
      </c>
      <c r="E100" s="573" t="s">
        <v>2595</v>
      </c>
      <c r="F100" s="573" t="s">
        <v>2596</v>
      </c>
      <c r="G100" s="573" t="s">
        <v>2597</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2651</v>
      </c>
      <c r="C102" s="660" t="s">
        <v>2671</v>
      </c>
      <c r="D102" s="660" t="s">
        <v>2672</v>
      </c>
      <c r="E102" s="660" t="s">
        <v>2673</v>
      </c>
      <c r="F102" s="660" t="s">
        <v>2674</v>
      </c>
      <c r="G102" s="660" t="s">
        <v>2675</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2783</v>
      </c>
      <c r="D104" s="539" t="s">
        <v>2784</v>
      </c>
      <c r="E104" s="539" t="s">
        <v>2785</v>
      </c>
      <c r="F104" s="539" t="s">
        <v>2786</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2687</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2746</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2559</v>
      </c>
      <c r="B116" s="528" t="s">
        <v>2787</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2788</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2789</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2790</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2791</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3" type="noConversion"/>
  <conditionalFormatting sqref="F51 H51 J51">
    <cfRule type="containsText" dxfId="27" priority="14" stopIfTrue="1" operator="containsText" text="超过">
      <formula>NOT(ISERROR(SEARCH("超过",F51)))</formula>
    </cfRule>
  </conditionalFormatting>
  <conditionalFormatting sqref="J53">
    <cfRule type="containsText" dxfId="26" priority="13" stopIfTrue="1" operator="containsText" text="超过">
      <formula>NOT(ISERROR(SEARCH("超过",J53)))</formula>
    </cfRule>
  </conditionalFormatting>
  <conditionalFormatting sqref="H53">
    <cfRule type="containsText" dxfId="25" priority="12" stopIfTrue="1" operator="containsText" text="超过">
      <formula>NOT(ISERROR(SEARCH("超过",H53)))</formula>
    </cfRule>
  </conditionalFormatting>
  <conditionalFormatting sqref="F53">
    <cfRule type="containsText" dxfId="24" priority="11" stopIfTrue="1" operator="containsText" text="超过">
      <formula>NOT(ISERROR(SEARCH("超过",F53)))</formula>
    </cfRule>
  </conditionalFormatting>
  <conditionalFormatting sqref="F52 H52 J52">
    <cfRule type="containsText" dxfId="23" priority="10" stopIfTrue="1" operator="containsText" text="超过">
      <formula>NOT(ISERROR(SEARCH("超过",F52)))</formula>
    </cfRule>
  </conditionalFormatting>
  <conditionalFormatting sqref="E51">
    <cfRule type="expression" dxfId="22" priority="9" stopIfTrue="1">
      <formula>$F$51="超过30%"</formula>
    </cfRule>
  </conditionalFormatting>
  <conditionalFormatting sqref="G53">
    <cfRule type="expression" dxfId="21" priority="8" stopIfTrue="1">
      <formula>$H$53="超过30%"</formula>
    </cfRule>
  </conditionalFormatting>
  <conditionalFormatting sqref="E52">
    <cfRule type="expression" dxfId="20" priority="7" stopIfTrue="1">
      <formula>$F$52="超过20%"</formula>
    </cfRule>
  </conditionalFormatting>
  <conditionalFormatting sqref="E53">
    <cfRule type="expression" dxfId="19" priority="6" stopIfTrue="1">
      <formula>$F$53="超过30%"</formula>
    </cfRule>
  </conditionalFormatting>
  <conditionalFormatting sqref="G51">
    <cfRule type="expression" dxfId="18" priority="5" stopIfTrue="1">
      <formula>$H$53+$H$51="超过30%"</formula>
    </cfRule>
  </conditionalFormatting>
  <conditionalFormatting sqref="G52">
    <cfRule type="expression" dxfId="17" priority="4" stopIfTrue="1">
      <formula>$H$52="超过20%"</formula>
    </cfRule>
  </conditionalFormatting>
  <conditionalFormatting sqref="I51">
    <cfRule type="expression" dxfId="16" priority="3" stopIfTrue="1">
      <formula>$J$51="超过30%"</formula>
    </cfRule>
  </conditionalFormatting>
  <conditionalFormatting sqref="I52">
    <cfRule type="expression" dxfId="15" priority="2" stopIfTrue="1">
      <formula>$J$52="超过20%"</formula>
    </cfRule>
  </conditionalFormatting>
  <conditionalFormatting sqref="I53">
    <cfRule type="expression" dxfId="1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J33" sqref="J33"/>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2740</v>
      </c>
      <c r="B1" s="395"/>
      <c r="C1" s="396" t="s">
        <v>2792</v>
      </c>
      <c r="D1" s="755"/>
      <c r="E1" s="755"/>
      <c r="F1" s="754" t="s">
        <v>2639</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2323</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2325</v>
      </c>
      <c r="B3" s="609" t="e">
        <f>ROUND(IF(D3="",B2*10000/'数据-汇总表'!E3,B2*10000/D3),0)</f>
        <v>#DIV/0!</v>
      </c>
      <c r="C3" s="247" t="s">
        <v>2742</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2641</v>
      </c>
      <c r="B4" s="402"/>
      <c r="C4" s="3280" t="s">
        <v>2642</v>
      </c>
      <c r="D4" s="3281"/>
      <c r="E4" s="3282" t="s">
        <v>2643</v>
      </c>
      <c r="F4" s="3283"/>
      <c r="G4" s="3280" t="s">
        <v>2644</v>
      </c>
      <c r="H4" s="3281"/>
      <c r="I4" s="3280" t="s">
        <v>2645</v>
      </c>
      <c r="J4" s="3281"/>
      <c r="K4" s="610" t="s">
        <v>2646</v>
      </c>
      <c r="L4" s="1130"/>
      <c r="M4" s="1131"/>
      <c r="N4" s="1131"/>
      <c r="O4" s="1131"/>
      <c r="P4" s="3284" t="s">
        <v>2647</v>
      </c>
      <c r="Q4" s="3285"/>
      <c r="R4" s="3290" t="s">
        <v>2643</v>
      </c>
      <c r="S4" s="3291"/>
      <c r="T4" s="3290" t="s">
        <v>2644</v>
      </c>
      <c r="U4" s="3291"/>
      <c r="V4" s="3296" t="s">
        <v>2645</v>
      </c>
      <c r="W4" s="3296"/>
      <c r="X4" s="1813"/>
      <c r="Y4" s="3290" t="s">
        <v>2647</v>
      </c>
      <c r="Z4" s="3291"/>
      <c r="AA4" s="3277" t="s">
        <v>2643</v>
      </c>
      <c r="AB4" s="3278" t="s">
        <v>2644</v>
      </c>
      <c r="AC4" s="3277" t="s">
        <v>2645</v>
      </c>
    </row>
    <row r="5" spans="1:29" ht="15">
      <c r="A5" s="404"/>
      <c r="B5" s="405"/>
      <c r="C5" s="3299" t="s">
        <v>2538</v>
      </c>
      <c r="D5" s="3300"/>
      <c r="E5" s="3306" t="s">
        <v>2539</v>
      </c>
      <c r="F5" s="3307"/>
      <c r="G5" s="3299" t="s">
        <v>2540</v>
      </c>
      <c r="H5" s="3300"/>
      <c r="I5" s="3299" t="s">
        <v>2541</v>
      </c>
      <c r="J5" s="3300"/>
      <c r="K5" s="610"/>
      <c r="L5" s="1130"/>
      <c r="M5" s="1131"/>
      <c r="N5" s="1131"/>
      <c r="O5" s="1131"/>
      <c r="P5" s="3286"/>
      <c r="Q5" s="3287"/>
      <c r="R5" s="3292"/>
      <c r="S5" s="3293"/>
      <c r="T5" s="3292"/>
      <c r="U5" s="3293"/>
      <c r="V5" s="3296"/>
      <c r="W5" s="3296"/>
      <c r="X5" s="1813"/>
      <c r="Y5" s="3292"/>
      <c r="Z5" s="3293"/>
      <c r="AA5" s="3278"/>
      <c r="AB5" s="3278"/>
      <c r="AC5" s="3278"/>
    </row>
    <row r="6" spans="1:29" ht="15.75" thickBot="1">
      <c r="A6" s="406"/>
      <c r="B6" s="407"/>
      <c r="C6" s="3328" t="s">
        <v>2793</v>
      </c>
      <c r="D6" s="3329"/>
      <c r="E6" s="3330" t="s">
        <v>2793</v>
      </c>
      <c r="F6" s="3331"/>
      <c r="G6" s="3328" t="s">
        <v>2793</v>
      </c>
      <c r="H6" s="3329"/>
      <c r="I6" s="3328" t="s">
        <v>2793</v>
      </c>
      <c r="J6" s="3329"/>
      <c r="K6" s="610" t="s">
        <v>2543</v>
      </c>
      <c r="L6" s="1130"/>
      <c r="M6" s="1131"/>
      <c r="N6" s="1131"/>
      <c r="O6" s="1131"/>
      <c r="P6" s="3288"/>
      <c r="Q6" s="3289"/>
      <c r="R6" s="3292"/>
      <c r="S6" s="3293"/>
      <c r="T6" s="3294"/>
      <c r="U6" s="3295"/>
      <c r="V6" s="3296"/>
      <c r="W6" s="3296"/>
      <c r="X6" s="1813"/>
      <c r="Y6" s="3294"/>
      <c r="Z6" s="3295"/>
      <c r="AA6" s="3279"/>
      <c r="AB6" s="3279"/>
      <c r="AC6" s="3279"/>
    </row>
    <row r="7" spans="1:29" s="117" customFormat="1" ht="15.75" thickBot="1">
      <c r="A7" s="408" t="s">
        <v>2544</v>
      </c>
      <c r="B7" s="409"/>
      <c r="C7" s="410">
        <f>'数据-取费表'!B2</f>
        <v>43592</v>
      </c>
      <c r="D7" s="411">
        <v>100</v>
      </c>
      <c r="E7" s="412"/>
      <c r="F7" s="413">
        <f>SUMIF(65:65,YEAR(E7)&amp;"-"&amp;INT((MONTH(E7)+2)/3),66:66)</f>
        <v>0</v>
      </c>
      <c r="G7" s="2699"/>
      <c r="H7" s="411">
        <f>SUMIF(65:65,YEAR(G7)&amp;"-"&amp;INT((MONTH(G7)+2)/3),66:66)</f>
        <v>0</v>
      </c>
      <c r="I7" s="2699"/>
      <c r="J7" s="411">
        <f>SUMIF(65:65,YEAR(I7)&amp;"-"&amp;INT((MONTH(I7)+2)/3),66:66)</f>
        <v>0</v>
      </c>
      <c r="K7" s="611"/>
      <c r="L7" s="1132"/>
      <c r="M7" s="1133"/>
      <c r="N7" s="1133"/>
      <c r="O7" s="1133"/>
      <c r="P7" s="3301" t="s">
        <v>2545</v>
      </c>
      <c r="Q7" s="3303"/>
      <c r="R7" s="770" t="s">
        <v>17</v>
      </c>
      <c r="S7" s="771">
        <f t="shared" ref="S7:S15" si="0">F7</f>
        <v>0</v>
      </c>
      <c r="T7" s="770" t="s">
        <v>17</v>
      </c>
      <c r="U7" s="771">
        <f t="shared" ref="U7:U15" si="1">H7</f>
        <v>0</v>
      </c>
      <c r="V7" s="770" t="s">
        <v>17</v>
      </c>
      <c r="W7" s="771">
        <f t="shared" ref="W7:W15" si="2">J7</f>
        <v>0</v>
      </c>
      <c r="X7" s="772"/>
      <c r="Y7" s="3301" t="s">
        <v>2545</v>
      </c>
      <c r="Z7" s="3302"/>
      <c r="AA7" s="773" t="e">
        <f>D7/F7</f>
        <v>#DIV/0!</v>
      </c>
      <c r="AB7" s="773" t="e">
        <f>D7/H7</f>
        <v>#DIV/0!</v>
      </c>
      <c r="AC7" s="773" t="e">
        <f>D7/J7</f>
        <v>#DIV/0!</v>
      </c>
    </row>
    <row r="8" spans="1:29" s="117" customFormat="1" ht="15.75" thickBot="1">
      <c r="A8" s="408" t="s">
        <v>2546</v>
      </c>
      <c r="B8" s="409"/>
      <c r="C8" s="414" t="s">
        <v>2547</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301" t="s">
        <v>2548</v>
      </c>
      <c r="Q8" s="3302"/>
      <c r="R8" s="770" t="s">
        <v>17</v>
      </c>
      <c r="S8" s="771">
        <f t="shared" si="0"/>
        <v>0</v>
      </c>
      <c r="T8" s="770" t="s">
        <v>17</v>
      </c>
      <c r="U8" s="771">
        <f t="shared" si="1"/>
        <v>0</v>
      </c>
      <c r="V8" s="770" t="s">
        <v>17</v>
      </c>
      <c r="W8" s="771">
        <f t="shared" si="2"/>
        <v>0</v>
      </c>
      <c r="X8" s="772"/>
      <c r="Y8" s="3301" t="s">
        <v>2548</v>
      </c>
      <c r="Z8" s="3302"/>
      <c r="AA8" s="773" t="e">
        <f t="shared" ref="AA8:AA40" si="3">D8/F8</f>
        <v>#DIV/0!</v>
      </c>
      <c r="AB8" s="773" t="e">
        <f t="shared" ref="AB8:AB40" si="4">D8/H8</f>
        <v>#DIV/0!</v>
      </c>
      <c r="AC8" s="773" t="e">
        <f t="shared" ref="AC8:AC40" si="5">D8/J8</f>
        <v>#DIV/0!</v>
      </c>
    </row>
    <row r="9" spans="1:29" s="117" customFormat="1">
      <c r="A9" s="415" t="s">
        <v>2549</v>
      </c>
      <c r="B9" s="71" t="s">
        <v>2550</v>
      </c>
      <c r="C9" s="2702"/>
      <c r="D9" s="135">
        <v>100</v>
      </c>
      <c r="E9" s="2702"/>
      <c r="F9" s="135">
        <f>SUMIF(70:70,E9,71:71)-SUMIF(70:70,C9,71:71)+100</f>
        <v>100</v>
      </c>
      <c r="G9" s="2702"/>
      <c r="H9" s="135">
        <f>SUMIF(70:70,G9,71:71)-SUMIF(70:70,C9,71:71)+100</f>
        <v>100</v>
      </c>
      <c r="I9" s="2702"/>
      <c r="J9" s="135">
        <f>SUMIF(70:70,I9,71:71)-SUMIF(70:70,C9,71:71)+100</f>
        <v>100</v>
      </c>
      <c r="K9" s="611"/>
      <c r="L9" s="1132"/>
      <c r="M9" s="1133"/>
      <c r="N9" s="1133"/>
      <c r="O9" s="1134"/>
      <c r="P9" s="3265" t="s">
        <v>2551</v>
      </c>
      <c r="Q9" s="1795" t="str">
        <f t="shared" ref="Q9:Q15" si="6">B9</f>
        <v>用途</v>
      </c>
      <c r="R9" s="770" t="s">
        <v>17</v>
      </c>
      <c r="S9" s="771">
        <f t="shared" si="0"/>
        <v>100</v>
      </c>
      <c r="T9" s="770" t="s">
        <v>17</v>
      </c>
      <c r="U9" s="771">
        <f t="shared" si="1"/>
        <v>100</v>
      </c>
      <c r="V9" s="770" t="s">
        <v>17</v>
      </c>
      <c r="W9" s="771">
        <f t="shared" si="2"/>
        <v>100</v>
      </c>
      <c r="X9" s="772"/>
      <c r="Y9" s="3042" t="s">
        <v>2552</v>
      </c>
      <c r="Z9" s="55" t="str">
        <f t="shared" ref="Z9:Z15" si="7">Q9</f>
        <v>用途</v>
      </c>
      <c r="AA9" s="773">
        <f t="shared" si="3"/>
        <v>1</v>
      </c>
      <c r="AB9" s="773">
        <f t="shared" si="4"/>
        <v>1</v>
      </c>
      <c r="AC9" s="773">
        <f t="shared" si="5"/>
        <v>1</v>
      </c>
    </row>
    <row r="10" spans="1:29" s="427" customFormat="1" ht="27">
      <c r="A10" s="421"/>
      <c r="B10" s="422" t="s">
        <v>2553</v>
      </c>
      <c r="C10" s="432"/>
      <c r="D10" s="136">
        <v>100</v>
      </c>
      <c r="E10" s="432"/>
      <c r="F10" s="136">
        <f ca="1">ROUND(100/'数据-取费表'!G16,0)</f>
        <v>124</v>
      </c>
      <c r="G10" s="432"/>
      <c r="H10" s="136">
        <f ca="1">ROUND(100/'数据-取费表'!G16,0)</f>
        <v>124</v>
      </c>
      <c r="I10" s="432"/>
      <c r="J10" s="136">
        <f ca="1">ROUND(100/'数据-取费表'!G16,0)</f>
        <v>124</v>
      </c>
      <c r="K10" s="672"/>
      <c r="L10" s="1135"/>
      <c r="M10" s="1136"/>
      <c r="N10" s="1136"/>
      <c r="O10" s="1137"/>
      <c r="P10" s="3265"/>
      <c r="Q10" s="1795" t="str">
        <f t="shared" si="6"/>
        <v>土地使用年限（年）</v>
      </c>
      <c r="R10" s="770" t="s">
        <v>17</v>
      </c>
      <c r="S10" s="771">
        <f t="shared" ca="1" si="0"/>
        <v>124</v>
      </c>
      <c r="T10" s="770" t="s">
        <v>17</v>
      </c>
      <c r="U10" s="771">
        <f t="shared" ca="1" si="1"/>
        <v>124</v>
      </c>
      <c r="V10" s="770" t="s">
        <v>17</v>
      </c>
      <c r="W10" s="771">
        <f t="shared" ca="1" si="2"/>
        <v>124</v>
      </c>
      <c r="X10" s="772"/>
      <c r="Y10" s="3042"/>
      <c r="Z10" s="55" t="str">
        <f t="shared" si="7"/>
        <v>土地使用年限（年）</v>
      </c>
      <c r="AA10" s="773">
        <f t="shared" ca="1" si="3"/>
        <v>0.80645161290322576</v>
      </c>
      <c r="AB10" s="773">
        <f t="shared" ca="1" si="4"/>
        <v>0.80645161290322576</v>
      </c>
      <c r="AC10" s="773">
        <f t="shared" ca="1" si="5"/>
        <v>0.80645161290322576</v>
      </c>
    </row>
    <row r="11" spans="1:29" ht="15">
      <c r="A11" s="428"/>
      <c r="B11" s="422" t="s">
        <v>2554</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265"/>
      <c r="Q11" s="1795" t="str">
        <f t="shared" si="6"/>
        <v>容积率</v>
      </c>
      <c r="R11" s="770" t="s">
        <v>17</v>
      </c>
      <c r="S11" s="771" t="e">
        <f t="shared" si="0"/>
        <v>#N/A</v>
      </c>
      <c r="T11" s="770" t="s">
        <v>17</v>
      </c>
      <c r="U11" s="771" t="e">
        <f t="shared" si="1"/>
        <v>#N/A</v>
      </c>
      <c r="V11" s="770" t="s">
        <v>17</v>
      </c>
      <c r="W11" s="771" t="e">
        <f t="shared" si="2"/>
        <v>#N/A</v>
      </c>
      <c r="X11" s="772"/>
      <c r="Y11" s="3042"/>
      <c r="Z11" s="55" t="str">
        <f t="shared" si="7"/>
        <v>容积率</v>
      </c>
      <c r="AA11" s="773" t="e">
        <f t="shared" si="3"/>
        <v>#N/A</v>
      </c>
      <c r="AB11" s="773" t="e">
        <f t="shared" si="4"/>
        <v>#N/A</v>
      </c>
      <c r="AC11" s="773" t="e">
        <f t="shared" si="5"/>
        <v>#N/A</v>
      </c>
    </row>
    <row r="12" spans="1:29" s="117" customFormat="1" ht="15">
      <c r="A12" s="431"/>
      <c r="B12" s="2603">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265"/>
      <c r="Q12" s="1795">
        <f t="shared" si="6"/>
        <v>111</v>
      </c>
      <c r="R12" s="770" t="s">
        <v>17</v>
      </c>
      <c r="S12" s="771">
        <f t="shared" si="0"/>
        <v>100</v>
      </c>
      <c r="T12" s="770" t="s">
        <v>17</v>
      </c>
      <c r="U12" s="771">
        <f t="shared" si="1"/>
        <v>100</v>
      </c>
      <c r="V12" s="770" t="s">
        <v>17</v>
      </c>
      <c r="W12" s="771">
        <f t="shared" si="2"/>
        <v>100</v>
      </c>
      <c r="X12" s="772"/>
      <c r="Y12" s="3042"/>
      <c r="Z12" s="55">
        <f t="shared" si="7"/>
        <v>111</v>
      </c>
      <c r="AA12" s="773">
        <f>D12/F12</f>
        <v>1</v>
      </c>
      <c r="AB12" s="773">
        <f>D12/H12</f>
        <v>1</v>
      </c>
      <c r="AC12" s="773">
        <f>D12/J12</f>
        <v>1</v>
      </c>
    </row>
    <row r="13" spans="1:29" ht="15">
      <c r="A13" s="428"/>
      <c r="B13" s="2603">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265"/>
      <c r="Q13" s="1795">
        <f t="shared" si="6"/>
        <v>111</v>
      </c>
      <c r="R13" s="770" t="s">
        <v>17</v>
      </c>
      <c r="S13" s="771">
        <f t="shared" si="0"/>
        <v>100</v>
      </c>
      <c r="T13" s="770" t="s">
        <v>17</v>
      </c>
      <c r="U13" s="771">
        <f t="shared" si="1"/>
        <v>100</v>
      </c>
      <c r="V13" s="770" t="s">
        <v>17</v>
      </c>
      <c r="W13" s="771">
        <f t="shared" si="2"/>
        <v>100</v>
      </c>
      <c r="X13" s="772"/>
      <c r="Y13" s="3042"/>
      <c r="Z13" s="55">
        <f t="shared" si="7"/>
        <v>111</v>
      </c>
      <c r="AA13" s="773">
        <f t="shared" si="3"/>
        <v>1</v>
      </c>
      <c r="AB13" s="773">
        <f t="shared" si="4"/>
        <v>1</v>
      </c>
      <c r="AC13" s="773">
        <f t="shared" si="5"/>
        <v>1</v>
      </c>
    </row>
    <row r="14" spans="1:29" ht="15.75" thickBot="1">
      <c r="A14" s="436"/>
      <c r="B14" s="2605">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265"/>
      <c r="Q14" s="1795">
        <f t="shared" si="6"/>
        <v>111</v>
      </c>
      <c r="R14" s="770" t="s">
        <v>17</v>
      </c>
      <c r="S14" s="771">
        <f t="shared" si="0"/>
        <v>100</v>
      </c>
      <c r="T14" s="770" t="s">
        <v>17</v>
      </c>
      <c r="U14" s="771">
        <f t="shared" si="1"/>
        <v>100</v>
      </c>
      <c r="V14" s="770" t="s">
        <v>17</v>
      </c>
      <c r="W14" s="771">
        <f t="shared" si="2"/>
        <v>100</v>
      </c>
      <c r="X14" s="772"/>
      <c r="Y14" s="3042"/>
      <c r="Z14" s="55">
        <f t="shared" si="7"/>
        <v>111</v>
      </c>
      <c r="AA14" s="773">
        <f t="shared" si="3"/>
        <v>1</v>
      </c>
      <c r="AB14" s="773">
        <f t="shared" si="4"/>
        <v>1</v>
      </c>
      <c r="AC14" s="773">
        <f t="shared" si="5"/>
        <v>1</v>
      </c>
    </row>
    <row r="15" spans="1:29" ht="57">
      <c r="A15" s="440" t="s">
        <v>2555</v>
      </c>
      <c r="B15" s="629" t="s">
        <v>2794</v>
      </c>
      <c r="C15" s="2696"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267" t="s">
        <v>2556</v>
      </c>
      <c r="Q15" s="1810" t="str">
        <f t="shared" si="6"/>
        <v>产业集聚程度</v>
      </c>
      <c r="R15" s="774" t="s">
        <v>17</v>
      </c>
      <c r="S15" s="775">
        <f t="shared" si="0"/>
        <v>100</v>
      </c>
      <c r="T15" s="774" t="s">
        <v>17</v>
      </c>
      <c r="U15" s="775">
        <f t="shared" si="1"/>
        <v>100</v>
      </c>
      <c r="V15" s="774" t="s">
        <v>17</v>
      </c>
      <c r="W15" s="775">
        <f t="shared" si="2"/>
        <v>100</v>
      </c>
      <c r="X15" s="1813"/>
      <c r="Y15" s="3267" t="s">
        <v>2556</v>
      </c>
      <c r="Z15" s="1814" t="str">
        <f t="shared" si="7"/>
        <v>产业集聚程度</v>
      </c>
      <c r="AA15" s="1811">
        <f t="shared" si="3"/>
        <v>1</v>
      </c>
      <c r="AB15" s="1811">
        <f t="shared" si="4"/>
        <v>1</v>
      </c>
      <c r="AC15" s="1811">
        <f t="shared" si="5"/>
        <v>1</v>
      </c>
    </row>
    <row r="16" spans="1:29" ht="15">
      <c r="A16" s="428"/>
      <c r="B16" s="630"/>
      <c r="C16" s="447"/>
      <c r="D16" s="448"/>
      <c r="E16" s="2614"/>
      <c r="F16" s="448"/>
      <c r="G16" s="2614"/>
      <c r="H16" s="450"/>
      <c r="I16" s="2614"/>
      <c r="J16" s="448"/>
      <c r="K16" s="672"/>
      <c r="L16" s="1140"/>
      <c r="M16" s="1131"/>
      <c r="N16" s="1131"/>
      <c r="O16" s="1139"/>
      <c r="P16" s="3268"/>
      <c r="Q16" s="1810"/>
      <c r="R16" s="774"/>
      <c r="S16" s="775"/>
      <c r="T16" s="774"/>
      <c r="U16" s="775"/>
      <c r="V16" s="774"/>
      <c r="W16" s="775"/>
      <c r="X16" s="1813"/>
      <c r="Y16" s="3268"/>
      <c r="Z16" s="1814"/>
      <c r="AA16" s="1811">
        <v>1</v>
      </c>
      <c r="AB16" s="1811">
        <v>1</v>
      </c>
      <c r="AC16" s="1811">
        <v>1</v>
      </c>
    </row>
    <row r="17" spans="1:29" ht="85.5">
      <c r="A17" s="428"/>
      <c r="B17" s="631" t="s">
        <v>2705</v>
      </c>
      <c r="C17" s="2610"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268"/>
      <c r="Q17" s="1810" t="str">
        <f>B17</f>
        <v>交通便捷度</v>
      </c>
      <c r="R17" s="774" t="s">
        <v>17</v>
      </c>
      <c r="S17" s="775">
        <f>F17</f>
        <v>100</v>
      </c>
      <c r="T17" s="774" t="s">
        <v>17</v>
      </c>
      <c r="U17" s="775">
        <f>H17</f>
        <v>100</v>
      </c>
      <c r="V17" s="774" t="s">
        <v>17</v>
      </c>
      <c r="W17" s="775">
        <f>J17</f>
        <v>100</v>
      </c>
      <c r="X17" s="1813"/>
      <c r="Y17" s="3268"/>
      <c r="Z17" s="1814" t="str">
        <f>Q17</f>
        <v>交通便捷度</v>
      </c>
      <c r="AA17" s="1811">
        <f t="shared" si="3"/>
        <v>1</v>
      </c>
      <c r="AB17" s="1811">
        <f t="shared" si="4"/>
        <v>1</v>
      </c>
      <c r="AC17" s="1811">
        <f t="shared" si="5"/>
        <v>1</v>
      </c>
    </row>
    <row r="18" spans="1:29" ht="15">
      <c r="A18" s="428"/>
      <c r="B18" s="632"/>
      <c r="C18" s="447"/>
      <c r="D18" s="448"/>
      <c r="E18" s="2608"/>
      <c r="F18" s="448"/>
      <c r="G18" s="2608"/>
      <c r="H18" s="448"/>
      <c r="I18" s="2607"/>
      <c r="J18" s="448"/>
      <c r="K18" s="672"/>
      <c r="L18" s="1140"/>
      <c r="M18" s="1131"/>
      <c r="N18" s="1131"/>
      <c r="O18" s="1139"/>
      <c r="P18" s="3268"/>
      <c r="Q18" s="1810"/>
      <c r="R18" s="774"/>
      <c r="S18" s="775"/>
      <c r="T18" s="774"/>
      <c r="U18" s="775"/>
      <c r="V18" s="774"/>
      <c r="W18" s="775"/>
      <c r="X18" s="1813"/>
      <c r="Y18" s="3268"/>
      <c r="Z18" s="1814"/>
      <c r="AA18" s="1811">
        <v>1</v>
      </c>
      <c r="AB18" s="1811">
        <v>1</v>
      </c>
      <c r="AC18" s="1811">
        <v>1</v>
      </c>
    </row>
    <row r="19" spans="1:29" ht="15">
      <c r="A19" s="428"/>
      <c r="B19" s="631" t="s">
        <v>2744</v>
      </c>
      <c r="C19" s="2610">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268"/>
      <c r="Q19" s="1810" t="str">
        <f t="shared" ref="Q19:Q33" si="8">B19</f>
        <v>区域土地利用方向</v>
      </c>
      <c r="R19" s="774" t="s">
        <v>17</v>
      </c>
      <c r="S19" s="775">
        <f>F19</f>
        <v>100</v>
      </c>
      <c r="T19" s="774" t="s">
        <v>17</v>
      </c>
      <c r="U19" s="775">
        <f>H19</f>
        <v>100</v>
      </c>
      <c r="V19" s="774" t="s">
        <v>17</v>
      </c>
      <c r="W19" s="775">
        <f>J19</f>
        <v>100</v>
      </c>
      <c r="X19" s="1813"/>
      <c r="Y19" s="3268"/>
      <c r="Z19" s="1814" t="str">
        <f>Q19</f>
        <v>区域土地利用方向</v>
      </c>
      <c r="AA19" s="1811">
        <f t="shared" si="3"/>
        <v>1</v>
      </c>
      <c r="AB19" s="1811">
        <f t="shared" si="4"/>
        <v>1</v>
      </c>
      <c r="AC19" s="1811">
        <f t="shared" si="5"/>
        <v>1</v>
      </c>
    </row>
    <row r="20" spans="1:29" ht="15">
      <c r="A20" s="404"/>
      <c r="B20" s="632"/>
      <c r="C20" s="447"/>
      <c r="D20" s="448"/>
      <c r="E20" s="2608"/>
      <c r="F20" s="448"/>
      <c r="G20" s="2608"/>
      <c r="H20" s="448"/>
      <c r="I20" s="2608"/>
      <c r="J20" s="448"/>
      <c r="K20" s="812"/>
      <c r="L20" s="1140"/>
      <c r="M20" s="1131"/>
      <c r="N20" s="1131"/>
      <c r="O20" s="1139"/>
      <c r="P20" s="3268"/>
      <c r="Q20" s="1810"/>
      <c r="R20" s="774"/>
      <c r="S20" s="775"/>
      <c r="T20" s="774"/>
      <c r="U20" s="775"/>
      <c r="V20" s="774"/>
      <c r="W20" s="775"/>
      <c r="X20" s="1813"/>
      <c r="Y20" s="3268"/>
      <c r="Z20" s="1814"/>
      <c r="AA20" s="1811"/>
      <c r="AB20" s="1811"/>
      <c r="AC20" s="1811"/>
    </row>
    <row r="21" spans="1:29" ht="71.25">
      <c r="A21" s="404"/>
      <c r="B21" s="631" t="s">
        <v>2795</v>
      </c>
      <c r="C21" s="2610"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268"/>
      <c r="Q21" s="1810" t="str">
        <f t="shared" si="8"/>
        <v>环境状况</v>
      </c>
      <c r="R21" s="774" t="s">
        <v>17</v>
      </c>
      <c r="S21" s="775">
        <f>F21</f>
        <v>100</v>
      </c>
      <c r="T21" s="774" t="s">
        <v>17</v>
      </c>
      <c r="U21" s="775">
        <f>H21</f>
        <v>100</v>
      </c>
      <c r="V21" s="774" t="s">
        <v>17</v>
      </c>
      <c r="W21" s="775">
        <f>J21</f>
        <v>100</v>
      </c>
      <c r="X21" s="1813"/>
      <c r="Y21" s="3268"/>
      <c r="Z21" s="1814" t="str">
        <f>Q21</f>
        <v>环境状况</v>
      </c>
      <c r="AA21" s="1811">
        <f t="shared" si="3"/>
        <v>1</v>
      </c>
      <c r="AB21" s="1811">
        <f t="shared" si="4"/>
        <v>1</v>
      </c>
      <c r="AC21" s="1811">
        <f t="shared" si="5"/>
        <v>1</v>
      </c>
    </row>
    <row r="22" spans="1:29" ht="15">
      <c r="A22" s="404"/>
      <c r="B22" s="632"/>
      <c r="C22" s="447"/>
      <c r="D22" s="448"/>
      <c r="E22" s="2614"/>
      <c r="F22" s="448"/>
      <c r="G22" s="2614"/>
      <c r="H22" s="448"/>
      <c r="I22" s="447"/>
      <c r="J22" s="448"/>
      <c r="K22" s="672"/>
      <c r="L22" s="1140"/>
      <c r="M22" s="1131"/>
      <c r="N22" s="1131"/>
      <c r="O22" s="1139"/>
      <c r="P22" s="3268"/>
      <c r="Q22" s="1810"/>
      <c r="R22" s="774"/>
      <c r="S22" s="775"/>
      <c r="T22" s="774"/>
      <c r="U22" s="775"/>
      <c r="V22" s="774"/>
      <c r="W22" s="775"/>
      <c r="X22" s="1813"/>
      <c r="Y22" s="3268"/>
      <c r="Z22" s="1814"/>
      <c r="AA22" s="1811">
        <v>1</v>
      </c>
      <c r="AB22" s="1811">
        <v>1</v>
      </c>
      <c r="AC22" s="1811">
        <v>1</v>
      </c>
    </row>
    <row r="23" spans="1:29" s="117" customFormat="1" ht="42.75">
      <c r="A23" s="649"/>
      <c r="B23" s="633" t="s">
        <v>2650</v>
      </c>
      <c r="C23" s="2610"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268"/>
      <c r="Q23" s="1795" t="str">
        <f t="shared" si="8"/>
        <v>公共配套设施</v>
      </c>
      <c r="R23" s="770" t="s">
        <v>17</v>
      </c>
      <c r="S23" s="771">
        <f>F23</f>
        <v>100</v>
      </c>
      <c r="T23" s="770" t="s">
        <v>17</v>
      </c>
      <c r="U23" s="771">
        <f>H23</f>
        <v>100</v>
      </c>
      <c r="V23" s="770" t="s">
        <v>17</v>
      </c>
      <c r="W23" s="771">
        <f>J23</f>
        <v>100</v>
      </c>
      <c r="X23" s="772"/>
      <c r="Y23" s="3268"/>
      <c r="Z23" s="55" t="str">
        <f>Q23</f>
        <v>公共配套设施</v>
      </c>
      <c r="AA23" s="1811">
        <f>D23/F23</f>
        <v>1</v>
      </c>
      <c r="AB23" s="1811">
        <f>D23/H23</f>
        <v>1</v>
      </c>
      <c r="AC23" s="1811">
        <f>D23/J23</f>
        <v>1</v>
      </c>
    </row>
    <row r="24" spans="1:29" s="117" customFormat="1" ht="15">
      <c r="A24" s="649"/>
      <c r="B24" s="632"/>
      <c r="C24" s="2703"/>
      <c r="D24" s="448"/>
      <c r="E24" s="2614"/>
      <c r="F24" s="448"/>
      <c r="G24" s="2614"/>
      <c r="H24" s="448"/>
      <c r="I24" s="447"/>
      <c r="J24" s="448"/>
      <c r="K24" s="672"/>
      <c r="L24" s="1132"/>
      <c r="M24" s="1133"/>
      <c r="N24" s="1133"/>
      <c r="O24" s="1134"/>
      <c r="P24" s="3268"/>
      <c r="Q24" s="1795"/>
      <c r="R24" s="770"/>
      <c r="S24" s="771"/>
      <c r="T24" s="770"/>
      <c r="U24" s="771"/>
      <c r="V24" s="770"/>
      <c r="W24" s="771"/>
      <c r="X24" s="772"/>
      <c r="Y24" s="3268"/>
      <c r="Z24" s="55"/>
      <c r="AA24" s="773">
        <v>1</v>
      </c>
      <c r="AB24" s="773">
        <v>1</v>
      </c>
      <c r="AC24" s="773">
        <v>1</v>
      </c>
    </row>
    <row r="25" spans="1:29" s="117" customFormat="1" ht="28.5">
      <c r="A25" s="649"/>
      <c r="B25" s="633" t="s">
        <v>2651</v>
      </c>
      <c r="C25" s="2610"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268"/>
      <c r="Q25" s="1795" t="str">
        <f t="shared" ref="Q25" si="9">B25</f>
        <v>基础设施水平</v>
      </c>
      <c r="R25" s="770" t="s">
        <v>17</v>
      </c>
      <c r="S25" s="771">
        <f>F25</f>
        <v>100</v>
      </c>
      <c r="T25" s="770" t="s">
        <v>17</v>
      </c>
      <c r="U25" s="771">
        <f>H25</f>
        <v>100</v>
      </c>
      <c r="V25" s="770" t="s">
        <v>17</v>
      </c>
      <c r="W25" s="771">
        <f>J25</f>
        <v>100</v>
      </c>
      <c r="X25" s="772"/>
      <c r="Y25" s="3268"/>
      <c r="Z25" s="55" t="str">
        <f>Q25</f>
        <v>基础设施水平</v>
      </c>
      <c r="AA25" s="1811">
        <f>D25/F25</f>
        <v>1</v>
      </c>
      <c r="AB25" s="1811">
        <f>D25/H25</f>
        <v>1</v>
      </c>
      <c r="AC25" s="1811">
        <f>D25/J25</f>
        <v>1</v>
      </c>
    </row>
    <row r="26" spans="1:29" s="117" customFormat="1" ht="15">
      <c r="A26" s="649"/>
      <c r="B26" s="632"/>
      <c r="C26" s="2703"/>
      <c r="D26" s="448"/>
      <c r="E26" s="2704"/>
      <c r="F26" s="448"/>
      <c r="G26" s="2704"/>
      <c r="H26" s="448"/>
      <c r="I26" s="2704"/>
      <c r="J26" s="448"/>
      <c r="K26" s="672"/>
      <c r="L26" s="1132"/>
      <c r="M26" s="1133"/>
      <c r="N26" s="1133"/>
      <c r="O26" s="1134"/>
      <c r="P26" s="3268"/>
      <c r="Q26" s="1795"/>
      <c r="R26" s="770"/>
      <c r="S26" s="771"/>
      <c r="T26" s="770"/>
      <c r="U26" s="771"/>
      <c r="V26" s="770"/>
      <c r="W26" s="771"/>
      <c r="X26" s="772"/>
      <c r="Y26" s="3268"/>
      <c r="Z26" s="55"/>
      <c r="AA26" s="773">
        <v>1</v>
      </c>
      <c r="AB26" s="773">
        <v>1</v>
      </c>
      <c r="AC26" s="773">
        <v>1</v>
      </c>
    </row>
    <row r="27" spans="1:29" ht="15">
      <c r="A27" s="428"/>
      <c r="B27" s="632" t="s">
        <v>2652</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268"/>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268"/>
      <c r="Z27" s="1814" t="str">
        <f t="shared" ref="Z27:Z40" si="13">Q27</f>
        <v>临街状况</v>
      </c>
      <c r="AA27" s="1811">
        <f t="shared" si="3"/>
        <v>1</v>
      </c>
      <c r="AB27" s="1811">
        <f t="shared" si="4"/>
        <v>1</v>
      </c>
      <c r="AC27" s="1811">
        <f t="shared" si="5"/>
        <v>1</v>
      </c>
    </row>
    <row r="28" spans="1:29" ht="27">
      <c r="A28" s="428"/>
      <c r="B28" s="633" t="s">
        <v>2687</v>
      </c>
      <c r="C28" s="2716">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268"/>
      <c r="Q28" s="1810" t="str">
        <f t="shared" si="8"/>
        <v>毗邻道路的类型与等级</v>
      </c>
      <c r="R28" s="774" t="s">
        <v>17</v>
      </c>
      <c r="S28" s="775">
        <f t="shared" si="10"/>
        <v>100</v>
      </c>
      <c r="T28" s="774" t="s">
        <v>17</v>
      </c>
      <c r="U28" s="775">
        <f t="shared" si="11"/>
        <v>100</v>
      </c>
      <c r="V28" s="774" t="s">
        <v>17</v>
      </c>
      <c r="W28" s="775">
        <f t="shared" si="12"/>
        <v>100</v>
      </c>
      <c r="X28" s="1813"/>
      <c r="Y28" s="3268"/>
      <c r="Z28" s="1814" t="str">
        <f t="shared" si="13"/>
        <v>毗邻道路的类型与等级</v>
      </c>
      <c r="AA28" s="1811">
        <f t="shared" si="3"/>
        <v>1</v>
      </c>
      <c r="AB28" s="1811">
        <f t="shared" si="4"/>
        <v>1</v>
      </c>
      <c r="AC28" s="1811">
        <f t="shared" si="5"/>
        <v>1</v>
      </c>
    </row>
    <row r="29" spans="1:29" ht="15">
      <c r="A29" s="428"/>
      <c r="B29" s="632"/>
      <c r="C29" s="447"/>
      <c r="D29" s="448"/>
      <c r="E29" s="2614"/>
      <c r="F29" s="448"/>
      <c r="G29" s="2614"/>
      <c r="H29" s="448"/>
      <c r="I29" s="2614"/>
      <c r="J29" s="448"/>
      <c r="K29" s="613"/>
      <c r="L29" s="1140"/>
      <c r="M29" s="1131"/>
      <c r="N29" s="1131"/>
      <c r="O29" s="1139"/>
      <c r="P29" s="3268"/>
      <c r="Q29" s="1810"/>
      <c r="R29" s="774"/>
      <c r="S29" s="775"/>
      <c r="T29" s="774"/>
      <c r="U29" s="775"/>
      <c r="V29" s="774"/>
      <c r="W29" s="775"/>
      <c r="X29" s="1813"/>
      <c r="Y29" s="3268"/>
      <c r="Z29" s="1814"/>
      <c r="AA29" s="1811">
        <v>1</v>
      </c>
      <c r="AB29" s="1811">
        <v>1</v>
      </c>
      <c r="AC29" s="1811">
        <v>1</v>
      </c>
    </row>
    <row r="30" spans="1:29" ht="15">
      <c r="A30" s="428"/>
      <c r="B30" s="654" t="s">
        <v>2746</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268"/>
      <c r="Q30" s="1810" t="str">
        <f t="shared" si="8"/>
        <v>土地级别</v>
      </c>
      <c r="R30" s="774" t="s">
        <v>17</v>
      </c>
      <c r="S30" s="775">
        <f t="shared" si="10"/>
        <v>100</v>
      </c>
      <c r="T30" s="774" t="s">
        <v>17</v>
      </c>
      <c r="U30" s="775">
        <f t="shared" si="11"/>
        <v>100</v>
      </c>
      <c r="V30" s="774" t="s">
        <v>17</v>
      </c>
      <c r="W30" s="775">
        <f t="shared" si="12"/>
        <v>100</v>
      </c>
      <c r="X30" s="1813"/>
      <c r="Y30" s="3268"/>
      <c r="Z30" s="1814" t="str">
        <f t="shared" si="13"/>
        <v>土地级别</v>
      </c>
      <c r="AA30" s="1811">
        <f t="shared" si="3"/>
        <v>1</v>
      </c>
      <c r="AB30" s="1811">
        <f t="shared" si="4"/>
        <v>1</v>
      </c>
      <c r="AC30" s="1811">
        <f t="shared" si="5"/>
        <v>1</v>
      </c>
    </row>
    <row r="31" spans="1:29" ht="15">
      <c r="A31" s="404"/>
      <c r="B31" s="2681">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268"/>
      <c r="Q31" s="1810">
        <f t="shared" si="8"/>
        <v>111</v>
      </c>
      <c r="R31" s="774" t="s">
        <v>17</v>
      </c>
      <c r="S31" s="775">
        <f t="shared" si="10"/>
        <v>100</v>
      </c>
      <c r="T31" s="774" t="s">
        <v>17</v>
      </c>
      <c r="U31" s="775">
        <f t="shared" si="11"/>
        <v>100</v>
      </c>
      <c r="V31" s="774" t="s">
        <v>17</v>
      </c>
      <c r="W31" s="775">
        <f t="shared" si="12"/>
        <v>100</v>
      </c>
      <c r="X31" s="1813"/>
      <c r="Y31" s="3268"/>
      <c r="Z31" s="1814">
        <f t="shared" si="13"/>
        <v>111</v>
      </c>
      <c r="AA31" s="1811">
        <f t="shared" si="3"/>
        <v>1</v>
      </c>
      <c r="AB31" s="1811">
        <f t="shared" si="4"/>
        <v>1</v>
      </c>
      <c r="AC31" s="1811">
        <f t="shared" si="5"/>
        <v>1</v>
      </c>
    </row>
    <row r="32" spans="1:29" ht="15">
      <c r="A32" s="675"/>
      <c r="B32" s="2717">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323" t="s">
        <v>2561</v>
      </c>
      <c r="Q32" s="1810">
        <f t="shared" si="8"/>
        <v>111</v>
      </c>
      <c r="R32" s="774" t="s">
        <v>17</v>
      </c>
      <c r="S32" s="775">
        <f t="shared" si="10"/>
        <v>100</v>
      </c>
      <c r="T32" s="774" t="s">
        <v>17</v>
      </c>
      <c r="U32" s="775">
        <f t="shared" si="11"/>
        <v>100</v>
      </c>
      <c r="V32" s="774" t="s">
        <v>17</v>
      </c>
      <c r="W32" s="775">
        <f t="shared" si="12"/>
        <v>100</v>
      </c>
      <c r="X32" s="1813"/>
      <c r="Y32" s="3272" t="s">
        <v>2561</v>
      </c>
      <c r="Z32" s="1814">
        <f t="shared" si="13"/>
        <v>111</v>
      </c>
      <c r="AA32" s="1811">
        <f t="shared" si="3"/>
        <v>1</v>
      </c>
      <c r="AB32" s="1811">
        <f t="shared" si="4"/>
        <v>1</v>
      </c>
      <c r="AC32" s="1811">
        <f t="shared" si="5"/>
        <v>1</v>
      </c>
    </row>
    <row r="33" spans="1:29" s="471" customFormat="1" ht="15.75" thickBot="1">
      <c r="A33" s="676"/>
      <c r="B33" s="2718">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272"/>
      <c r="Q33" s="1810">
        <f t="shared" si="8"/>
        <v>111</v>
      </c>
      <c r="R33" s="777" t="s">
        <v>17</v>
      </c>
      <c r="S33" s="778">
        <f t="shared" si="10"/>
        <v>100</v>
      </c>
      <c r="T33" s="777" t="s">
        <v>17</v>
      </c>
      <c r="U33" s="778">
        <f t="shared" si="11"/>
        <v>100</v>
      </c>
      <c r="V33" s="777" t="s">
        <v>17</v>
      </c>
      <c r="W33" s="778">
        <f t="shared" si="12"/>
        <v>100</v>
      </c>
      <c r="X33" s="779"/>
      <c r="Y33" s="3272"/>
      <c r="Z33" s="780">
        <f t="shared" si="13"/>
        <v>111</v>
      </c>
      <c r="AA33" s="1811">
        <f t="shared" si="3"/>
        <v>1</v>
      </c>
      <c r="AB33" s="1811">
        <f t="shared" si="4"/>
        <v>1</v>
      </c>
      <c r="AC33" s="1811">
        <f t="shared" si="5"/>
        <v>1</v>
      </c>
    </row>
    <row r="34" spans="1:29" ht="15">
      <c r="A34" s="440" t="s">
        <v>2559</v>
      </c>
      <c r="B34" s="456" t="s">
        <v>2747</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272"/>
      <c r="Q34" s="1810" t="str">
        <f>B34</f>
        <v>宗地面积</v>
      </c>
      <c r="R34" s="774" t="s">
        <v>17</v>
      </c>
      <c r="S34" s="775" t="e">
        <f t="shared" si="10"/>
        <v>#N/A</v>
      </c>
      <c r="T34" s="774" t="s">
        <v>17</v>
      </c>
      <c r="U34" s="775" t="e">
        <f t="shared" si="11"/>
        <v>#N/A</v>
      </c>
      <c r="V34" s="774" t="s">
        <v>17</v>
      </c>
      <c r="W34" s="775" t="e">
        <f t="shared" si="12"/>
        <v>#N/A</v>
      </c>
      <c r="X34" s="1813"/>
      <c r="Y34" s="3272"/>
      <c r="Z34" s="1814" t="str">
        <f t="shared" si="13"/>
        <v>宗地面积</v>
      </c>
      <c r="AA34" s="1811" t="e">
        <f t="shared" si="3"/>
        <v>#N/A</v>
      </c>
      <c r="AB34" s="1811" t="e">
        <f t="shared" si="4"/>
        <v>#N/A</v>
      </c>
      <c r="AC34" s="1811" t="e">
        <f t="shared" si="5"/>
        <v>#N/A</v>
      </c>
    </row>
    <row r="35" spans="1:29" ht="15">
      <c r="A35" s="472"/>
      <c r="B35" s="422" t="s">
        <v>2748</v>
      </c>
      <c r="C35" s="2616"/>
      <c r="D35" s="435">
        <v>100</v>
      </c>
      <c r="E35" s="2616"/>
      <c r="F35" s="435">
        <f>SUMIF(110:110,E35,111:111)-SUMIF(110:110,C35,111:111)+100</f>
        <v>100</v>
      </c>
      <c r="G35" s="2616"/>
      <c r="H35" s="435">
        <f>SUMIF(110:110,G35,111:111)-SUMIF(110:110,C35,111:111)+100</f>
        <v>100</v>
      </c>
      <c r="I35" s="2616"/>
      <c r="J35" s="435">
        <f>SUMIF(110:110,I35,111:111)-SUMIF(110:110,C35,111:111)+100</f>
        <v>100</v>
      </c>
      <c r="K35" s="612"/>
      <c r="L35" s="1140"/>
      <c r="M35" s="1131"/>
      <c r="N35" s="1131"/>
      <c r="O35" s="1139"/>
      <c r="P35" s="3272"/>
      <c r="Q35" s="1810" t="str">
        <f t="shared" ref="Q35:Q40" si="14">B35</f>
        <v>宗地形状</v>
      </c>
      <c r="R35" s="774" t="s">
        <v>17</v>
      </c>
      <c r="S35" s="775">
        <f t="shared" si="10"/>
        <v>100</v>
      </c>
      <c r="T35" s="774" t="s">
        <v>17</v>
      </c>
      <c r="U35" s="775">
        <f t="shared" si="11"/>
        <v>100</v>
      </c>
      <c r="V35" s="774" t="s">
        <v>17</v>
      </c>
      <c r="W35" s="775">
        <f t="shared" si="12"/>
        <v>100</v>
      </c>
      <c r="X35" s="1813"/>
      <c r="Y35" s="3272"/>
      <c r="Z35" s="1814" t="str">
        <f t="shared" si="13"/>
        <v>宗地形状</v>
      </c>
      <c r="AA35" s="1811">
        <f t="shared" si="3"/>
        <v>1</v>
      </c>
      <c r="AB35" s="1811">
        <f t="shared" si="4"/>
        <v>1</v>
      </c>
      <c r="AC35" s="1811">
        <f t="shared" si="5"/>
        <v>1</v>
      </c>
    </row>
    <row r="36" spans="1:29" s="117" customFormat="1" ht="15">
      <c r="A36" s="473"/>
      <c r="B36" s="422" t="s">
        <v>2750</v>
      </c>
      <c r="C36" s="2705"/>
      <c r="D36" s="136">
        <v>100</v>
      </c>
      <c r="E36" s="2705"/>
      <c r="F36" s="435">
        <f>SUMIF(112:112,E36,113:113)-SUMIF(112:112,C36,113:113)+100</f>
        <v>100</v>
      </c>
      <c r="G36" s="2705"/>
      <c r="H36" s="435">
        <f>SUMIF(112:112,G36,113:113)-SUMIF(112:112,C36,113:113)+100</f>
        <v>100</v>
      </c>
      <c r="I36" s="2705"/>
      <c r="J36" s="435">
        <f>SUMIF(112:112,I36,113:113)-SUMIF(112:112,C36,113:113)+100</f>
        <v>100</v>
      </c>
      <c r="K36" s="612"/>
      <c r="L36" s="1132"/>
      <c r="M36" s="1133"/>
      <c r="N36" s="1133"/>
      <c r="O36" s="1134"/>
      <c r="P36" s="3272"/>
      <c r="Q36" s="1810" t="str">
        <f t="shared" si="14"/>
        <v>宗地开发程度</v>
      </c>
      <c r="R36" s="770" t="s">
        <v>17</v>
      </c>
      <c r="S36" s="771">
        <f t="shared" si="10"/>
        <v>100</v>
      </c>
      <c r="T36" s="770" t="s">
        <v>17</v>
      </c>
      <c r="U36" s="771">
        <f t="shared" si="11"/>
        <v>100</v>
      </c>
      <c r="V36" s="770" t="s">
        <v>17</v>
      </c>
      <c r="W36" s="771">
        <f t="shared" si="12"/>
        <v>100</v>
      </c>
      <c r="X36" s="772"/>
      <c r="Y36" s="3272"/>
      <c r="Z36" s="55" t="str">
        <f t="shared" si="13"/>
        <v>宗地开发程度</v>
      </c>
      <c r="AA36" s="773">
        <f t="shared" si="3"/>
        <v>1</v>
      </c>
      <c r="AB36" s="773">
        <f t="shared" si="4"/>
        <v>1</v>
      </c>
      <c r="AC36" s="773">
        <f t="shared" si="5"/>
        <v>1</v>
      </c>
    </row>
    <row r="37" spans="1:29" ht="15">
      <c r="A37" s="472"/>
      <c r="B37" s="422" t="s">
        <v>2751</v>
      </c>
      <c r="C37" s="2616"/>
      <c r="D37" s="435">
        <v>100</v>
      </c>
      <c r="E37" s="2616"/>
      <c r="F37" s="435">
        <f>SUMIF(114:114,E37,115:115)-SUMIF(114:114,C37,115:115)+100</f>
        <v>100</v>
      </c>
      <c r="G37" s="2616"/>
      <c r="H37" s="435">
        <f>SUMIF(114:114,G37,115:115)-SUMIF(114:114,C37,115:115)+100</f>
        <v>100</v>
      </c>
      <c r="I37" s="2616"/>
      <c r="J37" s="435">
        <f>SUMIF(114:114,I37,115:115)-SUMIF(114:114,C37,115:115)+100</f>
        <v>100</v>
      </c>
      <c r="K37" s="612"/>
      <c r="L37" s="1140"/>
      <c r="M37" s="1131"/>
      <c r="N37" s="1131"/>
      <c r="O37" s="1139"/>
      <c r="P37" s="3272" t="s">
        <v>2561</v>
      </c>
      <c r="Q37" s="1810" t="str">
        <f t="shared" si="14"/>
        <v>工程地质条件</v>
      </c>
      <c r="R37" s="774" t="s">
        <v>17</v>
      </c>
      <c r="S37" s="775">
        <f t="shared" si="10"/>
        <v>100</v>
      </c>
      <c r="T37" s="774" t="s">
        <v>17</v>
      </c>
      <c r="U37" s="775">
        <f t="shared" si="11"/>
        <v>100</v>
      </c>
      <c r="V37" s="774" t="s">
        <v>17</v>
      </c>
      <c r="W37" s="775">
        <f t="shared" si="12"/>
        <v>100</v>
      </c>
      <c r="X37" s="1813"/>
      <c r="Y37" s="3272" t="s">
        <v>2561</v>
      </c>
      <c r="Z37" s="1814" t="str">
        <f t="shared" si="13"/>
        <v>工程地质条件</v>
      </c>
      <c r="AA37" s="1811">
        <f t="shared" si="3"/>
        <v>1</v>
      </c>
      <c r="AB37" s="1811">
        <f t="shared" si="4"/>
        <v>1</v>
      </c>
      <c r="AC37" s="1811">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272"/>
      <c r="Q38" s="1810">
        <f t="shared" si="14"/>
        <v>111</v>
      </c>
      <c r="R38" s="774" t="s">
        <v>17</v>
      </c>
      <c r="S38" s="775">
        <f t="shared" si="10"/>
        <v>100</v>
      </c>
      <c r="T38" s="774" t="s">
        <v>17</v>
      </c>
      <c r="U38" s="775">
        <f t="shared" si="11"/>
        <v>100</v>
      </c>
      <c r="V38" s="774" t="s">
        <v>17</v>
      </c>
      <c r="W38" s="775">
        <f t="shared" si="12"/>
        <v>100</v>
      </c>
      <c r="X38" s="1813"/>
      <c r="Y38" s="3272"/>
      <c r="Z38" s="1814">
        <f t="shared" si="13"/>
        <v>111</v>
      </c>
      <c r="AA38" s="1811">
        <f t="shared" si="3"/>
        <v>1</v>
      </c>
      <c r="AB38" s="1811">
        <f t="shared" si="4"/>
        <v>1</v>
      </c>
      <c r="AC38" s="1811">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272"/>
      <c r="Q39" s="1810">
        <f t="shared" si="14"/>
        <v>111</v>
      </c>
      <c r="R39" s="774" t="s">
        <v>17</v>
      </c>
      <c r="S39" s="775">
        <f t="shared" si="10"/>
        <v>100</v>
      </c>
      <c r="T39" s="774" t="s">
        <v>17</v>
      </c>
      <c r="U39" s="775">
        <f t="shared" si="11"/>
        <v>100</v>
      </c>
      <c r="V39" s="774" t="s">
        <v>17</v>
      </c>
      <c r="W39" s="775">
        <f t="shared" si="12"/>
        <v>100</v>
      </c>
      <c r="X39" s="1813"/>
      <c r="Y39" s="3272"/>
      <c r="Z39" s="1814">
        <f t="shared" si="13"/>
        <v>111</v>
      </c>
      <c r="AA39" s="1811">
        <f t="shared" si="3"/>
        <v>1</v>
      </c>
      <c r="AB39" s="1811">
        <f t="shared" si="4"/>
        <v>1</v>
      </c>
      <c r="AC39" s="1811">
        <f t="shared" si="5"/>
        <v>1</v>
      </c>
    </row>
    <row r="40" spans="1:29" s="471" customFormat="1" ht="15.75" thickBot="1">
      <c r="A40" s="468"/>
      <c r="B40" s="1387">
        <v>111</v>
      </c>
      <c r="C40" s="2706"/>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272"/>
      <c r="Q40" s="1810">
        <f t="shared" si="14"/>
        <v>111</v>
      </c>
      <c r="R40" s="777" t="s">
        <v>17</v>
      </c>
      <c r="S40" s="778">
        <f t="shared" si="10"/>
        <v>100</v>
      </c>
      <c r="T40" s="777" t="s">
        <v>17</v>
      </c>
      <c r="U40" s="778">
        <f t="shared" si="11"/>
        <v>100</v>
      </c>
      <c r="V40" s="777" t="s">
        <v>17</v>
      </c>
      <c r="W40" s="778">
        <f t="shared" si="12"/>
        <v>100</v>
      </c>
      <c r="X40" s="779"/>
      <c r="Y40" s="3272"/>
      <c r="Z40" s="780">
        <f t="shared" si="13"/>
        <v>111</v>
      </c>
      <c r="AA40" s="1811">
        <f t="shared" si="3"/>
        <v>1</v>
      </c>
      <c r="AB40" s="1811">
        <f t="shared" si="4"/>
        <v>1</v>
      </c>
      <c r="AC40" s="1811">
        <f t="shared" si="5"/>
        <v>1</v>
      </c>
    </row>
    <row r="41" spans="1:29" ht="15">
      <c r="A41" s="479" t="s">
        <v>2716</v>
      </c>
      <c r="B41" s="2707" t="s">
        <v>2796</v>
      </c>
      <c r="C41" s="682" t="s">
        <v>1</v>
      </c>
      <c r="D41" s="481"/>
      <c r="E41" s="482"/>
      <c r="F41" s="483"/>
      <c r="G41" s="484"/>
      <c r="H41" s="485"/>
      <c r="I41" s="482"/>
      <c r="J41" s="485"/>
      <c r="K41" s="783"/>
      <c r="L41" s="1143"/>
      <c r="M41" s="1131"/>
      <c r="N41" s="1131"/>
      <c r="O41" s="1144"/>
      <c r="P41" s="3265" t="str">
        <f>A41</f>
        <v>成交单价</v>
      </c>
      <c r="Q41" s="3265"/>
      <c r="R41" s="3296">
        <f>E41</f>
        <v>0</v>
      </c>
      <c r="S41" s="3296"/>
      <c r="T41" s="3296">
        <f>G41</f>
        <v>0</v>
      </c>
      <c r="U41" s="3296"/>
      <c r="V41" s="3296">
        <f>I41</f>
        <v>0</v>
      </c>
      <c r="W41" s="3296"/>
      <c r="X41" s="759"/>
      <c r="Y41" s="781"/>
      <c r="Z41" s="759"/>
      <c r="AA41" s="759"/>
      <c r="AB41" s="759"/>
      <c r="AC41" s="759"/>
    </row>
    <row r="42" spans="1:29" ht="15.75" thickBot="1">
      <c r="A42" s="486" t="s">
        <v>2665</v>
      </c>
      <c r="B42" s="683"/>
      <c r="C42" s="490" t="e">
        <f>R43</f>
        <v>#DIV/0!</v>
      </c>
      <c r="D42" s="489"/>
      <c r="E42" s="490" t="e">
        <f>R42</f>
        <v>#DIV/0!</v>
      </c>
      <c r="F42" s="491"/>
      <c r="G42" s="488" t="e">
        <f>T42</f>
        <v>#DIV/0!</v>
      </c>
      <c r="H42" s="489"/>
      <c r="I42" s="490" t="e">
        <f>V42</f>
        <v>#DIV/0!</v>
      </c>
      <c r="J42" s="489"/>
      <c r="K42" s="784"/>
      <c r="L42" s="1143"/>
      <c r="M42" s="1131"/>
      <c r="N42" s="1131"/>
      <c r="O42" s="1144"/>
      <c r="P42" s="3265" t="str">
        <f>A42</f>
        <v>比较价值（元/平方米）</v>
      </c>
      <c r="Q42" s="3265"/>
      <c r="R42" s="3324" t="e">
        <f>ROUND(PRODUCT(R41,AA7:AA40),0)</f>
        <v>#DIV/0!</v>
      </c>
      <c r="S42" s="3324"/>
      <c r="T42" s="3324" t="e">
        <f>ROUND(PRODUCT(T41,AB7:AB40),0)</f>
        <v>#DIV/0!</v>
      </c>
      <c r="U42" s="3324"/>
      <c r="V42" s="3324" t="e">
        <f>ROUND(PRODUCT(V41,AC7:AC40),0)</f>
        <v>#DIV/0!</v>
      </c>
      <c r="W42" s="3324"/>
      <c r="X42" s="759"/>
      <c r="Y42" s="759"/>
      <c r="Z42" s="759"/>
      <c r="AA42" s="759"/>
      <c r="AB42" s="759"/>
      <c r="AC42" s="759"/>
    </row>
    <row r="43" spans="1:29" ht="15.75" thickBot="1">
      <c r="A43" s="492" t="s">
        <v>2666</v>
      </c>
      <c r="B43" s="493"/>
      <c r="C43" s="494" t="e">
        <f>R43</f>
        <v>#DIV/0!</v>
      </c>
      <c r="D43" s="494"/>
      <c r="E43" s="494"/>
      <c r="F43" s="494"/>
      <c r="G43" s="494"/>
      <c r="H43" s="494"/>
      <c r="I43" s="494"/>
      <c r="J43" s="494"/>
      <c r="K43" s="785"/>
      <c r="L43" s="1143"/>
      <c r="M43" s="1131"/>
      <c r="N43" s="1131"/>
      <c r="O43" s="1144"/>
      <c r="P43" s="3262" t="str">
        <f>A43</f>
        <v>估价对象XX用房的比较价值（楼面单价，元/平方米）</v>
      </c>
      <c r="Q43" s="3263"/>
      <c r="R43" s="3325" t="e">
        <f>ROUND(AVERAGE(R42:V42),0)</f>
        <v>#DIV/0!</v>
      </c>
      <c r="S43" s="3325"/>
      <c r="T43" s="3325"/>
      <c r="U43" s="3325"/>
      <c r="V43" s="3325"/>
      <c r="W43" s="3325"/>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2667</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2668</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2669</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2754</v>
      </c>
      <c r="B50" s="685" t="s">
        <v>2755</v>
      </c>
      <c r="C50" s="2708" t="s">
        <v>2756</v>
      </c>
      <c r="D50" s="2709" t="s">
        <v>2757</v>
      </c>
      <c r="E50" s="686" t="s">
        <v>2758</v>
      </c>
      <c r="F50" s="687" t="s">
        <v>2759</v>
      </c>
      <c r="G50" s="3280" t="s">
        <v>2760</v>
      </c>
      <c r="H50" s="3326"/>
      <c r="I50" s="1814" t="s">
        <v>2797</v>
      </c>
      <c r="J50" s="1814">
        <f>项目基本情况!F35</f>
        <v>0</v>
      </c>
      <c r="K50" s="2711" t="s">
        <v>2762</v>
      </c>
      <c r="L50" s="1106"/>
      <c r="M50" s="1144"/>
      <c r="N50" s="1144"/>
      <c r="O50" s="1144"/>
    </row>
    <row r="51" spans="1:17" s="692" customFormat="1">
      <c r="A51" s="688" t="s">
        <v>2763</v>
      </c>
      <c r="B51" s="689" t="e">
        <f>C43</f>
        <v>#DIV/0!</v>
      </c>
      <c r="C51" s="690">
        <v>1</v>
      </c>
      <c r="D51" s="1163">
        <v>1</v>
      </c>
      <c r="E51" s="690">
        <f>'数据-汇总表'!E8+'数据-汇总表'!E9</f>
        <v>27202.3</v>
      </c>
      <c r="F51" s="691" t="e">
        <f t="shared" ref="F51:F60" si="15">ROUND(B51*E51/10000,0)</f>
        <v>#DIV/0!</v>
      </c>
      <c r="G51" s="3276"/>
      <c r="H51" s="3265"/>
      <c r="I51" s="942">
        <v>1</v>
      </c>
      <c r="J51" s="942">
        <v>1</v>
      </c>
      <c r="K51" s="1145"/>
      <c r="L51" s="941"/>
      <c r="M51" s="941"/>
      <c r="N51" s="941"/>
      <c r="O51" s="941"/>
    </row>
    <row r="52" spans="1:17" s="692" customFormat="1">
      <c r="A52" s="693" t="s">
        <v>2764</v>
      </c>
      <c r="B52" s="262" t="e">
        <f>ROUND($C$43*C52*D52,0)</f>
        <v>#DIV/0!</v>
      </c>
      <c r="C52" s="200">
        <f t="shared" ref="C52:C60" si="16">IF($C$50="北京市系数",I52,J52)</f>
        <v>0.8</v>
      </c>
      <c r="D52" s="1164">
        <v>0.25</v>
      </c>
      <c r="E52" s="694"/>
      <c r="F52" s="691" t="e">
        <f t="shared" si="15"/>
        <v>#DIV/0!</v>
      </c>
      <c r="G52" s="3327" t="s">
        <v>2765</v>
      </c>
      <c r="H52" s="1104" t="str">
        <f>项目基本情况!B37</f>
        <v>二级</v>
      </c>
      <c r="I52" s="942">
        <f>SUMIF(修正!A45:A56,H52,修正!B45:B56)</f>
        <v>0.8</v>
      </c>
      <c r="J52" s="943"/>
      <c r="K52" s="1144"/>
      <c r="L52" s="941"/>
      <c r="M52" s="941"/>
      <c r="N52" s="941"/>
      <c r="O52" s="941"/>
    </row>
    <row r="53" spans="1:17" s="692" customFormat="1">
      <c r="A53" s="693" t="s">
        <v>2766</v>
      </c>
      <c r="B53" s="262" t="e">
        <f t="shared" ref="B53:B60" si="17">ROUND($C$43*C53*D53,0)</f>
        <v>#DIV/0!</v>
      </c>
      <c r="C53" s="200">
        <f t="shared" si="16"/>
        <v>0.5</v>
      </c>
      <c r="D53" s="1164">
        <v>0.25</v>
      </c>
      <c r="E53" s="694"/>
      <c r="F53" s="691" t="e">
        <f t="shared" si="15"/>
        <v>#DIV/0!</v>
      </c>
      <c r="G53" s="3327"/>
      <c r="H53" s="1104" t="str">
        <f>项目基本情况!B37</f>
        <v>二级</v>
      </c>
      <c r="I53" s="942">
        <f>SUMIF(修正!A45:A56,H53,修正!C45:C56)</f>
        <v>0.5</v>
      </c>
      <c r="J53" s="943"/>
      <c r="K53" s="1145"/>
      <c r="L53" s="941"/>
      <c r="M53" s="941"/>
      <c r="N53" s="941"/>
      <c r="O53" s="941"/>
    </row>
    <row r="54" spans="1:17" s="692" customFormat="1">
      <c r="A54" s="693" t="s">
        <v>2767</v>
      </c>
      <c r="B54" s="262" t="e">
        <f t="shared" si="17"/>
        <v>#DIV/0!</v>
      </c>
      <c r="C54" s="200">
        <f t="shared" si="16"/>
        <v>0.36</v>
      </c>
      <c r="D54" s="1164">
        <v>0.25</v>
      </c>
      <c r="E54" s="694"/>
      <c r="F54" s="691" t="e">
        <f t="shared" si="15"/>
        <v>#DIV/0!</v>
      </c>
      <c r="G54" s="3327"/>
      <c r="H54" s="1104" t="str">
        <f>项目基本情况!B37</f>
        <v>二级</v>
      </c>
      <c r="I54" s="942">
        <f>SUMIF(修正!A45:A56,H54,修正!D45:D56)</f>
        <v>0.36</v>
      </c>
      <c r="J54" s="943"/>
      <c r="K54" s="1144"/>
      <c r="L54" s="941"/>
      <c r="M54" s="941"/>
      <c r="N54" s="941"/>
      <c r="O54" s="941"/>
    </row>
    <row r="55" spans="1:17" s="692" customFormat="1">
      <c r="A55" s="693" t="s">
        <v>2768</v>
      </c>
      <c r="B55" s="262" t="e">
        <f t="shared" si="17"/>
        <v>#DIV/0!</v>
      </c>
      <c r="C55" s="200">
        <f t="shared" si="16"/>
        <v>0.3</v>
      </c>
      <c r="D55" s="1164">
        <v>0.25</v>
      </c>
      <c r="E55" s="694"/>
      <c r="F55" s="691" t="e">
        <f t="shared" si="15"/>
        <v>#DIV/0!</v>
      </c>
      <c r="G55" s="3327"/>
      <c r="H55" s="1104" t="str">
        <f>项目基本情况!B37</f>
        <v>二级</v>
      </c>
      <c r="I55" s="942">
        <f>SUMIF(修正!A45:A56,H55,修正!E45:E56)</f>
        <v>0.3</v>
      </c>
      <c r="J55" s="943"/>
      <c r="K55" s="1145"/>
      <c r="L55" s="941"/>
      <c r="M55" s="941"/>
      <c r="N55" s="941"/>
      <c r="O55" s="941"/>
    </row>
    <row r="56" spans="1:17" s="692" customFormat="1">
      <c r="A56" s="693" t="s">
        <v>2769</v>
      </c>
      <c r="B56" s="262" t="e">
        <f t="shared" si="17"/>
        <v>#DIV/0!</v>
      </c>
      <c r="C56" s="200">
        <f t="shared" si="16"/>
        <v>0.3</v>
      </c>
      <c r="D56" s="1164">
        <v>0.25</v>
      </c>
      <c r="E56" s="261">
        <f>'数据-汇总表'!E11</f>
        <v>0</v>
      </c>
      <c r="F56" s="691" t="e">
        <f t="shared" si="15"/>
        <v>#DIV/0!</v>
      </c>
      <c r="G56" s="2712" t="s">
        <v>2770</v>
      </c>
      <c r="H56" s="1104" t="str">
        <f>项目基本情况!C37</f>
        <v>二级</v>
      </c>
      <c r="I56" s="942">
        <f>SUMIF(修正!A45:A56,H56,修正!F45:F56)</f>
        <v>0.3</v>
      </c>
      <c r="J56" s="943"/>
      <c r="K56" s="1144"/>
      <c r="L56" s="941"/>
      <c r="M56" s="941"/>
      <c r="N56" s="941"/>
      <c r="O56" s="941"/>
    </row>
    <row r="57" spans="1:17" s="692" customFormat="1">
      <c r="A57" s="693" t="s">
        <v>2771</v>
      </c>
      <c r="B57" s="262" t="e">
        <f t="shared" si="17"/>
        <v>#DIV/0!</v>
      </c>
      <c r="C57" s="200">
        <f t="shared" si="16"/>
        <v>0.3</v>
      </c>
      <c r="D57" s="1164">
        <v>0.25</v>
      </c>
      <c r="E57" s="261">
        <f>'数据-汇总表'!E12</f>
        <v>0</v>
      </c>
      <c r="F57" s="691" t="e">
        <f t="shared" si="15"/>
        <v>#DIV/0!</v>
      </c>
      <c r="G57" s="1109" t="s">
        <v>2772</v>
      </c>
      <c r="H57" s="1104" t="str">
        <f>IF(G57="商业",项目基本情况!B37,IF(G57="办公",项目基本情况!C37,IF(G57="住宅",项目基本情况!D37,项目基本情况!E37)))</f>
        <v>二级</v>
      </c>
      <c r="I57" s="942">
        <f>SUMIF(修正!A45:A56,H57,修正!G45:G56)</f>
        <v>0.3</v>
      </c>
      <c r="J57" s="943"/>
      <c r="K57" s="1145"/>
      <c r="L57" s="941"/>
      <c r="M57" s="941"/>
      <c r="N57" s="941"/>
      <c r="O57" s="941"/>
    </row>
    <row r="58" spans="1:17" s="692" customFormat="1">
      <c r="A58" s="693" t="s">
        <v>2773</v>
      </c>
      <c r="B58" s="262" t="e">
        <f t="shared" si="17"/>
        <v>#DIV/0!</v>
      </c>
      <c r="C58" s="200">
        <f t="shared" si="16"/>
        <v>0</v>
      </c>
      <c r="D58" s="1164">
        <v>0.25</v>
      </c>
      <c r="E58" s="261">
        <f>'数据-汇总表'!E13</f>
        <v>0</v>
      </c>
      <c r="F58" s="691" t="e">
        <f t="shared" si="15"/>
        <v>#DIV/0!</v>
      </c>
      <c r="G58" s="1109" t="s">
        <v>2774</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2775</v>
      </c>
      <c r="B59" s="262" t="e">
        <f t="shared" si="17"/>
        <v>#DIV/0!</v>
      </c>
      <c r="C59" s="200">
        <f t="shared" si="16"/>
        <v>0.25</v>
      </c>
      <c r="D59" s="1164">
        <v>0.25</v>
      </c>
      <c r="E59" s="261">
        <f>'数据-汇总表'!E14</f>
        <v>0</v>
      </c>
      <c r="F59" s="691" t="e">
        <f t="shared" si="15"/>
        <v>#DIV/0!</v>
      </c>
      <c r="G59" s="2712" t="s">
        <v>2765</v>
      </c>
      <c r="H59" s="1104" t="str">
        <f>项目基本情况!B37</f>
        <v>二级</v>
      </c>
      <c r="I59" s="942">
        <f>SUMIF(修正!A45:A56,H59,修正!H45:H56)</f>
        <v>0.25</v>
      </c>
      <c r="J59" s="943"/>
      <c r="K59" s="1145"/>
      <c r="L59" s="941"/>
      <c r="M59" s="941"/>
      <c r="N59" s="941"/>
      <c r="O59" s="941"/>
    </row>
    <row r="60" spans="1:17" s="692" customFormat="1" ht="15" thickBot="1">
      <c r="A60" s="693" t="s">
        <v>2776</v>
      </c>
      <c r="B60" s="262" t="e">
        <f t="shared" si="17"/>
        <v>#DIV/0!</v>
      </c>
      <c r="C60" s="200">
        <f t="shared" si="16"/>
        <v>0.25</v>
      </c>
      <c r="D60" s="1164">
        <v>0.25</v>
      </c>
      <c r="E60" s="261">
        <f>'数据-汇总表'!E15</f>
        <v>0</v>
      </c>
      <c r="F60" s="691" t="e">
        <f t="shared" si="15"/>
        <v>#DIV/0!</v>
      </c>
      <c r="G60" s="2713" t="s">
        <v>2770</v>
      </c>
      <c r="H60" s="1114" t="str">
        <f>项目基本情况!C37</f>
        <v>二级</v>
      </c>
      <c r="I60" s="942">
        <f>SUMIF(修正!A45:A56,H60,修正!H45:H56)</f>
        <v>0.25</v>
      </c>
      <c r="J60" s="943"/>
      <c r="K60" s="1144"/>
      <c r="L60" s="941"/>
      <c r="M60" s="941"/>
      <c r="N60" s="941"/>
      <c r="O60" s="941"/>
    </row>
    <row r="61" spans="1:17" s="692" customFormat="1" ht="15" thickBot="1">
      <c r="A61" s="695" t="s">
        <v>2777</v>
      </c>
      <c r="B61" s="696" t="s">
        <v>28</v>
      </c>
      <c r="C61" s="696" t="s">
        <v>29</v>
      </c>
      <c r="D61" s="696" t="s">
        <v>1026</v>
      </c>
      <c r="E61" s="696">
        <f>IF(B41="楼面地价",SUM(E51:E60),'数据-汇总表'!D3)</f>
        <v>18455.759999999998</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2019-5-1</v>
      </c>
      <c r="D63" s="761">
        <f>EDATE(C63,-3)</f>
        <v>43497</v>
      </c>
      <c r="E63" s="761">
        <f>EDATE(D63,-3)</f>
        <v>43405</v>
      </c>
      <c r="F63" s="761">
        <f t="shared" ref="F63:O63" si="18">EDATE(E63,-3)</f>
        <v>43313</v>
      </c>
      <c r="G63" s="761">
        <f t="shared" si="18"/>
        <v>43221</v>
      </c>
      <c r="H63" s="761">
        <f t="shared" si="18"/>
        <v>43132</v>
      </c>
      <c r="I63" s="761">
        <f t="shared" si="18"/>
        <v>43040</v>
      </c>
      <c r="J63" s="761">
        <f t="shared" si="18"/>
        <v>42948</v>
      </c>
      <c r="K63" s="761">
        <f t="shared" si="18"/>
        <v>42856</v>
      </c>
      <c r="L63" s="761">
        <f t="shared" si="18"/>
        <v>42767</v>
      </c>
      <c r="M63" s="761">
        <f t="shared" si="18"/>
        <v>42675</v>
      </c>
      <c r="N63" s="761">
        <f t="shared" si="18"/>
        <v>42583</v>
      </c>
      <c r="O63" s="761">
        <f t="shared" si="18"/>
        <v>42491</v>
      </c>
    </row>
    <row r="64" spans="1:17" ht="21.75" thickBot="1">
      <c r="A64" s="763" t="s">
        <v>2670</v>
      </c>
      <c r="B64" s="759"/>
      <c r="C64" s="764"/>
      <c r="D64" s="764"/>
      <c r="E64" s="764"/>
      <c r="F64" s="765"/>
      <c r="G64" s="765"/>
      <c r="H64" s="764"/>
      <c r="I64" s="764"/>
      <c r="J64" s="764"/>
      <c r="K64" s="766"/>
      <c r="L64" s="767"/>
      <c r="M64" s="764"/>
      <c r="N64" s="764"/>
      <c r="O64" s="1159"/>
      <c r="P64" s="503"/>
      <c r="Q64" s="504"/>
    </row>
    <row r="65" spans="1:17" s="508" customFormat="1" ht="15">
      <c r="A65" s="2714" t="s">
        <v>2778</v>
      </c>
      <c r="B65" s="1359"/>
      <c r="C65" s="1572" t="str">
        <f>YEAR(C63)&amp;"-"&amp;ROUNDUP(MONTH(C63)/3,0)</f>
        <v>2019-2</v>
      </c>
      <c r="D65" s="1572" t="str">
        <f t="shared" ref="D65:O65" si="19">YEAR(D63)&amp;"-"&amp;ROUNDUP(MONTH(D63)/3,0)</f>
        <v>2019-1</v>
      </c>
      <c r="E65" s="1572" t="str">
        <f t="shared" si="19"/>
        <v>2018-4</v>
      </c>
      <c r="F65" s="1572" t="str">
        <f t="shared" si="19"/>
        <v>2018-3</v>
      </c>
      <c r="G65" s="1572" t="str">
        <f t="shared" si="19"/>
        <v>2018-2</v>
      </c>
      <c r="H65" s="1572" t="str">
        <f t="shared" si="19"/>
        <v>2018-1</v>
      </c>
      <c r="I65" s="1572" t="str">
        <f t="shared" si="19"/>
        <v>2017-4</v>
      </c>
      <c r="J65" s="1572" t="str">
        <f t="shared" si="19"/>
        <v>2017-3</v>
      </c>
      <c r="K65" s="1572" t="str">
        <f t="shared" si="19"/>
        <v>2017-2</v>
      </c>
      <c r="L65" s="1572" t="str">
        <f t="shared" si="19"/>
        <v>2017-1</v>
      </c>
      <c r="M65" s="1572" t="str">
        <f t="shared" si="19"/>
        <v>2016-4</v>
      </c>
      <c r="N65" s="1572" t="str">
        <f t="shared" si="19"/>
        <v>2016-3</v>
      </c>
      <c r="O65" s="1572" t="str">
        <f t="shared" si="19"/>
        <v>2016-2</v>
      </c>
      <c r="P65" s="507"/>
    </row>
    <row r="66" spans="1:17" s="117" customFormat="1" ht="30.75" customHeight="1">
      <c r="A66" s="2719" t="s">
        <v>2798</v>
      </c>
      <c r="B66" s="332" t="str">
        <f>"北京市平均增长率"&amp;TEXT(基准地价修正!P24,"0.00%")</f>
        <v>北京市平均增长率1.40%</v>
      </c>
      <c r="C66" s="603">
        <v>100</v>
      </c>
      <c r="D66" s="595"/>
      <c r="E66" s="595"/>
      <c r="F66" s="595"/>
      <c r="G66" s="595"/>
      <c r="H66" s="595"/>
      <c r="I66" s="595"/>
      <c r="J66" s="595"/>
      <c r="K66" s="595"/>
      <c r="L66" s="595"/>
      <c r="M66" s="1567"/>
      <c r="N66" s="1567"/>
      <c r="O66" s="1569"/>
      <c r="P66" s="504"/>
    </row>
    <row r="67" spans="1:17" s="117" customFormat="1" ht="15.75" thickBot="1">
      <c r="A67" s="515" t="s">
        <v>2581</v>
      </c>
      <c r="B67" s="516"/>
      <c r="C67" s="517"/>
      <c r="D67" s="518"/>
      <c r="E67" s="518"/>
      <c r="F67" s="518"/>
      <c r="G67" s="518"/>
      <c r="H67" s="518"/>
      <c r="I67" s="518"/>
      <c r="J67" s="518"/>
      <c r="K67" s="518"/>
      <c r="L67" s="518"/>
      <c r="M67" s="519"/>
      <c r="N67" s="519"/>
      <c r="O67" s="520"/>
      <c r="P67" s="504"/>
      <c r="Q67" s="504"/>
    </row>
    <row r="68" spans="1:17" s="117" customFormat="1" ht="15">
      <c r="A68" s="521" t="s">
        <v>2546</v>
      </c>
      <c r="B68" s="510"/>
      <c r="C68" s="522" t="s">
        <v>2648</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2584</v>
      </c>
      <c r="B70" s="528" t="s">
        <v>2550</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2553</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2554</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2555</v>
      </c>
      <c r="B83" s="528" t="s">
        <v>2701</v>
      </c>
      <c r="C83" s="573" t="s">
        <v>2593</v>
      </c>
      <c r="D83" s="573" t="s">
        <v>2594</v>
      </c>
      <c r="E83" s="573" t="s">
        <v>2595</v>
      </c>
      <c r="F83" s="573" t="s">
        <v>2596</v>
      </c>
      <c r="G83" s="573" t="s">
        <v>2597</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2598</v>
      </c>
      <c r="C85" s="578" t="s">
        <v>2593</v>
      </c>
      <c r="D85" s="578" t="s">
        <v>2594</v>
      </c>
      <c r="E85" s="578" t="s">
        <v>2595</v>
      </c>
      <c r="F85" s="578" t="s">
        <v>2596</v>
      </c>
      <c r="G85" s="578" t="s">
        <v>2597</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2781</v>
      </c>
      <c r="C87" s="573" t="s">
        <v>2593</v>
      </c>
      <c r="D87" s="573" t="s">
        <v>2594</v>
      </c>
      <c r="E87" s="573" t="s">
        <v>2595</v>
      </c>
      <c r="F87" s="573" t="s">
        <v>2596</v>
      </c>
      <c r="G87" s="573" t="s">
        <v>2597</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2782</v>
      </c>
      <c r="C89" s="573" t="s">
        <v>2593</v>
      </c>
      <c r="D89" s="573" t="s">
        <v>2594</v>
      </c>
      <c r="E89" s="573" t="s">
        <v>2595</v>
      </c>
      <c r="F89" s="573" t="s">
        <v>2596</v>
      </c>
      <c r="G89" s="573" t="s">
        <v>2597</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2650</v>
      </c>
      <c r="C91" s="573" t="s">
        <v>2593</v>
      </c>
      <c r="D91" s="573" t="s">
        <v>2594</v>
      </c>
      <c r="E91" s="573" t="s">
        <v>2595</v>
      </c>
      <c r="F91" s="573" t="s">
        <v>2596</v>
      </c>
      <c r="G91" s="573" t="s">
        <v>2597</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2799</v>
      </c>
      <c r="C93" s="660" t="s">
        <v>2671</v>
      </c>
      <c r="D93" s="660" t="s">
        <v>2672</v>
      </c>
      <c r="E93" s="660" t="s">
        <v>2673</v>
      </c>
      <c r="F93" s="660" t="s">
        <v>2674</v>
      </c>
      <c r="G93" s="660" t="s">
        <v>2675</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2783</v>
      </c>
      <c r="D95" s="539" t="s">
        <v>2784</v>
      </c>
      <c r="E95" s="539" t="s">
        <v>2785</v>
      </c>
      <c r="F95" s="539" t="s">
        <v>2786</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2687</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2746</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2559</v>
      </c>
      <c r="B107" s="528" t="s">
        <v>2787</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6" t="str">
        <f t="shared" si="25"/>
        <v>(含)-</v>
      </c>
      <c r="L107" s="1766" t="str">
        <f t="shared" si="25"/>
        <v>(含)-</v>
      </c>
      <c r="M107" s="1767"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2788</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2790</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2791</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5"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3049</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332" t="s">
        <v>183</v>
      </c>
      <c r="B18" s="882" t="s">
        <v>560</v>
      </c>
      <c r="C18" s="883" t="s">
        <v>561</v>
      </c>
      <c r="D18" s="884"/>
      <c r="E18" s="882">
        <v>1</v>
      </c>
      <c r="F18" s="885" t="s">
        <v>562</v>
      </c>
      <c r="G18" s="886"/>
      <c r="H18" s="878"/>
      <c r="I18" s="878"/>
    </row>
    <row r="19" spans="1:9" s="887" customFormat="1" ht="19.5" customHeight="1">
      <c r="A19" s="3332"/>
      <c r="B19" s="3332" t="s">
        <v>563</v>
      </c>
      <c r="C19" s="883" t="s">
        <v>564</v>
      </c>
      <c r="D19" s="884"/>
      <c r="E19" s="882">
        <v>0.9</v>
      </c>
      <c r="F19" s="885" t="s">
        <v>565</v>
      </c>
      <c r="G19" s="886"/>
      <c r="H19" s="878"/>
      <c r="I19" s="878"/>
    </row>
    <row r="20" spans="1:9" s="887" customFormat="1" ht="19.5" customHeight="1">
      <c r="A20" s="3332"/>
      <c r="B20" s="3332"/>
      <c r="C20" s="883" t="s">
        <v>566</v>
      </c>
      <c r="D20" s="884"/>
      <c r="E20" s="882">
        <v>1.1000000000000001</v>
      </c>
      <c r="F20" s="885" t="s">
        <v>567</v>
      </c>
      <c r="G20" s="886"/>
      <c r="H20" s="878"/>
      <c r="I20" s="878"/>
    </row>
    <row r="21" spans="1:9" s="887" customFormat="1" ht="19.5" customHeight="1">
      <c r="A21" s="3332"/>
      <c r="B21" s="3332"/>
      <c r="C21" s="883" t="s">
        <v>568</v>
      </c>
      <c r="D21" s="884"/>
      <c r="E21" s="882">
        <v>0.8</v>
      </c>
      <c r="F21" s="885" t="s">
        <v>569</v>
      </c>
      <c r="G21" s="886"/>
      <c r="H21" s="878"/>
      <c r="I21" s="878"/>
    </row>
    <row r="22" spans="1:9" s="887" customFormat="1" ht="19.5" customHeight="1">
      <c r="A22" s="3332"/>
      <c r="B22" s="3332"/>
      <c r="C22" s="883" t="s">
        <v>570</v>
      </c>
      <c r="D22" s="884"/>
      <c r="E22" s="882">
        <v>0.5</v>
      </c>
      <c r="F22" s="885"/>
      <c r="G22" s="886"/>
      <c r="H22" s="878"/>
      <c r="I22" s="878"/>
    </row>
    <row r="23" spans="1:9" s="887" customFormat="1" ht="19.5" customHeight="1">
      <c r="A23" s="3332" t="s">
        <v>184</v>
      </c>
      <c r="B23" s="882" t="s">
        <v>560</v>
      </c>
      <c r="C23" s="883" t="s">
        <v>571</v>
      </c>
      <c r="D23" s="884"/>
      <c r="E23" s="882">
        <v>1</v>
      </c>
      <c r="F23" s="885" t="s">
        <v>572</v>
      </c>
      <c r="G23" s="886"/>
      <c r="H23" s="878"/>
      <c r="I23" s="878"/>
    </row>
    <row r="24" spans="1:9" s="887" customFormat="1" ht="19.5" customHeight="1">
      <c r="A24" s="3332"/>
      <c r="B24" s="3332" t="s">
        <v>563</v>
      </c>
      <c r="C24" s="883" t="s">
        <v>573</v>
      </c>
      <c r="D24" s="884"/>
      <c r="E24" s="882">
        <v>0.5</v>
      </c>
      <c r="F24" s="885"/>
      <c r="G24" s="886"/>
      <c r="H24" s="878"/>
      <c r="I24" s="878"/>
    </row>
    <row r="25" spans="1:9" s="887" customFormat="1" ht="19.5" customHeight="1">
      <c r="A25" s="3332"/>
      <c r="B25" s="3332"/>
      <c r="C25" s="883" t="s">
        <v>574</v>
      </c>
      <c r="D25" s="884"/>
      <c r="E25" s="882">
        <v>1.1000000000000001</v>
      </c>
      <c r="F25" s="885"/>
      <c r="G25" s="886"/>
      <c r="H25" s="878"/>
      <c r="I25" s="878"/>
    </row>
    <row r="26" spans="1:9" s="887" customFormat="1" ht="19.5" customHeight="1">
      <c r="A26" s="3332"/>
      <c r="B26" s="3332"/>
      <c r="C26" s="883" t="s">
        <v>575</v>
      </c>
      <c r="D26" s="884"/>
      <c r="E26" s="882">
        <v>1.1000000000000001</v>
      </c>
      <c r="F26" s="885"/>
      <c r="G26" s="886"/>
      <c r="H26" s="878"/>
      <c r="I26" s="878"/>
    </row>
    <row r="27" spans="1:9" s="887" customFormat="1" ht="19.5" customHeight="1">
      <c r="A27" s="3332"/>
      <c r="B27" s="3332"/>
      <c r="C27" s="883" t="s">
        <v>576</v>
      </c>
      <c r="D27" s="884"/>
      <c r="E27" s="882">
        <v>0.9</v>
      </c>
      <c r="F27" s="885" t="s">
        <v>577</v>
      </c>
      <c r="G27" s="886"/>
      <c r="H27" s="878"/>
      <c r="I27" s="878"/>
    </row>
    <row r="28" spans="1:9" s="887" customFormat="1" ht="19.5" customHeight="1">
      <c r="A28" s="3332"/>
      <c r="B28" s="3332"/>
      <c r="C28" s="883" t="s">
        <v>578</v>
      </c>
      <c r="D28" s="884"/>
      <c r="E28" s="882">
        <v>0.9</v>
      </c>
      <c r="F28" s="885" t="s">
        <v>579</v>
      </c>
      <c r="G28" s="886"/>
      <c r="H28" s="878"/>
      <c r="I28" s="878"/>
    </row>
    <row r="29" spans="1:9" s="887" customFormat="1" ht="19.5" customHeight="1">
      <c r="A29" s="3332"/>
      <c r="B29" s="3332"/>
      <c r="C29" s="883" t="s">
        <v>580</v>
      </c>
      <c r="D29" s="884"/>
      <c r="E29" s="882">
        <v>0.9</v>
      </c>
      <c r="F29" s="885" t="s">
        <v>581</v>
      </c>
      <c r="G29" s="886"/>
      <c r="H29" s="878"/>
      <c r="I29" s="878"/>
    </row>
    <row r="30" spans="1:9" s="887" customFormat="1" ht="19.5" customHeight="1">
      <c r="A30" s="3332"/>
      <c r="B30" s="3332"/>
      <c r="C30" s="883" t="s">
        <v>582</v>
      </c>
      <c r="D30" s="884"/>
      <c r="E30" s="882">
        <v>0.9</v>
      </c>
      <c r="F30" s="885" t="s">
        <v>583</v>
      </c>
      <c r="G30" s="886"/>
      <c r="H30" s="878"/>
      <c r="I30" s="878"/>
    </row>
    <row r="31" spans="1:9" s="887" customFormat="1" ht="19.5" customHeight="1">
      <c r="A31" s="3332"/>
      <c r="B31" s="3332"/>
      <c r="C31" s="883" t="s">
        <v>584</v>
      </c>
      <c r="D31" s="884"/>
      <c r="E31" s="882">
        <v>0.8</v>
      </c>
      <c r="F31" s="885" t="s">
        <v>585</v>
      </c>
      <c r="G31" s="886"/>
      <c r="H31" s="878"/>
      <c r="I31" s="878"/>
    </row>
    <row r="32" spans="1:9" s="887" customFormat="1" ht="19.5" customHeight="1">
      <c r="A32" s="3332"/>
      <c r="B32" s="3332"/>
      <c r="C32" s="883" t="s">
        <v>586</v>
      </c>
      <c r="D32" s="884"/>
      <c r="E32" s="882">
        <v>0.8</v>
      </c>
      <c r="F32" s="885" t="s">
        <v>587</v>
      </c>
      <c r="G32" s="886"/>
      <c r="H32" s="878"/>
      <c r="I32" s="878"/>
    </row>
    <row r="33" spans="1:9" s="887" customFormat="1" ht="19.5" customHeight="1">
      <c r="A33" s="3332" t="s">
        <v>185</v>
      </c>
      <c r="B33" s="882" t="s">
        <v>560</v>
      </c>
      <c r="C33" s="883" t="s">
        <v>588</v>
      </c>
      <c r="D33" s="884"/>
      <c r="E33" s="882">
        <v>1</v>
      </c>
      <c r="F33" s="885" t="s">
        <v>589</v>
      </c>
      <c r="G33" s="886"/>
      <c r="H33" s="878"/>
      <c r="I33" s="878"/>
    </row>
    <row r="34" spans="1:9" s="887" customFormat="1" ht="19.5" customHeight="1">
      <c r="A34" s="3332"/>
      <c r="B34" s="882" t="s">
        <v>563</v>
      </c>
      <c r="C34" s="883" t="s">
        <v>590</v>
      </c>
      <c r="D34" s="884"/>
      <c r="E34" s="882">
        <v>1.5</v>
      </c>
      <c r="F34" s="885" t="s">
        <v>591</v>
      </c>
      <c r="G34" s="886"/>
      <c r="H34" s="878"/>
      <c r="I34" s="878"/>
    </row>
    <row r="35" spans="1:9" s="887" customFormat="1" ht="19.5" customHeight="1">
      <c r="A35" s="3332" t="s">
        <v>186</v>
      </c>
      <c r="B35" s="882" t="s">
        <v>560</v>
      </c>
      <c r="C35" s="883" t="s">
        <v>592</v>
      </c>
      <c r="D35" s="884"/>
      <c r="E35" s="882">
        <v>1</v>
      </c>
      <c r="F35" s="885" t="s">
        <v>593</v>
      </c>
      <c r="G35" s="886"/>
      <c r="H35" s="878"/>
      <c r="I35" s="878"/>
    </row>
    <row r="36" spans="1:9" s="887" customFormat="1" ht="19.5" customHeight="1">
      <c r="A36" s="3332"/>
      <c r="B36" s="3332" t="s">
        <v>563</v>
      </c>
      <c r="C36" s="883" t="s">
        <v>594</v>
      </c>
      <c r="D36" s="884"/>
      <c r="E36" s="882">
        <v>1</v>
      </c>
      <c r="F36" s="885" t="s">
        <v>595</v>
      </c>
      <c r="G36" s="886"/>
      <c r="H36" s="878"/>
      <c r="I36" s="878"/>
    </row>
    <row r="37" spans="1:9" s="887" customFormat="1" ht="19.5" customHeight="1">
      <c r="A37" s="3332"/>
      <c r="B37" s="3332"/>
      <c r="C37" s="883" t="s">
        <v>596</v>
      </c>
      <c r="D37" s="884"/>
      <c r="E37" s="882">
        <v>1.5</v>
      </c>
      <c r="F37" s="885" t="s">
        <v>597</v>
      </c>
      <c r="G37" s="886"/>
      <c r="H37" s="878"/>
      <c r="I37" s="878"/>
    </row>
    <row r="38" spans="1:9" s="887" customFormat="1" ht="19.5" customHeight="1">
      <c r="A38" s="3332"/>
      <c r="B38" s="3332"/>
      <c r="C38" s="883" t="s">
        <v>598</v>
      </c>
      <c r="D38" s="884"/>
      <c r="E38" s="882">
        <v>1</v>
      </c>
      <c r="F38" s="885" t="s">
        <v>599</v>
      </c>
      <c r="G38" s="886"/>
      <c r="H38" s="878"/>
      <c r="I38" s="878"/>
    </row>
    <row r="39" spans="1:9" s="887" customFormat="1" ht="19.5" customHeight="1">
      <c r="A39" s="3332"/>
      <c r="B39" s="3332"/>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332" t="s">
        <v>614</v>
      </c>
      <c r="C61" s="818" t="s">
        <v>615</v>
      </c>
      <c r="D61" s="818" t="s">
        <v>616</v>
      </c>
      <c r="E61" s="895">
        <v>0.5</v>
      </c>
      <c r="F61" s="882">
        <v>80</v>
      </c>
    </row>
    <row r="62" spans="1:8" s="878" customFormat="1" ht="24">
      <c r="A62" s="882">
        <v>2</v>
      </c>
      <c r="B62" s="3332"/>
      <c r="C62" s="818" t="s">
        <v>617</v>
      </c>
      <c r="D62" s="818" t="s">
        <v>618</v>
      </c>
      <c r="E62" s="895">
        <v>0.5</v>
      </c>
      <c r="F62" s="882">
        <v>80</v>
      </c>
    </row>
    <row r="63" spans="1:8" s="878" customFormat="1" ht="36">
      <c r="A63" s="882">
        <v>3</v>
      </c>
      <c r="B63" s="3332"/>
      <c r="C63" s="818" t="s">
        <v>619</v>
      </c>
      <c r="D63" s="818" t="s">
        <v>620</v>
      </c>
      <c r="E63" s="895">
        <v>0.5</v>
      </c>
      <c r="F63" s="882">
        <v>80</v>
      </c>
    </row>
    <row r="64" spans="1:8" s="878" customFormat="1" ht="36">
      <c r="A64" s="882">
        <v>4</v>
      </c>
      <c r="B64" s="3332"/>
      <c r="C64" s="818" t="s">
        <v>621</v>
      </c>
      <c r="D64" s="818" t="s">
        <v>622</v>
      </c>
      <c r="E64" s="895">
        <v>0.4</v>
      </c>
      <c r="F64" s="882">
        <v>60</v>
      </c>
    </row>
    <row r="65" spans="1:6" s="878" customFormat="1" ht="36">
      <c r="A65" s="882">
        <v>5</v>
      </c>
      <c r="B65" s="3332"/>
      <c r="C65" s="818" t="s">
        <v>623</v>
      </c>
      <c r="D65" s="818" t="s">
        <v>624</v>
      </c>
      <c r="E65" s="895">
        <v>0.2</v>
      </c>
      <c r="F65" s="882">
        <v>30</v>
      </c>
    </row>
    <row r="66" spans="1:6" s="878" customFormat="1" ht="36">
      <c r="A66" s="882">
        <v>6</v>
      </c>
      <c r="B66" s="3332"/>
      <c r="C66" s="818" t="s">
        <v>625</v>
      </c>
      <c r="D66" s="818" t="s">
        <v>626</v>
      </c>
      <c r="E66" s="895">
        <v>0.3</v>
      </c>
      <c r="F66" s="882">
        <v>50</v>
      </c>
    </row>
    <row r="67" spans="1:6" s="878" customFormat="1" ht="36">
      <c r="A67" s="882">
        <v>7</v>
      </c>
      <c r="B67" s="3332"/>
      <c r="C67" s="818" t="s">
        <v>627</v>
      </c>
      <c r="D67" s="818" t="s">
        <v>628</v>
      </c>
      <c r="E67" s="895">
        <v>0.2</v>
      </c>
      <c r="F67" s="882">
        <v>30</v>
      </c>
    </row>
    <row r="68" spans="1:6" s="878" customFormat="1" ht="36">
      <c r="A68" s="882">
        <v>8</v>
      </c>
      <c r="B68" s="3332"/>
      <c r="C68" s="818" t="s">
        <v>629</v>
      </c>
      <c r="D68" s="818" t="s">
        <v>630</v>
      </c>
      <c r="E68" s="895">
        <v>0.2</v>
      </c>
      <c r="F68" s="882">
        <v>30</v>
      </c>
    </row>
    <row r="69" spans="1:6" s="878" customFormat="1" ht="36">
      <c r="A69" s="882">
        <v>9</v>
      </c>
      <c r="B69" s="3332"/>
      <c r="C69" s="818" t="s">
        <v>631</v>
      </c>
      <c r="D69" s="818" t="s">
        <v>632</v>
      </c>
      <c r="E69" s="895">
        <v>0.2</v>
      </c>
      <c r="F69" s="882">
        <v>30</v>
      </c>
    </row>
    <row r="70" spans="1:6" s="878" customFormat="1" ht="48">
      <c r="A70" s="882">
        <v>10</v>
      </c>
      <c r="B70" s="3332"/>
      <c r="C70" s="818" t="s">
        <v>633</v>
      </c>
      <c r="D70" s="818" t="s">
        <v>634</v>
      </c>
      <c r="E70" s="895">
        <v>0.2</v>
      </c>
      <c r="F70" s="882">
        <v>30</v>
      </c>
    </row>
    <row r="71" spans="1:6" s="878" customFormat="1" ht="48">
      <c r="A71" s="882">
        <v>11</v>
      </c>
      <c r="B71" s="3332"/>
      <c r="C71" s="818" t="s">
        <v>635</v>
      </c>
      <c r="D71" s="818" t="s">
        <v>636</v>
      </c>
      <c r="E71" s="895">
        <v>0.2</v>
      </c>
      <c r="F71" s="882">
        <v>30</v>
      </c>
    </row>
    <row r="72" spans="1:6" s="878" customFormat="1" ht="36">
      <c r="A72" s="882">
        <v>12</v>
      </c>
      <c r="B72" s="3332"/>
      <c r="C72" s="818" t="s">
        <v>637</v>
      </c>
      <c r="D72" s="818" t="s">
        <v>638</v>
      </c>
      <c r="E72" s="895">
        <v>0.5</v>
      </c>
      <c r="F72" s="882">
        <v>80</v>
      </c>
    </row>
    <row r="73" spans="1:6" s="878" customFormat="1" ht="24">
      <c r="A73" s="882">
        <v>13</v>
      </c>
      <c r="B73" s="3332"/>
      <c r="C73" s="818" t="s">
        <v>639</v>
      </c>
      <c r="D73" s="818" t="s">
        <v>640</v>
      </c>
      <c r="E73" s="895">
        <v>0.4</v>
      </c>
      <c r="F73" s="882">
        <v>60</v>
      </c>
    </row>
    <row r="74" spans="1:6" s="878" customFormat="1" ht="24">
      <c r="A74" s="882">
        <v>14</v>
      </c>
      <c r="B74" s="3332"/>
      <c r="C74" s="818" t="s">
        <v>641</v>
      </c>
      <c r="D74" s="818" t="s">
        <v>642</v>
      </c>
      <c r="E74" s="895">
        <v>0.2</v>
      </c>
      <c r="F74" s="882">
        <v>30</v>
      </c>
    </row>
    <row r="75" spans="1:6" s="878" customFormat="1" ht="24">
      <c r="A75" s="882">
        <v>15</v>
      </c>
      <c r="B75" s="3332"/>
      <c r="C75" s="818" t="s">
        <v>643</v>
      </c>
      <c r="D75" s="818" t="s">
        <v>644</v>
      </c>
      <c r="E75" s="895">
        <v>0.2</v>
      </c>
      <c r="F75" s="882">
        <v>30</v>
      </c>
    </row>
    <row r="76" spans="1:6" s="878" customFormat="1" ht="24">
      <c r="A76" s="882">
        <v>16</v>
      </c>
      <c r="B76" s="3332" t="s">
        <v>645</v>
      </c>
      <c r="C76" s="818" t="s">
        <v>646</v>
      </c>
      <c r="D76" s="818" t="s">
        <v>647</v>
      </c>
      <c r="E76" s="895">
        <v>0.5</v>
      </c>
      <c r="F76" s="882">
        <v>80</v>
      </c>
    </row>
    <row r="77" spans="1:6" s="878" customFormat="1" ht="24">
      <c r="A77" s="882">
        <v>17</v>
      </c>
      <c r="B77" s="3332"/>
      <c r="C77" s="818" t="s">
        <v>648</v>
      </c>
      <c r="D77" s="818" t="s">
        <v>649</v>
      </c>
      <c r="E77" s="895">
        <v>0.5</v>
      </c>
      <c r="F77" s="882">
        <v>80</v>
      </c>
    </row>
    <row r="78" spans="1:6" s="878" customFormat="1" ht="24">
      <c r="A78" s="882">
        <v>18</v>
      </c>
      <c r="B78" s="3332"/>
      <c r="C78" s="818" t="s">
        <v>650</v>
      </c>
      <c r="D78" s="818" t="s">
        <v>651</v>
      </c>
      <c r="E78" s="895">
        <v>0.2</v>
      </c>
      <c r="F78" s="882">
        <v>30</v>
      </c>
    </row>
    <row r="79" spans="1:6" s="878" customFormat="1" ht="24">
      <c r="A79" s="882">
        <v>19</v>
      </c>
      <c r="B79" s="3332"/>
      <c r="C79" s="818" t="s">
        <v>652</v>
      </c>
      <c r="D79" s="818" t="s">
        <v>653</v>
      </c>
      <c r="E79" s="895">
        <v>0.5</v>
      </c>
      <c r="F79" s="882">
        <v>80</v>
      </c>
    </row>
    <row r="80" spans="1:6" s="878" customFormat="1" ht="36">
      <c r="A80" s="882">
        <v>20</v>
      </c>
      <c r="B80" s="3332"/>
      <c r="C80" s="818" t="s">
        <v>654</v>
      </c>
      <c r="D80" s="818" t="s">
        <v>655</v>
      </c>
      <c r="E80" s="895">
        <v>0.2</v>
      </c>
      <c r="F80" s="882">
        <v>30</v>
      </c>
    </row>
    <row r="81" spans="1:6" s="878" customFormat="1" ht="36">
      <c r="A81" s="882">
        <v>21</v>
      </c>
      <c r="B81" s="3332"/>
      <c r="C81" s="818" t="s">
        <v>656</v>
      </c>
      <c r="D81" s="818" t="s">
        <v>657</v>
      </c>
      <c r="E81" s="895">
        <v>0.2</v>
      </c>
      <c r="F81" s="882">
        <v>30</v>
      </c>
    </row>
    <row r="82" spans="1:6" s="878" customFormat="1" ht="48">
      <c r="A82" s="882">
        <v>22</v>
      </c>
      <c r="B82" s="3332"/>
      <c r="C82" s="818" t="s">
        <v>658</v>
      </c>
      <c r="D82" s="818" t="s">
        <v>659</v>
      </c>
      <c r="E82" s="895">
        <v>0.2</v>
      </c>
      <c r="F82" s="882">
        <v>30</v>
      </c>
    </row>
    <row r="83" spans="1:6" s="878" customFormat="1" ht="48">
      <c r="A83" s="882">
        <v>23</v>
      </c>
      <c r="B83" s="3332"/>
      <c r="C83" s="818" t="s">
        <v>660</v>
      </c>
      <c r="D83" s="818" t="s">
        <v>661</v>
      </c>
      <c r="E83" s="895">
        <v>0.2</v>
      </c>
      <c r="F83" s="882">
        <v>30</v>
      </c>
    </row>
    <row r="84" spans="1:6" s="878" customFormat="1" ht="36">
      <c r="A84" s="882">
        <v>24</v>
      </c>
      <c r="B84" s="3332"/>
      <c r="C84" s="818" t="s">
        <v>662</v>
      </c>
      <c r="D84" s="818" t="s">
        <v>663</v>
      </c>
      <c r="E84" s="895">
        <v>0.2</v>
      </c>
      <c r="F84" s="882">
        <v>30</v>
      </c>
    </row>
    <row r="85" spans="1:6" s="878" customFormat="1" ht="36">
      <c r="A85" s="882">
        <v>25</v>
      </c>
      <c r="B85" s="3332"/>
      <c r="C85" s="818" t="s">
        <v>664</v>
      </c>
      <c r="D85" s="818" t="s">
        <v>665</v>
      </c>
      <c r="E85" s="895">
        <v>0.5</v>
      </c>
      <c r="F85" s="882">
        <v>80</v>
      </c>
    </row>
    <row r="86" spans="1:6" s="878" customFormat="1" ht="36">
      <c r="A86" s="882">
        <v>26</v>
      </c>
      <c r="B86" s="3332"/>
      <c r="C86" s="818" t="s">
        <v>666</v>
      </c>
      <c r="D86" s="818" t="s">
        <v>667</v>
      </c>
      <c r="E86" s="895">
        <v>0.2</v>
      </c>
      <c r="F86" s="882">
        <v>30</v>
      </c>
    </row>
    <row r="87" spans="1:6" s="878" customFormat="1" ht="36">
      <c r="A87" s="882">
        <v>27</v>
      </c>
      <c r="B87" s="3332"/>
      <c r="C87" s="818" t="s">
        <v>668</v>
      </c>
      <c r="D87" s="818" t="s">
        <v>669</v>
      </c>
      <c r="E87" s="895">
        <v>0.2</v>
      </c>
      <c r="F87" s="882">
        <v>30</v>
      </c>
    </row>
    <row r="88" spans="1:6" s="878" customFormat="1" ht="36">
      <c r="A88" s="882">
        <v>28</v>
      </c>
      <c r="B88" s="3332"/>
      <c r="C88" s="818" t="s">
        <v>670</v>
      </c>
      <c r="D88" s="818" t="s">
        <v>671</v>
      </c>
      <c r="E88" s="895">
        <v>0.2</v>
      </c>
      <c r="F88" s="882">
        <v>30</v>
      </c>
    </row>
    <row r="89" spans="1:6" s="878" customFormat="1" ht="24">
      <c r="A89" s="882">
        <v>29</v>
      </c>
      <c r="B89" s="3332"/>
      <c r="C89" s="818" t="s">
        <v>672</v>
      </c>
      <c r="D89" s="818" t="s">
        <v>673</v>
      </c>
      <c r="E89" s="895">
        <v>0.2</v>
      </c>
      <c r="F89" s="882">
        <v>30</v>
      </c>
    </row>
    <row r="90" spans="1:6" s="878" customFormat="1" ht="24">
      <c r="A90" s="882">
        <v>30</v>
      </c>
      <c r="B90" s="3332"/>
      <c r="C90" s="818" t="s">
        <v>674</v>
      </c>
      <c r="D90" s="818" t="s">
        <v>675</v>
      </c>
      <c r="E90" s="895">
        <v>0.2</v>
      </c>
      <c r="F90" s="882">
        <v>30</v>
      </c>
    </row>
    <row r="91" spans="1:6" s="878" customFormat="1" ht="36">
      <c r="A91" s="882">
        <v>31</v>
      </c>
      <c r="B91" s="3332"/>
      <c r="C91" s="818" t="s">
        <v>676</v>
      </c>
      <c r="D91" s="818" t="s">
        <v>677</v>
      </c>
      <c r="E91" s="895">
        <v>0.2</v>
      </c>
      <c r="F91" s="882">
        <v>30</v>
      </c>
    </row>
    <row r="92" spans="1:6" s="878" customFormat="1" ht="24">
      <c r="A92" s="882">
        <v>32</v>
      </c>
      <c r="B92" s="3332" t="s">
        <v>678</v>
      </c>
      <c r="C92" s="882" t="s">
        <v>679</v>
      </c>
      <c r="D92" s="818" t="s">
        <v>680</v>
      </c>
      <c r="E92" s="895">
        <v>0.2</v>
      </c>
      <c r="F92" s="882">
        <v>30</v>
      </c>
    </row>
    <row r="93" spans="1:6" s="878" customFormat="1" ht="36">
      <c r="A93" s="882">
        <v>33</v>
      </c>
      <c r="B93" s="3332"/>
      <c r="C93" s="882" t="s">
        <v>681</v>
      </c>
      <c r="D93" s="818" t="s">
        <v>682</v>
      </c>
      <c r="E93" s="895">
        <v>0.2</v>
      </c>
      <c r="F93" s="882">
        <v>30</v>
      </c>
    </row>
    <row r="94" spans="1:6" s="878" customFormat="1" ht="48">
      <c r="A94" s="882">
        <v>34</v>
      </c>
      <c r="B94" s="3332"/>
      <c r="C94" s="882" t="s">
        <v>683</v>
      </c>
      <c r="D94" s="818" t="s">
        <v>684</v>
      </c>
      <c r="E94" s="895">
        <v>0.2</v>
      </c>
      <c r="F94" s="882">
        <v>30</v>
      </c>
    </row>
    <row r="95" spans="1:6" s="878" customFormat="1" ht="36">
      <c r="A95" s="882">
        <v>35</v>
      </c>
      <c r="B95" s="3332"/>
      <c r="C95" s="882" t="s">
        <v>685</v>
      </c>
      <c r="D95" s="818" t="s">
        <v>686</v>
      </c>
      <c r="E95" s="895">
        <v>0.2</v>
      </c>
      <c r="F95" s="882">
        <v>30</v>
      </c>
    </row>
    <row r="96" spans="1:6" s="878" customFormat="1" ht="48">
      <c r="A96" s="882">
        <v>36</v>
      </c>
      <c r="B96" s="3332"/>
      <c r="C96" s="818" t="s">
        <v>687</v>
      </c>
      <c r="D96" s="818" t="s">
        <v>688</v>
      </c>
      <c r="E96" s="895">
        <v>0.2</v>
      </c>
      <c r="F96" s="882">
        <v>30</v>
      </c>
    </row>
    <row r="97" spans="1:6" s="878" customFormat="1" ht="36">
      <c r="A97" s="882">
        <v>37</v>
      </c>
      <c r="B97" s="3332"/>
      <c r="C97" s="882" t="s">
        <v>689</v>
      </c>
      <c r="D97" s="818" t="s">
        <v>690</v>
      </c>
      <c r="E97" s="895">
        <v>0.2</v>
      </c>
      <c r="F97" s="882">
        <v>30</v>
      </c>
    </row>
    <row r="98" spans="1:6" s="878" customFormat="1" ht="36">
      <c r="A98" s="882">
        <v>38</v>
      </c>
      <c r="B98" s="3332"/>
      <c r="C98" s="882" t="s">
        <v>691</v>
      </c>
      <c r="D98" s="818" t="s">
        <v>692</v>
      </c>
      <c r="E98" s="895">
        <v>0.2</v>
      </c>
      <c r="F98" s="882">
        <v>30</v>
      </c>
    </row>
    <row r="99" spans="1:6" s="878" customFormat="1" ht="36">
      <c r="A99" s="882">
        <v>39</v>
      </c>
      <c r="B99" s="3332" t="s">
        <v>693</v>
      </c>
      <c r="C99" s="882" t="s">
        <v>694</v>
      </c>
      <c r="D99" s="818" t="s">
        <v>695</v>
      </c>
      <c r="E99" s="895">
        <v>0.3</v>
      </c>
      <c r="F99" s="882">
        <v>50</v>
      </c>
    </row>
    <row r="100" spans="1:6" s="878" customFormat="1" ht="24">
      <c r="A100" s="882">
        <v>40</v>
      </c>
      <c r="B100" s="3332"/>
      <c r="C100" s="882" t="s">
        <v>696</v>
      </c>
      <c r="D100" s="818" t="s">
        <v>697</v>
      </c>
      <c r="E100" s="895">
        <v>0.2</v>
      </c>
      <c r="F100" s="882">
        <v>30</v>
      </c>
    </row>
    <row r="101" spans="1:6" s="878" customFormat="1" ht="36">
      <c r="A101" s="882">
        <v>41</v>
      </c>
      <c r="B101" s="3332"/>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332" t="s">
        <v>708</v>
      </c>
      <c r="C105" s="882" t="s">
        <v>709</v>
      </c>
      <c r="D105" s="818" t="s">
        <v>710</v>
      </c>
      <c r="E105" s="895">
        <v>0.2</v>
      </c>
      <c r="F105" s="882">
        <v>30</v>
      </c>
    </row>
    <row r="106" spans="1:6" s="878" customFormat="1" ht="36">
      <c r="A106" s="882">
        <v>46</v>
      </c>
      <c r="B106" s="3332"/>
      <c r="C106" s="882" t="s">
        <v>711</v>
      </c>
      <c r="D106" s="818" t="s">
        <v>712</v>
      </c>
      <c r="E106" s="895">
        <v>0.2</v>
      </c>
      <c r="F106" s="882">
        <v>30</v>
      </c>
    </row>
    <row r="107" spans="1:6" s="878" customFormat="1" ht="36">
      <c r="A107" s="882">
        <v>47</v>
      </c>
      <c r="B107" s="3332" t="s">
        <v>713</v>
      </c>
      <c r="C107" s="882" t="s">
        <v>714</v>
      </c>
      <c r="D107" s="818" t="s">
        <v>715</v>
      </c>
      <c r="E107" s="895">
        <v>0.3</v>
      </c>
      <c r="F107" s="882">
        <v>50</v>
      </c>
    </row>
    <row r="108" spans="1:6" s="878" customFormat="1" ht="36">
      <c r="A108" s="882">
        <v>48</v>
      </c>
      <c r="B108" s="3332"/>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332" t="s">
        <v>724</v>
      </c>
      <c r="C111" s="882" t="s">
        <v>725</v>
      </c>
      <c r="D111" s="818" t="s">
        <v>726</v>
      </c>
      <c r="E111" s="895">
        <v>0.2</v>
      </c>
      <c r="F111" s="882">
        <v>30</v>
      </c>
    </row>
    <row r="112" spans="1:6" s="878" customFormat="1" ht="24">
      <c r="A112" s="882">
        <v>52</v>
      </c>
      <c r="B112" s="3332"/>
      <c r="C112" s="882" t="s">
        <v>727</v>
      </c>
      <c r="D112" s="818" t="s">
        <v>728</v>
      </c>
      <c r="E112" s="895">
        <v>0.2</v>
      </c>
      <c r="F112" s="882">
        <v>30</v>
      </c>
    </row>
    <row r="113" spans="1:6" s="878" customFormat="1" ht="24">
      <c r="A113" s="882">
        <v>53</v>
      </c>
      <c r="B113" s="3332"/>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332" t="s">
        <v>737</v>
      </c>
      <c r="C116" s="882" t="s">
        <v>738</v>
      </c>
      <c r="D116" s="818" t="s">
        <v>739</v>
      </c>
      <c r="E116" s="895">
        <v>0.2</v>
      </c>
      <c r="F116" s="882">
        <v>30</v>
      </c>
    </row>
    <row r="117" spans="1:6" ht="36">
      <c r="A117" s="882">
        <v>57</v>
      </c>
      <c r="B117" s="3332"/>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81"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1.1861999999999999</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8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60" customWidth="1"/>
    <col min="2" max="2" width="37.25" style="1960" customWidth="1"/>
    <col min="3" max="3" width="11.375" style="1960" customWidth="1"/>
    <col min="4" max="4" width="31.75" style="1960" customWidth="1"/>
    <col min="5" max="5" width="0.5" style="1960" customWidth="1"/>
    <col min="6" max="7" width="13" style="1960" customWidth="1"/>
    <col min="8" max="16384" width="9" style="1960"/>
  </cols>
  <sheetData>
    <row r="1" spans="1:5" ht="18.75">
      <c r="A1" s="1958" t="s">
        <v>1616</v>
      </c>
      <c r="B1" s="1959"/>
      <c r="C1" s="1959"/>
      <c r="D1" s="1959"/>
      <c r="E1" s="1959"/>
    </row>
    <row r="2" spans="1:5" ht="78" customHeight="1">
      <c r="A2" s="300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03"/>
      <c r="C2" s="3003"/>
      <c r="D2" s="3003"/>
      <c r="E2" s="3003"/>
    </row>
    <row r="3" spans="1:5" ht="18">
      <c r="A3" s="3004" t="str">
        <f>IF(项目基本情况!B9="房地产市场价值","估价结果一览表（市场价值不需“结果表-1”）","估价结果一览表")</f>
        <v>估价结果一览表</v>
      </c>
      <c r="B3" s="3004"/>
      <c r="C3" s="3004"/>
      <c r="D3" s="3004"/>
      <c r="E3" s="3004"/>
    </row>
    <row r="4" spans="1:5" ht="19.5" thickBot="1">
      <c r="A4" s="1961"/>
      <c r="B4" s="3002" t="s">
        <v>1625</v>
      </c>
      <c r="C4" s="3002"/>
      <c r="D4" s="3002"/>
      <c r="E4" s="1961"/>
    </row>
    <row r="5" spans="1:5" ht="16.5" thickTop="1">
      <c r="A5" s="1959"/>
      <c r="B5" s="3000" t="s">
        <v>1617</v>
      </c>
      <c r="C5" s="1962" t="s">
        <v>1618</v>
      </c>
      <c r="D5" s="1040">
        <f ca="1">结果表!H101</f>
        <v>73513</v>
      </c>
      <c r="E5" s="1959"/>
    </row>
    <row r="6" spans="1:5" ht="15.75">
      <c r="A6" s="1959"/>
      <c r="B6" s="3000"/>
      <c r="C6" s="1962" t="s">
        <v>1619</v>
      </c>
      <c r="D6" s="1040" t="str">
        <f ca="1">NUMBERSTRING(INT(D5*10000),2)&amp;"元整"</f>
        <v>柒亿叁仟伍佰壹拾叁万元整</v>
      </c>
      <c r="E6" s="1959"/>
    </row>
    <row r="7" spans="1:5" ht="15.75">
      <c r="A7" s="1959"/>
      <c r="B7" s="3005"/>
      <c r="C7" s="1963" t="s">
        <v>1620</v>
      </c>
      <c r="D7" s="1041">
        <f ca="1">结果表!H102</f>
        <v>27025</v>
      </c>
      <c r="E7" s="1959"/>
    </row>
    <row r="8" spans="1:5" ht="15.75">
      <c r="A8" s="1959"/>
      <c r="B8" s="3006" t="str">
        <f>结果表!E103</f>
        <v>2.估价师知悉的法定优先受偿款</v>
      </c>
      <c r="C8" s="1964" t="s">
        <v>1621</v>
      </c>
      <c r="D8" s="1041">
        <f>结果表!H103</f>
        <v>0</v>
      </c>
      <c r="E8" s="1959"/>
    </row>
    <row r="9" spans="1:5" ht="15.75">
      <c r="A9" s="1959"/>
      <c r="B9" s="3008"/>
      <c r="C9" s="1962" t="s">
        <v>1619</v>
      </c>
      <c r="D9" s="1040" t="str">
        <f>NUMBERSTRING(INT(D8*10000),2)&amp;"元整"</f>
        <v>零元整</v>
      </c>
      <c r="E9" s="1959"/>
    </row>
    <row r="10" spans="1:5" ht="15">
      <c r="A10" s="1959"/>
      <c r="B10" s="1965" t="s">
        <v>1624</v>
      </c>
      <c r="C10" s="1966" t="s">
        <v>1622</v>
      </c>
      <c r="D10" s="1042">
        <f>结果表!H104</f>
        <v>0</v>
      </c>
      <c r="E10" s="1959"/>
    </row>
    <row r="11" spans="1:5" ht="15">
      <c r="A11" s="1959"/>
      <c r="B11" s="1965" t="s">
        <v>1626</v>
      </c>
      <c r="C11" s="1966" t="s">
        <v>1627</v>
      </c>
      <c r="D11" s="1042">
        <f>结果表!H105</f>
        <v>0</v>
      </c>
      <c r="E11" s="1959"/>
    </row>
    <row r="12" spans="1:5" ht="15">
      <c r="A12" s="1959"/>
      <c r="B12" s="1965" t="s">
        <v>1628</v>
      </c>
      <c r="C12" s="1966" t="s">
        <v>1627</v>
      </c>
      <c r="D12" s="1042">
        <f>结果表!H106</f>
        <v>0</v>
      </c>
      <c r="E12" s="1959"/>
    </row>
    <row r="13" spans="1:5" ht="15.75">
      <c r="A13" s="1959"/>
      <c r="B13" s="2999" t="str">
        <f>结果表!E107</f>
        <v>3.房地产抵押价值</v>
      </c>
      <c r="C13" s="1967" t="s">
        <v>1618</v>
      </c>
      <c r="D13" s="1043">
        <f ca="1">结果表!H107</f>
        <v>73513</v>
      </c>
      <c r="E13" s="1959"/>
    </row>
    <row r="14" spans="1:5" ht="15.75">
      <c r="A14" s="1959"/>
      <c r="B14" s="3000"/>
      <c r="C14" s="1962" t="s">
        <v>1619</v>
      </c>
      <c r="D14" s="1040" t="str">
        <f ca="1">NUMBERSTRING(INT(D13*10000),2)&amp;"元整"</f>
        <v>柒亿叁仟伍佰壹拾叁万元整</v>
      </c>
      <c r="E14" s="1959"/>
    </row>
    <row r="15" spans="1:5" ht="15">
      <c r="A15" s="1959"/>
      <c r="B15" s="3005"/>
      <c r="C15" s="1963" t="s">
        <v>1629</v>
      </c>
      <c r="D15" s="1052">
        <f ca="1">结果表!H108</f>
        <v>27025</v>
      </c>
      <c r="E15" s="1959"/>
    </row>
    <row r="16" spans="1:5" ht="15">
      <c r="A16" s="1959"/>
      <c r="B16" s="3006" t="str">
        <f>结果表!E109</f>
        <v>——</v>
      </c>
      <c r="C16" s="1967" t="s">
        <v>1630</v>
      </c>
      <c r="D16" s="1968" t="str">
        <f>结果表!H109</f>
        <v>——</v>
      </c>
      <c r="E16" s="1959"/>
    </row>
    <row r="17" spans="1:5" ht="15.75">
      <c r="A17" s="1959"/>
      <c r="B17" s="3007"/>
      <c r="C17" s="1962" t="s">
        <v>1631</v>
      </c>
      <c r="D17" s="1040" t="e">
        <f>NUMBERSTRING(INT(D16*10000),2)&amp;"元整"</f>
        <v>#VALUE!</v>
      </c>
      <c r="E17" s="1959"/>
    </row>
    <row r="18" spans="1:5" ht="15">
      <c r="A18" s="1959"/>
      <c r="B18" s="3008"/>
      <c r="C18" s="1963" t="s">
        <v>1620</v>
      </c>
      <c r="D18" s="1052" t="str">
        <f>结果表!H110</f>
        <v>——</v>
      </c>
      <c r="E18" s="1959"/>
    </row>
    <row r="19" spans="1:5" ht="15.75">
      <c r="A19" s="1959"/>
      <c r="B19" s="2999" t="str">
        <f>结果表!E111</f>
        <v>——</v>
      </c>
      <c r="C19" s="1967" t="s">
        <v>1618</v>
      </c>
      <c r="D19" s="1041" t="str">
        <f>结果表!H111</f>
        <v>——</v>
      </c>
      <c r="E19" s="1959"/>
    </row>
    <row r="20" spans="1:5" ht="15.75">
      <c r="A20" s="1959"/>
      <c r="B20" s="3000"/>
      <c r="C20" s="1962" t="s">
        <v>1631</v>
      </c>
      <c r="D20" s="1040" t="e">
        <f>NUMBERSTRING(INT(D19*10000),2)&amp;"元整"</f>
        <v>#VALUE!</v>
      </c>
      <c r="E20" s="1959"/>
    </row>
    <row r="21" spans="1:5" ht="15.75" thickBot="1">
      <c r="A21" s="1959"/>
      <c r="B21" s="3001"/>
      <c r="C21" s="1969" t="s">
        <v>1629</v>
      </c>
      <c r="D21" s="1053" t="str">
        <f>结果表!H112</f>
        <v>——</v>
      </c>
      <c r="E21" s="1959"/>
    </row>
    <row r="22" spans="1:5" ht="15" thickTop="1">
      <c r="A22" s="1959"/>
      <c r="B22" s="1970" t="s">
        <v>1632</v>
      </c>
      <c r="C22" s="1959"/>
      <c r="D22" s="1959"/>
      <c r="E22" s="1959"/>
    </row>
    <row r="23" spans="1:5">
      <c r="A23" s="1959"/>
      <c r="B23" s="1959"/>
      <c r="C23" s="1959"/>
      <c r="D23" s="1959"/>
      <c r="E23" s="1959"/>
    </row>
    <row r="24" spans="1:5" ht="18.75">
      <c r="A24" s="1971"/>
      <c r="B24" s="1972" t="s">
        <v>1623</v>
      </c>
      <c r="C24" s="1971"/>
      <c r="D24" s="1971"/>
      <c r="E24" s="1971"/>
    </row>
    <row r="25" spans="1:5">
      <c r="A25" s="1971"/>
      <c r="B25" s="1971"/>
      <c r="C25" s="1971"/>
      <c r="D25" s="1971"/>
      <c r="E25" s="1971"/>
    </row>
    <row r="26" spans="1:5">
      <c r="A26" s="1971"/>
      <c r="B26" s="1971"/>
      <c r="C26" s="1971"/>
      <c r="D26" s="1971"/>
      <c r="E26" s="1971"/>
    </row>
    <row r="27" spans="1:5">
      <c r="A27" s="1971"/>
      <c r="B27" s="1971"/>
      <c r="C27" s="1971"/>
      <c r="D27" s="1971"/>
      <c r="E27" s="1971"/>
    </row>
    <row r="28" spans="1:5">
      <c r="A28" s="1971"/>
      <c r="B28" s="1971"/>
      <c r="C28" s="1971"/>
      <c r="D28" s="1971"/>
      <c r="E28" s="1971"/>
    </row>
    <row r="29" spans="1:5">
      <c r="A29" s="1971"/>
      <c r="B29" s="1971"/>
      <c r="C29" s="1971"/>
      <c r="D29" s="1971"/>
      <c r="E29" s="1971"/>
    </row>
    <row r="30" spans="1:5">
      <c r="A30" s="1971"/>
      <c r="B30" s="1971"/>
      <c r="C30" s="1971"/>
      <c r="D30" s="1971"/>
      <c r="E30" s="1971"/>
    </row>
    <row r="31" spans="1:5">
      <c r="A31" s="1971"/>
      <c r="B31" s="1971"/>
      <c r="C31" s="1971"/>
      <c r="D31" s="1971"/>
      <c r="E31" s="1971"/>
    </row>
    <row r="32" spans="1:5">
      <c r="A32" s="1971"/>
      <c r="B32" s="1971"/>
      <c r="C32" s="1971"/>
      <c r="D32" s="1971"/>
      <c r="E32" s="1971"/>
    </row>
    <row r="33" spans="1:5">
      <c r="A33" s="1971"/>
      <c r="B33" s="1971"/>
      <c r="C33" s="1971"/>
      <c r="D33" s="1971"/>
      <c r="E33" s="1971"/>
    </row>
    <row r="34" spans="1:5">
      <c r="A34" s="1971"/>
      <c r="B34" s="1971"/>
      <c r="C34" s="1971"/>
      <c r="D34" s="1971"/>
      <c r="E34" s="1971"/>
    </row>
    <row r="35" spans="1:5">
      <c r="A35" s="1971"/>
      <c r="B35" s="1971"/>
      <c r="C35" s="1971"/>
      <c r="D35" s="1971"/>
      <c r="E35" s="1971"/>
    </row>
    <row r="36" spans="1:5">
      <c r="A36" s="1971"/>
      <c r="B36" s="1971"/>
      <c r="C36" s="1971"/>
      <c r="D36" s="1971"/>
      <c r="E36" s="1971"/>
    </row>
    <row r="37" spans="1:5">
      <c r="A37" s="1971"/>
      <c r="B37" s="1971"/>
      <c r="C37" s="1971"/>
      <c r="D37" s="1971"/>
      <c r="E37" s="1971"/>
    </row>
    <row r="38" spans="1:5">
      <c r="A38" s="1971"/>
      <c r="B38" s="1971"/>
      <c r="C38" s="1971"/>
      <c r="D38" s="1971"/>
      <c r="E38" s="1971"/>
    </row>
    <row r="39" spans="1:5">
      <c r="A39" s="1971"/>
      <c r="B39" s="1971"/>
      <c r="C39" s="1971"/>
      <c r="D39" s="1971"/>
      <c r="E39" s="1971"/>
    </row>
    <row r="40" spans="1:5">
      <c r="A40" s="1971"/>
      <c r="B40" s="1971"/>
      <c r="C40" s="1971"/>
      <c r="D40" s="1971"/>
      <c r="E40" s="1971"/>
    </row>
    <row r="41" spans="1:5">
      <c r="A41" s="1971"/>
      <c r="B41" s="1971"/>
      <c r="C41" s="1971"/>
      <c r="D41" s="1971"/>
      <c r="E41" s="1971"/>
    </row>
    <row r="42" spans="1:5">
      <c r="A42" s="1971"/>
      <c r="B42" s="1971"/>
      <c r="C42" s="1971"/>
      <c r="D42" s="1971"/>
      <c r="E42" s="197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91"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J33" sqref="J33"/>
    </sheetView>
  </sheetViews>
  <sheetFormatPr defaultColWidth="9" defaultRowHeight="14.25"/>
  <cols>
    <col min="1" max="1" width="23.375" style="1945" customWidth="1"/>
    <col min="2" max="2" width="12.5" style="1945" customWidth="1"/>
    <col min="3" max="3" width="12.125" style="1945" customWidth="1"/>
    <col min="4" max="4" width="14.125" style="1945" customWidth="1"/>
    <col min="5" max="5" width="12.5" style="1945" customWidth="1"/>
    <col min="6" max="16384" width="9" style="1945"/>
  </cols>
  <sheetData>
    <row r="1" spans="1:5" ht="21">
      <c r="A1" s="2564" t="s">
        <v>2998</v>
      </c>
    </row>
    <row r="2" spans="1:5" ht="15.75">
      <c r="A2" s="2905" t="s">
        <v>2990</v>
      </c>
      <c r="B2" s="2906">
        <f ca="1">SUMIF(B6:B13,"&lt;&gt;#ref!",B6:B13)</f>
        <v>19662</v>
      </c>
      <c r="C2" s="2905" t="s">
        <v>2991</v>
      </c>
      <c r="D2" s="2905" t="s">
        <v>2992</v>
      </c>
      <c r="E2" s="2906">
        <f ca="1">SUMIF(E6:E13,"&lt;&gt;#ref!",E6:E13)</f>
        <v>27202.3</v>
      </c>
    </row>
    <row r="3" spans="1:5" ht="15.75">
      <c r="A3" s="2905" t="s">
        <v>2993</v>
      </c>
      <c r="B3" s="2906">
        <f ca="1">ROUND(B2*10000/E2,0)</f>
        <v>7228</v>
      </c>
      <c r="C3" s="2905" t="s">
        <v>2999</v>
      </c>
      <c r="D3" s="2907"/>
      <c r="E3" s="2907"/>
    </row>
    <row r="4" spans="1:5" ht="15.75">
      <c r="A4" s="2908"/>
      <c r="B4" s="2907"/>
      <c r="C4" s="2907"/>
      <c r="D4" s="2907"/>
      <c r="E4" s="2907"/>
    </row>
    <row r="5" spans="1:5" ht="28.5">
      <c r="A5" s="2909" t="s">
        <v>2994</v>
      </c>
      <c r="B5" s="2905" t="s">
        <v>2995</v>
      </c>
      <c r="C5" s="2906"/>
      <c r="D5" s="2907"/>
      <c r="E5" s="2905" t="s">
        <v>2996</v>
      </c>
    </row>
    <row r="6" spans="1:5" ht="15.75">
      <c r="A6" s="2910" t="s">
        <v>2997</v>
      </c>
      <c r="B6" s="2906">
        <f ca="1">SUMIF(INDIRECT("'"&amp;A6&amp;"'"&amp;"!A:A"),"总价",INDIRECT("'"&amp;A6&amp;"'"&amp;"!B:B"))</f>
        <v>19662</v>
      </c>
      <c r="C6" s="2905" t="s">
        <v>2991</v>
      </c>
      <c r="D6" s="2907"/>
      <c r="E6" s="2578">
        <f ca="1">SUMIF(INDIRECT("'"&amp;A6&amp;"'"&amp;"!C:C"),"建筑面积",INDIRECT("'"&amp;A6&amp;"'"&amp;"!D:D"))</f>
        <v>27202.3</v>
      </c>
    </row>
    <row r="7" spans="1:5" ht="15.75">
      <c r="A7" s="2910"/>
      <c r="B7" s="2906" t="e">
        <f ca="1">SUMIF(INDIRECT("'"&amp;A7&amp;"'"&amp;"!A:A"),"总价",INDIRECT("'"&amp;A7&amp;"'"&amp;"!B:B"))</f>
        <v>#REF!</v>
      </c>
      <c r="C7" s="2905" t="s">
        <v>2991</v>
      </c>
      <c r="D7" s="2907"/>
      <c r="E7" s="2578" t="e">
        <f t="shared" ref="E7:E13" ca="1" si="0">SUMIF(INDIRECT("'"&amp;A7&amp;"'"&amp;"!C:C"),"建筑面积",INDIRECT("'"&amp;A7&amp;"'"&amp;"!D:D"))</f>
        <v>#REF!</v>
      </c>
    </row>
    <row r="8" spans="1:5" ht="15.75">
      <c r="A8" s="2910"/>
      <c r="B8" s="2906" t="e">
        <f t="shared" ref="B8:B13" ca="1" si="1">SUMIF(INDIRECT("'"&amp;A8&amp;"'"&amp;"!A:A"),"总价",INDIRECT("'"&amp;A8&amp;"'"&amp;"!B:B"))</f>
        <v>#REF!</v>
      </c>
      <c r="C8" s="2905" t="s">
        <v>2991</v>
      </c>
      <c r="D8" s="2907"/>
      <c r="E8" s="2578" t="e">
        <f t="shared" ca="1" si="0"/>
        <v>#REF!</v>
      </c>
    </row>
    <row r="9" spans="1:5" ht="15.75">
      <c r="A9" s="2910"/>
      <c r="B9" s="2906" t="e">
        <f t="shared" ca="1" si="1"/>
        <v>#REF!</v>
      </c>
      <c r="C9" s="2905" t="s">
        <v>2991</v>
      </c>
      <c r="D9" s="2907"/>
      <c r="E9" s="2578" t="e">
        <f t="shared" ca="1" si="0"/>
        <v>#REF!</v>
      </c>
    </row>
    <row r="10" spans="1:5" ht="15.75">
      <c r="A10" s="2910"/>
      <c r="B10" s="2906" t="e">
        <f t="shared" ca="1" si="1"/>
        <v>#REF!</v>
      </c>
      <c r="C10" s="2905" t="s">
        <v>2991</v>
      </c>
      <c r="D10" s="2907"/>
      <c r="E10" s="2578" t="e">
        <f t="shared" ca="1" si="0"/>
        <v>#REF!</v>
      </c>
    </row>
    <row r="11" spans="1:5" ht="15.75">
      <c r="A11" s="2910"/>
      <c r="B11" s="2906" t="e">
        <f t="shared" ca="1" si="1"/>
        <v>#REF!</v>
      </c>
      <c r="C11" s="2905" t="s">
        <v>2991</v>
      </c>
      <c r="D11" s="2907"/>
      <c r="E11" s="2578" t="e">
        <f t="shared" ca="1" si="0"/>
        <v>#REF!</v>
      </c>
    </row>
    <row r="12" spans="1:5" ht="15.75">
      <c r="A12" s="2910"/>
      <c r="B12" s="2906" t="e">
        <f t="shared" ca="1" si="1"/>
        <v>#REF!</v>
      </c>
      <c r="C12" s="2905" t="s">
        <v>2991</v>
      </c>
      <c r="D12" s="2907"/>
      <c r="E12" s="2578" t="e">
        <f t="shared" ca="1" si="0"/>
        <v>#REF!</v>
      </c>
    </row>
    <row r="13" spans="1:5" ht="15.75">
      <c r="A13" s="2910"/>
      <c r="B13" s="2906" t="e">
        <f t="shared" ca="1" si="1"/>
        <v>#REF!</v>
      </c>
      <c r="C13" s="2905" t="s">
        <v>2991</v>
      </c>
      <c r="D13" s="2907"/>
      <c r="E13" s="2578" t="e">
        <f t="shared" ca="1" si="0"/>
        <v>#REF!</v>
      </c>
    </row>
  </sheetData>
  <sheetProtection password="C66D" sheet="1" objects="1" scenarios="1" formatCells="0"/>
  <phoneticPr fontId="145"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W6" sqref="W6"/>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338" t="s">
        <v>1146</v>
      </c>
      <c r="C1" s="3338"/>
      <c r="D1" s="3338"/>
      <c r="E1" s="3338"/>
      <c r="F1" s="3338"/>
      <c r="G1" s="3337" t="s">
        <v>1147</v>
      </c>
      <c r="H1" s="3337"/>
      <c r="I1" s="3337"/>
      <c r="J1" s="3337"/>
      <c r="K1" s="3337"/>
      <c r="L1" s="3337"/>
      <c r="N1" s="3337" t="s">
        <v>1148</v>
      </c>
      <c r="O1" s="3337"/>
      <c r="P1" s="3337"/>
      <c r="Q1" s="3337"/>
      <c r="R1" s="1446"/>
      <c r="S1" s="3337" t="s">
        <v>1149</v>
      </c>
      <c r="T1" s="3337"/>
      <c r="U1" s="3337"/>
      <c r="V1" s="3337"/>
      <c r="X1" s="3336" t="s">
        <v>1150</v>
      </c>
      <c r="Y1" s="3337"/>
      <c r="Z1" s="3337"/>
      <c r="AA1" s="3337"/>
      <c r="AB1" s="3337"/>
      <c r="AD1" s="3336" t="s">
        <v>1151</v>
      </c>
      <c r="AE1" s="3337"/>
      <c r="AF1" s="3337"/>
      <c r="AG1" s="3337"/>
      <c r="AH1" s="3337"/>
    </row>
    <row r="2" spans="1:34" s="1447" customFormat="1" ht="14.25" thickBot="1">
      <c r="B2" s="1448" t="s">
        <v>1152</v>
      </c>
      <c r="C2" s="1448" t="s">
        <v>1153</v>
      </c>
      <c r="D2" s="1449" t="s">
        <v>1154</v>
      </c>
      <c r="E2" s="1449" t="s">
        <v>1155</v>
      </c>
      <c r="F2" s="1448" t="s">
        <v>1156</v>
      </c>
      <c r="G2" s="1450"/>
      <c r="H2" s="1451"/>
      <c r="I2" s="1448" t="s">
        <v>1152</v>
      </c>
      <c r="J2" s="1449" t="s">
        <v>1381</v>
      </c>
      <c r="K2" s="1449" t="s">
        <v>751</v>
      </c>
      <c r="L2" s="1448" t="s">
        <v>1156</v>
      </c>
      <c r="N2" s="1448" t="s">
        <v>1152</v>
      </c>
      <c r="O2" s="1449" t="s">
        <v>1381</v>
      </c>
      <c r="P2" s="1449" t="s">
        <v>751</v>
      </c>
      <c r="Q2" s="1448" t="s">
        <v>1156</v>
      </c>
      <c r="R2" s="1452"/>
      <c r="S2" s="1448" t="s">
        <v>1152</v>
      </c>
      <c r="T2" s="1449" t="s">
        <v>1381</v>
      </c>
      <c r="U2" s="1449" t="s">
        <v>751</v>
      </c>
      <c r="V2" s="1448" t="s">
        <v>1156</v>
      </c>
      <c r="X2" s="1448" t="s">
        <v>1152</v>
      </c>
      <c r="Y2" s="1448" t="s">
        <v>1153</v>
      </c>
      <c r="Z2" s="1449" t="s">
        <v>1154</v>
      </c>
      <c r="AA2" s="1449" t="s">
        <v>1155</v>
      </c>
      <c r="AB2" s="1448" t="s">
        <v>1156</v>
      </c>
      <c r="AD2" s="1448" t="s">
        <v>1152</v>
      </c>
      <c r="AE2" s="1448" t="s">
        <v>1153</v>
      </c>
      <c r="AF2" s="1449" t="s">
        <v>1154</v>
      </c>
      <c r="AG2" s="1449" t="s">
        <v>1155</v>
      </c>
      <c r="AH2" s="1448" t="s">
        <v>1156</v>
      </c>
    </row>
    <row r="3" spans="1:34" s="2921" customFormat="1" ht="14.25">
      <c r="A3" s="2930" t="s">
        <v>3033</v>
      </c>
      <c r="B3" s="2922"/>
      <c r="C3" s="2922"/>
      <c r="D3" s="2923"/>
      <c r="E3" s="2923"/>
      <c r="F3" s="2922"/>
      <c r="G3" s="2924"/>
      <c r="H3" s="2925"/>
      <c r="I3" s="2926">
        <f>ROUND(AVERAGE($I4:$I26),2)</f>
        <v>2.06</v>
      </c>
      <c r="J3" s="2926">
        <f>ROUND(AVERAGE($J4:$J26),2)</f>
        <v>1.46</v>
      </c>
      <c r="K3" s="2926">
        <f>ROUND(AVERAGE($K4:$K26),2)</f>
        <v>2.2599999999999998</v>
      </c>
      <c r="L3" s="2926">
        <f>ROUND(AVERAGE($L4:$L26),2)</f>
        <v>1.4</v>
      </c>
      <c r="N3" s="2924"/>
      <c r="O3" s="2927"/>
      <c r="P3" s="2927"/>
      <c r="Q3" s="2927"/>
      <c r="R3" s="2927"/>
      <c r="S3" s="2924"/>
      <c r="T3" s="2927"/>
      <c r="U3" s="2927"/>
      <c r="V3" s="2927"/>
      <c r="W3" s="2919"/>
      <c r="X3" s="2928">
        <f>ROUND(SUMPRODUCT(PRODUCT(1+N3:N$25)),4)</f>
        <v>1.5189999999999999</v>
      </c>
      <c r="Y3" s="2928">
        <f>ROUND(SUMPRODUCT(PRODUCT(1+O3:O$25)),4)</f>
        <v>1.3423</v>
      </c>
      <c r="Z3" s="2928">
        <f t="shared" ref="Z3:Z23" si="0">Y3</f>
        <v>1.3423</v>
      </c>
      <c r="AA3" s="2928">
        <f>ROUND(SUMPRODUCT(PRODUCT(1+P3:P$25)),4)</f>
        <v>1.5782</v>
      </c>
      <c r="AB3" s="2928">
        <f>ROUND(SUMPRODUCT(PRODUCT(1+Q3:Q$25)),4)</f>
        <v>1.3405</v>
      </c>
      <c r="AD3" s="2929">
        <f>ROUND(AVERAGE(I3:I$26)/100,4)</f>
        <v>2.06E-2</v>
      </c>
      <c r="AE3" s="2929">
        <f>ROUND(AVERAGE(J3:J$26)/100,4)</f>
        <v>1.46E-2</v>
      </c>
      <c r="AF3" s="2929">
        <f t="shared" ref="AF3:AF24" si="1">AE3</f>
        <v>1.46E-2</v>
      </c>
      <c r="AG3" s="2929">
        <f>ROUND(AVERAGE(K3:K$26)/100,4)</f>
        <v>2.2599999999999999E-2</v>
      </c>
      <c r="AH3" s="2929">
        <f>ROUND(AVERAGE(L3:L$26)/100,4)</f>
        <v>1.4E-2</v>
      </c>
    </row>
    <row r="4" spans="1:34" s="1453" customFormat="1" ht="14.25">
      <c r="B4" s="1454"/>
      <c r="C4" s="1454"/>
      <c r="D4" s="1455"/>
      <c r="E4" s="1455"/>
      <c r="F4" s="1454"/>
      <c r="G4" s="1456"/>
      <c r="H4" s="1457"/>
      <c r="I4" s="2916"/>
      <c r="J4" s="2916"/>
      <c r="K4" s="2916"/>
      <c r="L4" s="2916"/>
      <c r="N4" s="1456"/>
      <c r="O4" s="1458"/>
      <c r="P4" s="1458"/>
      <c r="Q4" s="1458"/>
      <c r="R4" s="1458"/>
      <c r="S4" s="1456"/>
      <c r="T4" s="1458"/>
      <c r="U4" s="1458"/>
      <c r="V4" s="1458"/>
      <c r="X4" s="1459"/>
      <c r="Y4" s="1459"/>
      <c r="Z4" s="1459"/>
      <c r="AA4" s="1459"/>
      <c r="AB4" s="1459"/>
      <c r="AD4" s="1460"/>
      <c r="AE4" s="1460"/>
      <c r="AF4" s="1460"/>
      <c r="AG4" s="1460"/>
      <c r="AH4" s="1460"/>
    </row>
    <row r="5" spans="1:34" s="1731" customFormat="1" ht="13.5" thickBot="1">
      <c r="A5" s="1729" t="s">
        <v>3047</v>
      </c>
      <c r="B5" s="1791">
        <f t="shared" ref="B5" si="2">B6*(1+N5)</f>
        <v>467.15916775261894</v>
      </c>
      <c r="C5" s="1791">
        <f t="shared" ref="C5" si="3">C6*(1+O5)</f>
        <v>346.01232557169084</v>
      </c>
      <c r="D5" s="1791">
        <f t="shared" ref="D5" si="4">C5</f>
        <v>346.01232557169084</v>
      </c>
      <c r="E5" s="1791">
        <f t="shared" ref="E5" si="5">E6*(1+P5)</f>
        <v>667.41617752122568</v>
      </c>
      <c r="F5" s="1791">
        <f t="shared" ref="F5" si="6">F6*(1+Q5)</f>
        <v>308.20314391798104</v>
      </c>
      <c r="G5" s="2935">
        <v>2019</v>
      </c>
      <c r="H5" s="1730">
        <v>2</v>
      </c>
      <c r="I5" s="2917">
        <v>0</v>
      </c>
      <c r="J5" s="2917">
        <v>0</v>
      </c>
      <c r="K5" s="2917">
        <v>0</v>
      </c>
      <c r="L5" s="2917">
        <v>0</v>
      </c>
      <c r="N5" s="1467">
        <f>I5/100</f>
        <v>0</v>
      </c>
      <c r="O5" s="1467">
        <f t="shared" ref="O5" si="7">J5/100</f>
        <v>0</v>
      </c>
      <c r="P5" s="1467">
        <f t="shared" ref="P5" si="8">K5/100</f>
        <v>0</v>
      </c>
      <c r="Q5" s="1467">
        <f t="shared" ref="Q5" si="9">L5/100</f>
        <v>0</v>
      </c>
      <c r="R5" s="1732"/>
      <c r="S5" s="1733"/>
      <c r="T5" s="1732"/>
      <c r="U5" s="1732"/>
      <c r="V5" s="1732"/>
      <c r="W5" s="2920" t="s">
        <v>3034</v>
      </c>
      <c r="X5" s="1726">
        <f>ROUND(IF(项目基本情况!B7="出让",SUMPRODUCT(PRODUCT(1+N5:N$26)),SUMPRODUCT(PRODUCT(1+N5:N$25))),4)</f>
        <v>1.5189999999999999</v>
      </c>
      <c r="Y5" s="1726">
        <f>ROUND(IF(项目基本情况!B7="出让",SUMPRODUCT(PRODUCT(1+O5:O$26)),SUMPRODUCT(PRODUCT(1+O5:O$25))),4)</f>
        <v>1.3423</v>
      </c>
      <c r="Z5" s="1726">
        <f t="shared" ref="Z5" si="10">Y5</f>
        <v>1.3423</v>
      </c>
      <c r="AA5" s="1726">
        <f>ROUND(IF(项目基本情况!B7="出让",SUMPRODUCT(PRODUCT(1+P5:P$26)),SUMPRODUCT(PRODUCT(1+P5:P$25))),4)</f>
        <v>1.5782</v>
      </c>
      <c r="AB5" s="1726">
        <f>ROUND(IF(项目基本情况!B7="出让",SUMPRODUCT(PRODUCT(1+Q5:Q$26)),SUMPRODUCT(PRODUCT(1+Q5:Q$25))),4)</f>
        <v>1.3405</v>
      </c>
      <c r="AD5" s="1468">
        <f>ROUND(AVERAGE(I5:I$26)/100,4)</f>
        <v>2.06E-2</v>
      </c>
      <c r="AE5" s="1468">
        <f>ROUND(AVERAGE(J5:J$26)/100,4)</f>
        <v>1.46E-2</v>
      </c>
      <c r="AF5" s="1468">
        <f t="shared" ref="AF5" si="11">AE5</f>
        <v>1.46E-2</v>
      </c>
      <c r="AG5" s="1468">
        <f>ROUND(AVERAGE(K5:K$26)/100,4)</f>
        <v>2.2599999999999999E-2</v>
      </c>
      <c r="AH5" s="1468">
        <f>ROUND(AVERAGE(L5:L$26)/100,4)</f>
        <v>1.4E-2</v>
      </c>
    </row>
    <row r="6" spans="1:34" s="1466" customFormat="1" ht="13.5" thickBot="1">
      <c r="A6" s="1461" t="s">
        <v>3048</v>
      </c>
      <c r="B6" s="1477">
        <f t="shared" ref="B6" si="12">B7*(1+N6)</f>
        <v>467.15916775261894</v>
      </c>
      <c r="C6" s="1477">
        <f t="shared" ref="C6" si="13">C7*(1+O6)</f>
        <v>346.01232557169084</v>
      </c>
      <c r="D6" s="1477">
        <f t="shared" ref="D6" si="14">C6</f>
        <v>346.01232557169084</v>
      </c>
      <c r="E6" s="1477">
        <f t="shared" ref="E6" si="15">E7*(1+P6)</f>
        <v>667.41617752122568</v>
      </c>
      <c r="F6" s="1477">
        <f t="shared" ref="F6" si="16">F7*(1+Q6)</f>
        <v>308.20314391798104</v>
      </c>
      <c r="G6" s="2934">
        <v>2019</v>
      </c>
      <c r="H6" s="1464">
        <v>1</v>
      </c>
      <c r="I6" s="2936">
        <v>0.6</v>
      </c>
      <c r="J6" s="2936">
        <v>0.37</v>
      </c>
      <c r="K6" s="2936">
        <v>0.63</v>
      </c>
      <c r="L6" s="2937">
        <v>1.1299999999999999</v>
      </c>
      <c r="M6" s="1471"/>
      <c r="N6" s="1472">
        <f>I6/100</f>
        <v>6.0000000000000001E-3</v>
      </c>
      <c r="O6" s="1473">
        <f t="shared" ref="O6" si="17">J6/100</f>
        <v>3.7000000000000002E-3</v>
      </c>
      <c r="P6" s="1473">
        <f t="shared" ref="P6" si="18">K6/100</f>
        <v>6.3E-3</v>
      </c>
      <c r="Q6" s="1473">
        <f t="shared" ref="Q6" si="19">L6/100</f>
        <v>1.1299999999999999E-2</v>
      </c>
      <c r="R6" s="1474"/>
      <c r="S6" s="1472">
        <f>B6/B7-1</f>
        <v>6.0000000000000053E-3</v>
      </c>
      <c r="T6" s="1473">
        <f t="shared" ref="T6" si="20">C6/C7-1</f>
        <v>3.7000000000000366E-3</v>
      </c>
      <c r="U6" s="1473">
        <f t="shared" ref="U6" si="21">D6/D7-1</f>
        <v>3.7000000000000366E-3</v>
      </c>
      <c r="V6" s="1473">
        <f t="shared" ref="V6" si="22">E6/E7-1</f>
        <v>6.2999999999999723E-3</v>
      </c>
      <c r="W6" s="1790"/>
      <c r="X6" s="1788">
        <f>ROUND(IF(项目基本情况!B8="出让",SUMPRODUCT(PRODUCT(1+N6:N$26)),SUMPRODUCT(PRODUCT(1+N6:N$25))),4)</f>
        <v>1.5189999999999999</v>
      </c>
      <c r="Y6" s="1788">
        <f>ROUND(IF(项目基本情况!B8="出让",SUMPRODUCT(PRODUCT(1+O6:O$26)),SUMPRODUCT(PRODUCT(1+O6:O$25))),4)</f>
        <v>1.3423</v>
      </c>
      <c r="Z6" s="1788">
        <f t="shared" ref="Z6" si="23">Y6</f>
        <v>1.3423</v>
      </c>
      <c r="AA6" s="1788">
        <f>ROUND(IF(项目基本情况!B8="出让",SUMPRODUCT(PRODUCT(1+P6:P$26)),SUMPRODUCT(PRODUCT(1+P6:P$25))),4)</f>
        <v>1.5782</v>
      </c>
      <c r="AB6" s="1788">
        <f>ROUND(IF(项目基本情况!B8="出让",SUMPRODUCT(PRODUCT(1+Q6:Q$26)),SUMPRODUCT(PRODUCT(1+Q6:Q$25))),4)</f>
        <v>1.3405</v>
      </c>
      <c r="AC6" s="1790"/>
      <c r="AD6" s="1789">
        <f>ROUND(AVERAGE(I6:I$26)/100,4)</f>
        <v>2.1600000000000001E-2</v>
      </c>
      <c r="AE6" s="1789">
        <f>ROUND(AVERAGE(J6:J$26)/100,4)</f>
        <v>1.5299999999999999E-2</v>
      </c>
      <c r="AF6" s="1789">
        <f t="shared" ref="AF6" si="24">AE6</f>
        <v>1.5299999999999999E-2</v>
      </c>
      <c r="AG6" s="1789">
        <f>ROUND(AVERAGE(K6:K$26)/100,4)</f>
        <v>2.3699999999999999E-2</v>
      </c>
      <c r="AH6" s="1789">
        <f>ROUND(AVERAGE(L6:L$26)/100,4)</f>
        <v>1.47E-2</v>
      </c>
    </row>
    <row r="7" spans="1:34" s="1466" customFormat="1">
      <c r="A7" s="1461" t="s">
        <v>3046</v>
      </c>
      <c r="B7" s="1477">
        <f t="shared" ref="B7" si="25">B8*(1+N7)</f>
        <v>464.37293017158942</v>
      </c>
      <c r="C7" s="1477">
        <f t="shared" ref="C7" si="26">C8*(1+O7)</f>
        <v>344.73679941385956</v>
      </c>
      <c r="D7" s="1477">
        <f t="shared" ref="D7" si="27">C7</f>
        <v>344.73679941385956</v>
      </c>
      <c r="E7" s="1477">
        <f t="shared" ref="E7" si="28">E8*(1+P7)</f>
        <v>663.2377795103107</v>
      </c>
      <c r="F7" s="1477">
        <f t="shared" ref="F7" si="29">F8*(1+Q7)</f>
        <v>304.75936311478398</v>
      </c>
      <c r="G7" s="3334">
        <v>2018</v>
      </c>
      <c r="H7" s="1464">
        <v>4</v>
      </c>
      <c r="I7" s="2936">
        <v>0.96</v>
      </c>
      <c r="J7" s="2936">
        <v>1.03</v>
      </c>
      <c r="K7" s="2936">
        <v>0.92</v>
      </c>
      <c r="L7" s="2937">
        <v>1.29</v>
      </c>
      <c r="M7" s="1471"/>
      <c r="N7" s="1472">
        <f>I7/100</f>
        <v>9.5999999999999992E-3</v>
      </c>
      <c r="O7" s="1473">
        <f t="shared" ref="O7" si="30">J7/100</f>
        <v>1.03E-2</v>
      </c>
      <c r="P7" s="1473">
        <f t="shared" ref="P7" si="31">K7/100</f>
        <v>9.1999999999999998E-3</v>
      </c>
      <c r="Q7" s="1473">
        <f t="shared" ref="Q7" si="32">L7/100</f>
        <v>1.29E-2</v>
      </c>
      <c r="R7" s="1474"/>
      <c r="S7" s="1472"/>
      <c r="T7" s="1473"/>
      <c r="U7" s="1473"/>
      <c r="V7" s="1473"/>
      <c r="W7" s="1790"/>
      <c r="X7" s="1788">
        <f>ROUND(SUMPRODUCT(PRODUCT(1+N7:N$25)),4)</f>
        <v>1.5099</v>
      </c>
      <c r="Y7" s="1788">
        <f>ROUND(SUMPRODUCT(PRODUCT(1+O7:O$25)),4)</f>
        <v>1.3372999999999999</v>
      </c>
      <c r="Z7" s="1788">
        <f t="shared" ref="Z7" si="33">Y7</f>
        <v>1.3372999999999999</v>
      </c>
      <c r="AA7" s="1788">
        <f>ROUND(SUMPRODUCT(PRODUCT(1+P7:P$25)),4)</f>
        <v>1.5683</v>
      </c>
      <c r="AB7" s="1788">
        <f>ROUND(SUMPRODUCT(PRODUCT(1+Q7:Q$25)),4)</f>
        <v>1.3255999999999999</v>
      </c>
      <c r="AC7" s="1790"/>
      <c r="AD7" s="1789">
        <f>ROUND(AVERAGE(I7:I$26)/100,4)</f>
        <v>2.24E-2</v>
      </c>
      <c r="AE7" s="1789">
        <f>ROUND(AVERAGE(J7:J$26)/100,4)</f>
        <v>1.5800000000000002E-2</v>
      </c>
      <c r="AF7" s="1789">
        <f t="shared" ref="AF7" si="34">AE7</f>
        <v>1.5800000000000002E-2</v>
      </c>
      <c r="AG7" s="1789">
        <f>ROUND(AVERAGE(K7:K$26)/100,4)</f>
        <v>2.4500000000000001E-2</v>
      </c>
      <c r="AH7" s="1789">
        <f>ROUND(AVERAGE(L7:L$26)/100,4)</f>
        <v>1.49E-2</v>
      </c>
    </row>
    <row r="8" spans="1:34" s="1466" customFormat="1" ht="14.45" customHeight="1">
      <c r="A8" s="1461" t="s">
        <v>3040</v>
      </c>
      <c r="B8" s="1477">
        <f t="shared" ref="B8" si="35">B9*(1+N8)</f>
        <v>459.95733971036987</v>
      </c>
      <c r="C8" s="1477">
        <f t="shared" ref="C8" si="36">C9*(1+O8)</f>
        <v>341.22221064422405</v>
      </c>
      <c r="D8" s="1477">
        <f t="shared" ref="D8" si="37">C8</f>
        <v>341.22221064422405</v>
      </c>
      <c r="E8" s="1477">
        <f t="shared" ref="E8" si="38">E9*(1+P8)</f>
        <v>657.19161663724799</v>
      </c>
      <c r="F8" s="1477">
        <f t="shared" ref="F8" si="39">F9*(1+Q8)</f>
        <v>300.87803644464805</v>
      </c>
      <c r="G8" s="3334"/>
      <c r="H8" s="1464">
        <v>3</v>
      </c>
      <c r="I8" s="1464">
        <v>1.51</v>
      </c>
      <c r="J8" s="1464">
        <v>1.41</v>
      </c>
      <c r="K8" s="1464">
        <v>1.52</v>
      </c>
      <c r="L8" s="1478">
        <v>1.74</v>
      </c>
      <c r="M8" s="1471"/>
      <c r="N8" s="1472">
        <f>I8/100</f>
        <v>1.5100000000000001E-2</v>
      </c>
      <c r="O8" s="1473">
        <f t="shared" ref="O8" si="40">J8/100</f>
        <v>1.41E-2</v>
      </c>
      <c r="P8" s="1473">
        <f t="shared" ref="P8" si="41">K8/100</f>
        <v>1.52E-2</v>
      </c>
      <c r="Q8" s="1473">
        <f t="shared" ref="Q8" si="42">L8/100</f>
        <v>1.7399999999999999E-2</v>
      </c>
      <c r="R8" s="1474"/>
      <c r="S8" s="1472"/>
      <c r="T8" s="1473"/>
      <c r="U8" s="1473"/>
      <c r="V8" s="1473"/>
      <c r="W8" s="1790"/>
      <c r="X8" s="1788">
        <f>ROUND(SUMPRODUCT(PRODUCT(1+N8:N$25)),4)</f>
        <v>1.4956</v>
      </c>
      <c r="Y8" s="1788">
        <f>ROUND(SUMPRODUCT(PRODUCT(1+O8:O$25)),4)</f>
        <v>1.3237000000000001</v>
      </c>
      <c r="Z8" s="1788">
        <f t="shared" ref="Z8" si="43">Y8</f>
        <v>1.3237000000000001</v>
      </c>
      <c r="AA8" s="1788">
        <f>ROUND(SUMPRODUCT(PRODUCT(1+P8:P$25)),4)</f>
        <v>1.554</v>
      </c>
      <c r="AB8" s="1788">
        <f>ROUND(SUMPRODUCT(PRODUCT(1+Q8:Q$25)),4)</f>
        <v>1.3087</v>
      </c>
      <c r="AC8" s="1790"/>
      <c r="AD8" s="1789">
        <f>ROUND(AVERAGE(I8:I$26)/100,4)</f>
        <v>2.3099999999999999E-2</v>
      </c>
      <c r="AE8" s="1789">
        <f>ROUND(AVERAGE(J8:J$26)/100,4)</f>
        <v>1.61E-2</v>
      </c>
      <c r="AF8" s="1789">
        <f t="shared" ref="AF8" si="44">AE8</f>
        <v>1.61E-2</v>
      </c>
      <c r="AG8" s="1789">
        <f>ROUND(AVERAGE(K8:K$26)/100,4)</f>
        <v>2.53E-2</v>
      </c>
      <c r="AH8" s="1789">
        <f>ROUND(AVERAGE(L8:L$26)/100,4)</f>
        <v>1.4999999999999999E-2</v>
      </c>
    </row>
    <row r="9" spans="1:34" s="1466" customFormat="1" ht="14.45" customHeight="1">
      <c r="A9" s="1461" t="s">
        <v>3039</v>
      </c>
      <c r="B9" s="1477">
        <f t="shared" ref="B9" si="45">B10*(1+N9)</f>
        <v>453.11529869999993</v>
      </c>
      <c r="C9" s="1477">
        <f t="shared" ref="C9" si="46">C10*(1+O9)</f>
        <v>336.47787264000004</v>
      </c>
      <c r="D9" s="1477">
        <f t="shared" ref="D9" si="47">C9</f>
        <v>336.47787264000004</v>
      </c>
      <c r="E9" s="1477">
        <f t="shared" ref="E9" si="48">E10*(1+P9)</f>
        <v>647.35186823999993</v>
      </c>
      <c r="F9" s="1477">
        <f t="shared" ref="F9" si="49">F10*(1+Q9)</f>
        <v>295.73229452000004</v>
      </c>
      <c r="G9" s="3334"/>
      <c r="H9" s="1464">
        <v>2</v>
      </c>
      <c r="I9" s="1464">
        <v>1.49</v>
      </c>
      <c r="J9" s="1464">
        <v>0.96</v>
      </c>
      <c r="K9" s="1464">
        <v>1.58</v>
      </c>
      <c r="L9" s="1478">
        <v>2.44</v>
      </c>
      <c r="M9" s="1471"/>
      <c r="N9" s="1472">
        <f t="shared" ref="N9" si="50">I9/100</f>
        <v>1.49E-2</v>
      </c>
      <c r="O9" s="1473">
        <f t="shared" ref="O9" si="51">J9/100</f>
        <v>9.5999999999999992E-3</v>
      </c>
      <c r="P9" s="1473">
        <f t="shared" ref="P9" si="52">K9/100</f>
        <v>1.5800000000000002E-2</v>
      </c>
      <c r="Q9" s="1473">
        <f t="shared" ref="Q9" si="53">L9/100</f>
        <v>2.4399999999999998E-2</v>
      </c>
      <c r="R9" s="1474"/>
      <c r="S9" s="1472"/>
      <c r="T9" s="1473"/>
      <c r="U9" s="1473"/>
      <c r="V9" s="1473"/>
      <c r="W9" s="1790"/>
      <c r="X9" s="1788">
        <f>ROUND(SUMPRODUCT(PRODUCT(1+N9:N$25)),4)</f>
        <v>1.4733000000000001</v>
      </c>
      <c r="Y9" s="1788">
        <f>ROUND(SUMPRODUCT(PRODUCT(1+O9:O$25)),4)</f>
        <v>1.3052999999999999</v>
      </c>
      <c r="Z9" s="1788">
        <f t="shared" ref="Z9" si="54">Y9</f>
        <v>1.3052999999999999</v>
      </c>
      <c r="AA9" s="1788">
        <f>ROUND(SUMPRODUCT(PRODUCT(1+P9:P$25)),4)</f>
        <v>1.5306999999999999</v>
      </c>
      <c r="AB9" s="1788">
        <f>ROUND(SUMPRODUCT(PRODUCT(1+Q9:Q$25)),4)</f>
        <v>1.2863</v>
      </c>
      <c r="AC9" s="1790"/>
      <c r="AD9" s="1789">
        <f>ROUND(AVERAGE(I9:I$26)/100,4)</f>
        <v>2.35E-2</v>
      </c>
      <c r="AE9" s="1789">
        <f>ROUND(AVERAGE(J9:J$26)/100,4)</f>
        <v>1.6199999999999999E-2</v>
      </c>
      <c r="AF9" s="1789">
        <f t="shared" ref="AF9" si="55">AE9</f>
        <v>1.6199999999999999E-2</v>
      </c>
      <c r="AG9" s="1789">
        <f>ROUND(AVERAGE(K9:K$26)/100,4)</f>
        <v>2.5899999999999999E-2</v>
      </c>
      <c r="AH9" s="1789">
        <f>ROUND(AVERAGE(L9:L$26)/100,4)</f>
        <v>1.49E-2</v>
      </c>
    </row>
    <row r="10" spans="1:34" s="1466" customFormat="1" ht="15" customHeight="1" thickBot="1">
      <c r="A10" s="1461" t="s">
        <v>3032</v>
      </c>
      <c r="B10" s="1477">
        <f t="shared" ref="B10" si="56">B11*(1+N10)</f>
        <v>446.46299999999997</v>
      </c>
      <c r="C10" s="1477">
        <f t="shared" ref="C10" si="57">C11*(1+O10)</f>
        <v>333.27840000000003</v>
      </c>
      <c r="D10" s="1477">
        <f t="shared" ref="D10" si="58">C10</f>
        <v>333.27840000000003</v>
      </c>
      <c r="E10" s="1477">
        <f t="shared" ref="E10" si="59">E11*(1+P10)</f>
        <v>637.28279999999995</v>
      </c>
      <c r="F10" s="1477">
        <f t="shared" ref="F10" si="60">F11*(1+Q10)</f>
        <v>288.68830000000003</v>
      </c>
      <c r="G10" s="3343"/>
      <c r="H10" s="1464">
        <v>1</v>
      </c>
      <c r="I10" s="1464">
        <v>1.7</v>
      </c>
      <c r="J10" s="1464">
        <v>1.92</v>
      </c>
      <c r="K10" s="1464">
        <v>1.64</v>
      </c>
      <c r="L10" s="1478">
        <v>2.0099999999999998</v>
      </c>
      <c r="M10" s="1471"/>
      <c r="N10" s="1472">
        <f t="shared" ref="N10:N15" si="61">I10/100</f>
        <v>1.7000000000000001E-2</v>
      </c>
      <c r="O10" s="1473">
        <f t="shared" ref="O10" si="62">J10/100</f>
        <v>1.9199999999999998E-2</v>
      </c>
      <c r="P10" s="1473">
        <f t="shared" ref="P10" si="63">K10/100</f>
        <v>1.6399999999999998E-2</v>
      </c>
      <c r="Q10" s="1473">
        <f t="shared" ref="Q10" si="64">L10/100</f>
        <v>2.0099999999999996E-2</v>
      </c>
      <c r="R10" s="1474"/>
      <c r="S10" s="1472">
        <f>B10/B11-1</f>
        <v>1.6999999999999904E-2</v>
      </c>
      <c r="T10" s="1473">
        <f t="shared" ref="T10" si="65">C10/C11-1</f>
        <v>1.9200000000000106E-2</v>
      </c>
      <c r="U10" s="1473">
        <f t="shared" ref="U10" si="66">D10/D11-1</f>
        <v>1.9200000000000106E-2</v>
      </c>
      <c r="V10" s="1473">
        <f t="shared" ref="V10" si="67">E10/E11-1</f>
        <v>1.639999999999997E-2</v>
      </c>
      <c r="W10" s="1790"/>
      <c r="X10" s="1788">
        <f>ROUND(SUMPRODUCT(PRODUCT(1+N10:N$25)),4)</f>
        <v>1.4517</v>
      </c>
      <c r="Y10" s="1788">
        <f>ROUND(SUMPRODUCT(PRODUCT(1+O10:O$25)),4)</f>
        <v>1.2928999999999999</v>
      </c>
      <c r="Z10" s="1788">
        <f t="shared" ref="Z10" si="68">Y10</f>
        <v>1.2928999999999999</v>
      </c>
      <c r="AA10" s="1788">
        <f>ROUND(SUMPRODUCT(PRODUCT(1+P10:P$25)),4)</f>
        <v>1.5068999999999999</v>
      </c>
      <c r="AB10" s="1788">
        <f>ROUND(SUMPRODUCT(PRODUCT(1+Q10:Q$25)),4)</f>
        <v>1.2557</v>
      </c>
      <c r="AC10" s="1790"/>
      <c r="AD10" s="1789">
        <f>ROUND(AVERAGE(I10:I$26)/100,4)</f>
        <v>2.4E-2</v>
      </c>
      <c r="AE10" s="1789">
        <f>ROUND(AVERAGE(J10:J$26)/100,4)</f>
        <v>1.66E-2</v>
      </c>
      <c r="AF10" s="1789">
        <f t="shared" ref="AF10" si="69">AE10</f>
        <v>1.66E-2</v>
      </c>
      <c r="AG10" s="1789">
        <f>ROUND(AVERAGE(K10:K$26)/100,4)</f>
        <v>2.6499999999999999E-2</v>
      </c>
      <c r="AH10" s="1789">
        <f>ROUND(AVERAGE(L10:L$26)/100,4)</f>
        <v>1.43E-2</v>
      </c>
    </row>
    <row r="11" spans="1:34">
      <c r="A11" s="1461" t="s">
        <v>3029</v>
      </c>
      <c r="B11" s="1469">
        <v>439</v>
      </c>
      <c r="C11" s="1469">
        <v>327</v>
      </c>
      <c r="D11" s="1469">
        <f>C11</f>
        <v>327</v>
      </c>
      <c r="E11" s="1469">
        <v>627</v>
      </c>
      <c r="F11" s="1470">
        <v>283</v>
      </c>
      <c r="G11" s="3339">
        <v>2017</v>
      </c>
      <c r="H11" s="1462">
        <v>4</v>
      </c>
      <c r="I11" s="1462">
        <v>1.71</v>
      </c>
      <c r="J11" s="1462">
        <v>1.78</v>
      </c>
      <c r="K11" s="1462">
        <v>1.71</v>
      </c>
      <c r="L11" s="1463">
        <v>1.43</v>
      </c>
      <c r="N11" s="1472">
        <f t="shared" si="61"/>
        <v>1.7100000000000001E-2</v>
      </c>
      <c r="O11" s="1473">
        <f t="shared" ref="O11" si="70">J11/100</f>
        <v>1.78E-2</v>
      </c>
      <c r="P11" s="1473">
        <f t="shared" ref="P11" si="71">K11/100</f>
        <v>1.7100000000000001E-2</v>
      </c>
      <c r="Q11" s="1473">
        <f t="shared" ref="Q11" si="72">L11/100</f>
        <v>1.43E-2</v>
      </c>
      <c r="R11" s="1474"/>
      <c r="S11" s="1475"/>
      <c r="T11" s="1476"/>
      <c r="U11" s="1476"/>
      <c r="V11" s="1476"/>
      <c r="X11" s="1459">
        <f>ROUND(SUMPRODUCT(PRODUCT(1+N11:N$25)),4)</f>
        <v>1.4274</v>
      </c>
      <c r="Y11" s="1459">
        <f>ROUND(SUMPRODUCT(PRODUCT(1+O11:O$25)),4)</f>
        <v>1.2685</v>
      </c>
      <c r="Z11" s="1459">
        <f t="shared" si="0"/>
        <v>1.2685</v>
      </c>
      <c r="AA11" s="1459">
        <f>ROUND(SUMPRODUCT(PRODUCT(1+P11:P$25)),4)</f>
        <v>1.4825999999999999</v>
      </c>
      <c r="AB11" s="1459">
        <f>ROUND(SUMPRODUCT(PRODUCT(1+Q11:Q$25)),4)</f>
        <v>1.2309000000000001</v>
      </c>
      <c r="AD11" s="1460">
        <f>ROUND(AVERAGE(I11:I$26)/100,4)</f>
        <v>2.4500000000000001E-2</v>
      </c>
      <c r="AE11" s="1460">
        <f>ROUND(AVERAGE(J11:J$26)/100,4)</f>
        <v>1.6500000000000001E-2</v>
      </c>
      <c r="AF11" s="1460">
        <f t="shared" si="1"/>
        <v>1.6500000000000001E-2</v>
      </c>
      <c r="AG11" s="1460">
        <f>ROUND(AVERAGE(K11:K$26)/100,4)</f>
        <v>2.7099999999999999E-2</v>
      </c>
      <c r="AH11" s="1460">
        <f>ROUND(AVERAGE(L11:L$26)/100,4)</f>
        <v>1.3899999999999999E-2</v>
      </c>
    </row>
    <row r="12" spans="1:34" s="1466" customFormat="1" ht="14.45" customHeight="1">
      <c r="A12" s="1461" t="s">
        <v>3030</v>
      </c>
      <c r="B12" s="1477">
        <f t="shared" ref="B12:B13" si="73">B13*(1+N12)</f>
        <v>431.80730811680002</v>
      </c>
      <c r="C12" s="1477">
        <f t="shared" ref="C12:C13" si="74">C13*(1+O12)</f>
        <v>320.57880516480003</v>
      </c>
      <c r="D12" s="1477">
        <f t="shared" ref="D12:D13" si="75">C12</f>
        <v>320.57880516480003</v>
      </c>
      <c r="E12" s="1477">
        <f t="shared" ref="E12:E13" si="76">E13*(1+P12)</f>
        <v>615.96110553196797</v>
      </c>
      <c r="F12" s="1477">
        <f t="shared" ref="F12:F13" si="77">F13*(1+Q12)</f>
        <v>279.46777300108801</v>
      </c>
      <c r="G12" s="3334"/>
      <c r="H12" s="1464">
        <v>3</v>
      </c>
      <c r="I12" s="1464">
        <v>2.98</v>
      </c>
      <c r="J12" s="1464">
        <v>2.11</v>
      </c>
      <c r="K12" s="1464">
        <v>3.24</v>
      </c>
      <c r="L12" s="1478">
        <v>1.72</v>
      </c>
      <c r="M12" s="1471"/>
      <c r="N12" s="1472">
        <f t="shared" si="61"/>
        <v>2.98E-2</v>
      </c>
      <c r="O12" s="1473">
        <f t="shared" ref="O12" si="78">J12/100</f>
        <v>2.1099999999999997E-2</v>
      </c>
      <c r="P12" s="1473">
        <f t="shared" ref="P12" si="79">K12/100</f>
        <v>3.2400000000000005E-2</v>
      </c>
      <c r="Q12" s="1473">
        <f t="shared" ref="Q12" si="80">L12/100</f>
        <v>1.72E-2</v>
      </c>
      <c r="R12" s="1474"/>
      <c r="S12" s="1472"/>
      <c r="T12" s="1473"/>
      <c r="U12" s="1473"/>
      <c r="V12" s="1473"/>
      <c r="W12" s="1790"/>
      <c r="X12" s="1788">
        <f>ROUND(SUMPRODUCT(PRODUCT(1+N12:N$25)),4)</f>
        <v>1.4034</v>
      </c>
      <c r="Y12" s="1788">
        <f>ROUND(SUMPRODUCT(PRODUCT(1+O12:O$25)),4)</f>
        <v>1.2463</v>
      </c>
      <c r="Z12" s="1788">
        <f t="shared" si="0"/>
        <v>1.2463</v>
      </c>
      <c r="AA12" s="1788">
        <f>ROUND(SUMPRODUCT(PRODUCT(1+P12:P$25)),4)</f>
        <v>1.4577</v>
      </c>
      <c r="AB12" s="1788">
        <f>ROUND(SUMPRODUCT(PRODUCT(1+Q12:Q$25)),4)</f>
        <v>1.2136</v>
      </c>
      <c r="AC12" s="1790"/>
      <c r="AD12" s="1789">
        <f>ROUND(AVERAGE(I12:I$26)/100,4)</f>
        <v>2.4899999999999999E-2</v>
      </c>
      <c r="AE12" s="1789">
        <f>ROUND(AVERAGE(J12:J$26)/100,4)</f>
        <v>1.6400000000000001E-2</v>
      </c>
      <c r="AF12" s="1789">
        <f t="shared" si="1"/>
        <v>1.6400000000000001E-2</v>
      </c>
      <c r="AG12" s="1789">
        <f>ROUND(AVERAGE(K12:K$26)/100,4)</f>
        <v>2.7799999999999998E-2</v>
      </c>
      <c r="AH12" s="1789">
        <f>ROUND(AVERAGE(L12:L$26)/100,4)</f>
        <v>1.3899999999999999E-2</v>
      </c>
    </row>
    <row r="13" spans="1:34" s="1731" customFormat="1" ht="14.45" customHeight="1">
      <c r="A13" s="1461" t="s">
        <v>1382</v>
      </c>
      <c r="B13" s="1477">
        <f t="shared" si="73"/>
        <v>419.31181600000002</v>
      </c>
      <c r="C13" s="1477">
        <f t="shared" si="74"/>
        <v>313.95436800000004</v>
      </c>
      <c r="D13" s="1477">
        <f t="shared" si="75"/>
        <v>313.95436800000004</v>
      </c>
      <c r="E13" s="1477">
        <f t="shared" si="76"/>
        <v>596.63028431999999</v>
      </c>
      <c r="F13" s="1477">
        <f t="shared" si="77"/>
        <v>274.74220703999998</v>
      </c>
      <c r="G13" s="3334"/>
      <c r="H13" s="1465">
        <v>2</v>
      </c>
      <c r="I13" s="1465">
        <v>3.4</v>
      </c>
      <c r="J13" s="1465">
        <v>2</v>
      </c>
      <c r="K13" s="1465">
        <v>3.82</v>
      </c>
      <c r="L13" s="1479">
        <v>1.68</v>
      </c>
      <c r="M13" s="1471"/>
      <c r="N13" s="1472">
        <f t="shared" si="61"/>
        <v>3.4000000000000002E-2</v>
      </c>
      <c r="O13" s="1473">
        <f t="shared" ref="O13" si="81">J13/100</f>
        <v>0.02</v>
      </c>
      <c r="P13" s="1473">
        <f t="shared" ref="P13" si="82">K13/100</f>
        <v>3.8199999999999998E-2</v>
      </c>
      <c r="Q13" s="1473">
        <f t="shared" ref="Q13" si="83">L13/100</f>
        <v>1.6799999999999999E-2</v>
      </c>
      <c r="R13" s="1474"/>
      <c r="S13" s="1475"/>
      <c r="T13" s="1476"/>
      <c r="U13" s="1476"/>
      <c r="V13" s="1476"/>
      <c r="W13" s="1453"/>
      <c r="X13" s="1788">
        <f>ROUND(SUMPRODUCT(PRODUCT(1+N13:N$25)),4)</f>
        <v>1.3628</v>
      </c>
      <c r="Y13" s="1788">
        <f>ROUND(SUMPRODUCT(PRODUCT(1+O13:O$25)),4)</f>
        <v>1.2205999999999999</v>
      </c>
      <c r="Z13" s="1788">
        <f t="shared" si="0"/>
        <v>1.2205999999999999</v>
      </c>
      <c r="AA13" s="1788">
        <f>ROUND(SUMPRODUCT(PRODUCT(1+P13:P$25)),4)</f>
        <v>1.4118999999999999</v>
      </c>
      <c r="AB13" s="1788">
        <f>ROUND(SUMPRODUCT(PRODUCT(1+Q13:Q$25)),4)</f>
        <v>1.1930000000000001</v>
      </c>
      <c r="AC13" s="1453"/>
      <c r="AD13" s="1789">
        <f>ROUND(AVERAGE(I13:I$26)/100,4)</f>
        <v>2.46E-2</v>
      </c>
      <c r="AE13" s="1789">
        <f>ROUND(AVERAGE(J13:J$26)/100,4)</f>
        <v>1.6E-2</v>
      </c>
      <c r="AF13" s="1789">
        <f t="shared" si="1"/>
        <v>1.6E-2</v>
      </c>
      <c r="AG13" s="1789">
        <f>ROUND(AVERAGE(K13:K$26)/100,4)</f>
        <v>2.75E-2</v>
      </c>
      <c r="AH13" s="1789">
        <f>ROUND(AVERAGE(L13:L$26)/100,4)</f>
        <v>1.37E-2</v>
      </c>
    </row>
    <row r="14" spans="1:34" s="1466" customFormat="1" ht="15" customHeight="1" thickBot="1">
      <c r="A14" s="1461" t="s">
        <v>1157</v>
      </c>
      <c r="B14" s="1477">
        <f>B15*(1+N14)</f>
        <v>405.524</v>
      </c>
      <c r="C14" s="1477">
        <f>C15*(1+O14)</f>
        <v>307.79840000000002</v>
      </c>
      <c r="D14" s="1477">
        <f>C14</f>
        <v>307.79840000000002</v>
      </c>
      <c r="E14" s="1477">
        <f>E15*(1+P14)</f>
        <v>574.67759999999998</v>
      </c>
      <c r="F14" s="1477">
        <f>F15*(1+Q14)</f>
        <v>270.20280000000002</v>
      </c>
      <c r="G14" s="3343"/>
      <c r="H14" s="1464">
        <v>1</v>
      </c>
      <c r="I14" s="1464">
        <v>3.45</v>
      </c>
      <c r="J14" s="1464">
        <v>1.92</v>
      </c>
      <c r="K14" s="1464">
        <v>3.92</v>
      </c>
      <c r="L14" s="1478">
        <v>1.58</v>
      </c>
      <c r="M14" s="1471"/>
      <c r="N14" s="1472">
        <f t="shared" si="61"/>
        <v>3.4500000000000003E-2</v>
      </c>
      <c r="O14" s="1473">
        <f t="shared" ref="O14:Q29" si="84">J14/100</f>
        <v>1.9199999999999998E-2</v>
      </c>
      <c r="P14" s="1473">
        <f t="shared" si="84"/>
        <v>3.9199999999999999E-2</v>
      </c>
      <c r="Q14" s="1473">
        <f t="shared" si="84"/>
        <v>1.5800000000000002E-2</v>
      </c>
      <c r="R14" s="1474"/>
      <c r="S14" s="1472">
        <f>B14/B15-1</f>
        <v>3.4499999999999975E-2</v>
      </c>
      <c r="T14" s="1473">
        <f t="shared" ref="T14:V14" si="85">C14/C15-1</f>
        <v>1.9200000000000106E-2</v>
      </c>
      <c r="U14" s="1473">
        <f t="shared" si="85"/>
        <v>1.9200000000000106E-2</v>
      </c>
      <c r="V14" s="1473">
        <f t="shared" si="85"/>
        <v>3.9199999999999902E-2</v>
      </c>
      <c r="W14" s="1790"/>
      <c r="X14" s="1788">
        <f>ROUND(SUMPRODUCT(PRODUCT(1+N14:N$25)),4)</f>
        <v>1.3180000000000001</v>
      </c>
      <c r="Y14" s="1788">
        <f>ROUND(SUMPRODUCT(PRODUCT(1+O14:O$25)),4)</f>
        <v>1.1966000000000001</v>
      </c>
      <c r="Z14" s="1788">
        <f t="shared" si="0"/>
        <v>1.1966000000000001</v>
      </c>
      <c r="AA14" s="1788">
        <f>ROUND(SUMPRODUCT(PRODUCT(1+P14:P$25)),4)</f>
        <v>1.36</v>
      </c>
      <c r="AB14" s="1788">
        <f>ROUND(SUMPRODUCT(PRODUCT(1+Q14:Q$25)),4)</f>
        <v>1.1733</v>
      </c>
      <c r="AC14" s="1790"/>
      <c r="AD14" s="1789">
        <f>ROUND(AVERAGE(I14:I$26)/100,4)</f>
        <v>2.3900000000000001E-2</v>
      </c>
      <c r="AE14" s="1789">
        <f>ROUND(AVERAGE(J14:J$26)/100,4)</f>
        <v>1.5699999999999999E-2</v>
      </c>
      <c r="AF14" s="1789">
        <f t="shared" si="1"/>
        <v>1.5699999999999999E-2</v>
      </c>
      <c r="AG14" s="1789">
        <f>ROUND(AVERAGE(K14:K$26)/100,4)</f>
        <v>2.6599999999999999E-2</v>
      </c>
      <c r="AH14" s="1789">
        <f>ROUND(AVERAGE(L14:L$26)/100,4)</f>
        <v>1.34E-2</v>
      </c>
    </row>
    <row r="15" spans="1:34">
      <c r="A15" s="1461" t="s">
        <v>154</v>
      </c>
      <c r="B15" s="1469">
        <v>392</v>
      </c>
      <c r="C15" s="1469">
        <v>302</v>
      </c>
      <c r="D15" s="1469">
        <f>C15</f>
        <v>302</v>
      </c>
      <c r="E15" s="1469">
        <v>553</v>
      </c>
      <c r="F15" s="1470">
        <v>266</v>
      </c>
      <c r="G15" s="3339">
        <v>2016</v>
      </c>
      <c r="H15" s="1462">
        <v>4</v>
      </c>
      <c r="I15" s="1462">
        <v>4.5599999999999996</v>
      </c>
      <c r="J15" s="1462">
        <v>2.15</v>
      </c>
      <c r="K15" s="1462">
        <v>5.32</v>
      </c>
      <c r="L15" s="1463">
        <v>1.57</v>
      </c>
      <c r="N15" s="1472">
        <f t="shared" si="61"/>
        <v>4.5599999999999995E-2</v>
      </c>
      <c r="O15" s="1473">
        <f t="shared" si="84"/>
        <v>2.1499999999999998E-2</v>
      </c>
      <c r="P15" s="1473">
        <f t="shared" si="84"/>
        <v>5.3200000000000004E-2</v>
      </c>
      <c r="Q15" s="1473">
        <f t="shared" si="84"/>
        <v>1.5700000000000002E-2</v>
      </c>
      <c r="R15" s="1474"/>
      <c r="S15" s="1475"/>
      <c r="T15" s="1476"/>
      <c r="U15" s="1476"/>
      <c r="V15" s="1476"/>
      <c r="X15" s="1459">
        <f>ROUND(SUMPRODUCT(PRODUCT(1+N15:N$25)),4)</f>
        <v>1.274</v>
      </c>
      <c r="Y15" s="1459">
        <f>ROUND(SUMPRODUCT(PRODUCT(1+O15:O$25)),4)</f>
        <v>1.1740999999999999</v>
      </c>
      <c r="Z15" s="1459">
        <f t="shared" si="0"/>
        <v>1.1740999999999999</v>
      </c>
      <c r="AA15" s="1459">
        <f>ROUND(SUMPRODUCT(PRODUCT(1+P15:P$25)),4)</f>
        <v>1.3087</v>
      </c>
      <c r="AB15" s="1459">
        <f>ROUND(SUMPRODUCT(PRODUCT(1+Q15:Q$25)),4)</f>
        <v>1.1551</v>
      </c>
      <c r="AD15" s="1460">
        <f>ROUND(AVERAGE(I15:I$26)/100,4)</f>
        <v>2.3E-2</v>
      </c>
      <c r="AE15" s="1460">
        <f>ROUND(AVERAGE(J15:J$26)/100,4)</f>
        <v>1.55E-2</v>
      </c>
      <c r="AF15" s="1460">
        <f t="shared" si="1"/>
        <v>1.55E-2</v>
      </c>
      <c r="AG15" s="1460">
        <f>ROUND(AVERAGE(K15:K$26)/100,4)</f>
        <v>2.5600000000000001E-2</v>
      </c>
      <c r="AH15" s="1460">
        <f>ROUND(AVERAGE(L15:L$26)/100,4)</f>
        <v>1.32E-2</v>
      </c>
    </row>
    <row r="16" spans="1:34">
      <c r="A16" s="1461" t="s">
        <v>153</v>
      </c>
      <c r="B16" s="1477">
        <f t="shared" ref="B16:C18" si="86">B15/(1+N15)</f>
        <v>374.90436113236416</v>
      </c>
      <c r="C16" s="1477">
        <f t="shared" si="86"/>
        <v>295.64366128242779</v>
      </c>
      <c r="D16" s="1477">
        <f t="shared" ref="D16:D75" si="87">C16</f>
        <v>295.64366128242779</v>
      </c>
      <c r="E16" s="1477">
        <f t="shared" ref="E16:F18" si="88">E15/(1+P15)</f>
        <v>525.06646410938095</v>
      </c>
      <c r="F16" s="1477">
        <f t="shared" si="88"/>
        <v>261.88835286009646</v>
      </c>
      <c r="G16" s="3334"/>
      <c r="H16" s="1464">
        <v>3</v>
      </c>
      <c r="I16" s="1464">
        <v>4.12</v>
      </c>
      <c r="J16" s="1464">
        <v>2</v>
      </c>
      <c r="K16" s="1464">
        <v>4.79</v>
      </c>
      <c r="L16" s="1478">
        <v>1.97</v>
      </c>
      <c r="N16" s="1472">
        <f t="shared" ref="N16:Q50" si="89">I16/100</f>
        <v>4.1200000000000001E-2</v>
      </c>
      <c r="O16" s="1473">
        <f t="shared" si="84"/>
        <v>0.02</v>
      </c>
      <c r="P16" s="1473">
        <f t="shared" si="84"/>
        <v>4.7899999999999998E-2</v>
      </c>
      <c r="Q16" s="1473">
        <f t="shared" si="84"/>
        <v>1.9699999999999999E-2</v>
      </c>
      <c r="R16" s="1474"/>
      <c r="S16" s="1472"/>
      <c r="T16" s="1473"/>
      <c r="U16" s="1473"/>
      <c r="V16" s="1473"/>
      <c r="X16" s="1459">
        <f>ROUND(SUMPRODUCT(PRODUCT(1+N16:N$25)),4)</f>
        <v>1.2184999999999999</v>
      </c>
      <c r="Y16" s="1459">
        <f>ROUND(SUMPRODUCT(PRODUCT(1+O16:O$25)),4)</f>
        <v>1.1494</v>
      </c>
      <c r="Z16" s="1459">
        <f t="shared" si="0"/>
        <v>1.1494</v>
      </c>
      <c r="AA16" s="1459">
        <f>ROUND(SUMPRODUCT(PRODUCT(1+P16:P$25)),4)</f>
        <v>1.2425999999999999</v>
      </c>
      <c r="AB16" s="1459">
        <f>ROUND(SUMPRODUCT(PRODUCT(1+Q16:Q$25)),4)</f>
        <v>1.1372</v>
      </c>
      <c r="AD16" s="1460">
        <f>ROUND(AVERAGE(I16:I$26)/100,4)</f>
        <v>2.0899999999999998E-2</v>
      </c>
      <c r="AE16" s="1460">
        <f>ROUND(AVERAGE(J16:J$26)/100,4)</f>
        <v>1.49E-2</v>
      </c>
      <c r="AF16" s="1460">
        <f t="shared" si="1"/>
        <v>1.49E-2</v>
      </c>
      <c r="AG16" s="1460">
        <f>ROUND(AVERAGE(K16:K$26)/100,4)</f>
        <v>2.3099999999999999E-2</v>
      </c>
      <c r="AH16" s="1460">
        <f>ROUND(AVERAGE(L16:L$26)/100,4)</f>
        <v>1.2999999999999999E-2</v>
      </c>
    </row>
    <row r="17" spans="1:34">
      <c r="A17" s="1461" t="s">
        <v>143</v>
      </c>
      <c r="B17" s="1477">
        <f t="shared" si="86"/>
        <v>360.06949782209392</v>
      </c>
      <c r="C17" s="1477">
        <f t="shared" si="86"/>
        <v>289.84672674747821</v>
      </c>
      <c r="D17" s="1477">
        <f t="shared" si="87"/>
        <v>289.84672674747821</v>
      </c>
      <c r="E17" s="1477">
        <f t="shared" si="88"/>
        <v>501.06543001181495</v>
      </c>
      <c r="F17" s="1477">
        <f t="shared" si="88"/>
        <v>256.82882500744967</v>
      </c>
      <c r="G17" s="3334"/>
      <c r="H17" s="1465">
        <v>2</v>
      </c>
      <c r="I17" s="1465">
        <v>3.85</v>
      </c>
      <c r="J17" s="1465">
        <v>1.95</v>
      </c>
      <c r="K17" s="1465">
        <v>4.4800000000000004</v>
      </c>
      <c r="L17" s="1479">
        <v>1.41</v>
      </c>
      <c r="N17" s="1472">
        <f t="shared" si="89"/>
        <v>3.85E-2</v>
      </c>
      <c r="O17" s="1473">
        <f t="shared" si="84"/>
        <v>1.95E-2</v>
      </c>
      <c r="P17" s="1473">
        <f t="shared" si="84"/>
        <v>4.4800000000000006E-2</v>
      </c>
      <c r="Q17" s="1473">
        <f t="shared" si="84"/>
        <v>1.41E-2</v>
      </c>
      <c r="R17" s="1474"/>
      <c r="S17" s="1472"/>
      <c r="T17" s="1473"/>
      <c r="U17" s="1473"/>
      <c r="V17" s="1473"/>
      <c r="X17" s="1459">
        <f>ROUND(SUMPRODUCT(PRODUCT(1+N17:N$25)),4)</f>
        <v>1.1702999999999999</v>
      </c>
      <c r="Y17" s="1459">
        <f>ROUND(SUMPRODUCT(PRODUCT(1+O17:O$25)),4)</f>
        <v>1.1269</v>
      </c>
      <c r="Z17" s="1459">
        <f t="shared" si="0"/>
        <v>1.1269</v>
      </c>
      <c r="AA17" s="1459">
        <f>ROUND(SUMPRODUCT(PRODUCT(1+P17:P$25)),4)</f>
        <v>1.1858</v>
      </c>
      <c r="AB17" s="1459">
        <f>ROUND(SUMPRODUCT(PRODUCT(1+Q17:Q$25)),4)</f>
        <v>1.1152</v>
      </c>
      <c r="AD17" s="1460">
        <f>ROUND(AVERAGE(I17:I$26)/100,4)</f>
        <v>1.89E-2</v>
      </c>
      <c r="AE17" s="1460">
        <f>ROUND(AVERAGE(J17:J$26)/100,4)</f>
        <v>1.44E-2</v>
      </c>
      <c r="AF17" s="1460">
        <f t="shared" si="1"/>
        <v>1.44E-2</v>
      </c>
      <c r="AG17" s="1460">
        <f>ROUND(AVERAGE(K17:K$26)/100,4)</f>
        <v>2.06E-2</v>
      </c>
      <c r="AH17" s="1460">
        <f>ROUND(AVERAGE(L17:L$26)/100,4)</f>
        <v>1.23E-2</v>
      </c>
    </row>
    <row r="18" spans="1:34" ht="13.5" thickBot="1">
      <c r="A18" s="1461" t="s">
        <v>152</v>
      </c>
      <c r="B18" s="1477">
        <f t="shared" si="86"/>
        <v>346.720748986128</v>
      </c>
      <c r="C18" s="1477">
        <f t="shared" si="86"/>
        <v>284.30282172386285</v>
      </c>
      <c r="D18" s="1477">
        <f t="shared" si="87"/>
        <v>284.30282172386285</v>
      </c>
      <c r="E18" s="1477">
        <f t="shared" si="88"/>
        <v>479.58023546306947</v>
      </c>
      <c r="F18" s="1477">
        <f t="shared" si="88"/>
        <v>253.25788877571213</v>
      </c>
      <c r="G18" s="3335"/>
      <c r="H18" s="1464">
        <v>1</v>
      </c>
      <c r="I18" s="1464">
        <v>4.09</v>
      </c>
      <c r="J18" s="1464">
        <v>2.93</v>
      </c>
      <c r="K18" s="1464">
        <v>4.54</v>
      </c>
      <c r="L18" s="1478">
        <v>1.48</v>
      </c>
      <c r="N18" s="1472">
        <f t="shared" si="89"/>
        <v>4.0899999999999999E-2</v>
      </c>
      <c r="O18" s="1473">
        <f t="shared" si="84"/>
        <v>2.9300000000000003E-2</v>
      </c>
      <c r="P18" s="1473">
        <f t="shared" si="84"/>
        <v>4.5400000000000003E-2</v>
      </c>
      <c r="Q18" s="1473">
        <f t="shared" si="84"/>
        <v>1.4800000000000001E-2</v>
      </c>
      <c r="R18" s="1474"/>
      <c r="S18" s="1480">
        <f>B18/B19-1</f>
        <v>4.1203450408792808E-2</v>
      </c>
      <c r="T18" s="1481">
        <f>C18/C19-1</f>
        <v>2.6363977342465095E-2</v>
      </c>
      <c r="U18" s="1481">
        <f>E18/E19-1</f>
        <v>4.4837114298626357E-2</v>
      </c>
      <c r="V18" s="1481">
        <f>F18/F19-1</f>
        <v>1.7099954922538574E-2</v>
      </c>
      <c r="X18" s="1459">
        <f>ROUND(SUMPRODUCT(PRODUCT(1+N18:N$25)),4)</f>
        <v>1.1269</v>
      </c>
      <c r="Y18" s="1459">
        <f>ROUND(SUMPRODUCT(PRODUCT(1+O18:O$25)),4)</f>
        <v>1.1052999999999999</v>
      </c>
      <c r="Z18" s="1459">
        <f t="shared" si="0"/>
        <v>1.1052999999999999</v>
      </c>
      <c r="AA18" s="1459">
        <f>ROUND(SUMPRODUCT(PRODUCT(1+P18:P$25)),4)</f>
        <v>1.1349</v>
      </c>
      <c r="AB18" s="1459">
        <f>ROUND(SUMPRODUCT(PRODUCT(1+Q18:Q$25)),4)</f>
        <v>1.0996999999999999</v>
      </c>
      <c r="AD18" s="1460">
        <f>ROUND(AVERAGE(I18:I$26)/100,4)</f>
        <v>1.67E-2</v>
      </c>
      <c r="AE18" s="1460">
        <f>ROUND(AVERAGE(J18:J$26)/100,4)</f>
        <v>1.38E-2</v>
      </c>
      <c r="AF18" s="1460">
        <f t="shared" si="1"/>
        <v>1.38E-2</v>
      </c>
      <c r="AG18" s="1460">
        <f>ROUND(AVERAGE(K18:K$26)/100,4)</f>
        <v>1.7899999999999999E-2</v>
      </c>
      <c r="AH18" s="1460">
        <f>ROUND(AVERAGE(L18:L$26)/100,4)</f>
        <v>1.21E-2</v>
      </c>
    </row>
    <row r="19" spans="1:34" ht="13.5" thickBot="1">
      <c r="A19" s="1461" t="s">
        <v>151</v>
      </c>
      <c r="B19" s="1469">
        <v>333</v>
      </c>
      <c r="C19" s="1469">
        <v>277</v>
      </c>
      <c r="D19" s="1469">
        <f t="shared" si="87"/>
        <v>277</v>
      </c>
      <c r="E19" s="1469">
        <v>459</v>
      </c>
      <c r="F19" s="1470">
        <v>249</v>
      </c>
      <c r="G19" s="3333">
        <v>2015</v>
      </c>
      <c r="H19" s="1482">
        <v>4</v>
      </c>
      <c r="I19" s="1482">
        <v>1.63</v>
      </c>
      <c r="J19" s="1482">
        <v>1.1100000000000001</v>
      </c>
      <c r="K19" s="1482">
        <v>1.77</v>
      </c>
      <c r="L19" s="1483">
        <v>1.89</v>
      </c>
      <c r="N19" s="1484">
        <f t="shared" si="89"/>
        <v>1.6299999999999999E-2</v>
      </c>
      <c r="O19" s="1485">
        <f t="shared" si="84"/>
        <v>1.11E-2</v>
      </c>
      <c r="P19" s="1485">
        <f t="shared" si="84"/>
        <v>1.77E-2</v>
      </c>
      <c r="Q19" s="1485">
        <f t="shared" si="84"/>
        <v>1.89E-2</v>
      </c>
      <c r="R19" s="1474"/>
      <c r="X19" s="1459">
        <f>ROUND(SUMPRODUCT(PRODUCT(1+N19:N$25)),4)</f>
        <v>1.0826</v>
      </c>
      <c r="Y19" s="1459">
        <f>ROUND(SUMPRODUCT(PRODUCT(1+O19:O$25)),4)</f>
        <v>1.0738000000000001</v>
      </c>
      <c r="Z19" s="1459">
        <f t="shared" si="0"/>
        <v>1.0738000000000001</v>
      </c>
      <c r="AA19" s="1459">
        <f>ROUND(SUMPRODUCT(PRODUCT(1+P19:P$25)),4)</f>
        <v>1.0855999999999999</v>
      </c>
      <c r="AB19" s="1459">
        <f>ROUND(SUMPRODUCT(PRODUCT(1+Q19:Q$25)),4)</f>
        <v>1.0837000000000001</v>
      </c>
      <c r="AD19" s="1460">
        <f>ROUND(AVERAGE(I19:I$26)/100,4)</f>
        <v>1.37E-2</v>
      </c>
      <c r="AE19" s="1460">
        <f>ROUND(AVERAGE(J19:J$26)/100,4)</f>
        <v>1.1900000000000001E-2</v>
      </c>
      <c r="AF19" s="1460">
        <f t="shared" si="1"/>
        <v>1.1900000000000001E-2</v>
      </c>
      <c r="AG19" s="1460">
        <f>ROUND(AVERAGE(K19:K$26)/100,4)</f>
        <v>1.4500000000000001E-2</v>
      </c>
      <c r="AH19" s="1460">
        <f>ROUND(AVERAGE(L19:L$26)/100,4)</f>
        <v>1.18E-2</v>
      </c>
    </row>
    <row r="20" spans="1:34">
      <c r="A20" s="1461" t="s">
        <v>150</v>
      </c>
      <c r="B20" s="1477">
        <f t="shared" ref="B20:C22" si="90">B19/(1+N19)</f>
        <v>327.65915576109415</v>
      </c>
      <c r="C20" s="1477">
        <f t="shared" si="90"/>
        <v>273.95905449510434</v>
      </c>
      <c r="D20" s="1477">
        <f t="shared" si="87"/>
        <v>273.95905449510434</v>
      </c>
      <c r="E20" s="1477">
        <f t="shared" ref="E20:F22" si="91">E19/(1+P19)</f>
        <v>451.01699911565294</v>
      </c>
      <c r="F20" s="1477">
        <f t="shared" si="91"/>
        <v>244.38119540681129</v>
      </c>
      <c r="G20" s="3334"/>
      <c r="H20" s="1487">
        <v>3</v>
      </c>
      <c r="I20" s="1487">
        <v>1.65</v>
      </c>
      <c r="J20" s="1487">
        <v>0.92</v>
      </c>
      <c r="K20" s="1487">
        <v>1.88</v>
      </c>
      <c r="L20" s="1488">
        <v>1.26</v>
      </c>
      <c r="N20" s="1472">
        <f t="shared" si="89"/>
        <v>1.6500000000000001E-2</v>
      </c>
      <c r="O20" s="1489">
        <f t="shared" si="84"/>
        <v>9.1999999999999998E-3</v>
      </c>
      <c r="P20" s="1489">
        <f t="shared" si="84"/>
        <v>1.8799999999999997E-2</v>
      </c>
      <c r="Q20" s="1489">
        <f t="shared" si="84"/>
        <v>1.26E-2</v>
      </c>
      <c r="R20" s="1474"/>
      <c r="S20" s="1472"/>
      <c r="T20" s="1473"/>
      <c r="U20" s="1473"/>
      <c r="V20" s="1473"/>
      <c r="X20" s="1459">
        <f>ROUND(SUMPRODUCT(PRODUCT(1+N20:N$25)),4)</f>
        <v>1.0651999999999999</v>
      </c>
      <c r="Y20" s="1459">
        <f>ROUND(SUMPRODUCT(PRODUCT(1+O20:O$25)),4)</f>
        <v>1.0621</v>
      </c>
      <c r="Z20" s="1459">
        <f t="shared" si="0"/>
        <v>1.0621</v>
      </c>
      <c r="AA20" s="1459">
        <f>ROUND(SUMPRODUCT(PRODUCT(1+P20:P$25)),4)</f>
        <v>1.0668</v>
      </c>
      <c r="AB20" s="1459">
        <f>ROUND(SUMPRODUCT(PRODUCT(1+Q20:Q$25)),4)</f>
        <v>1.0636000000000001</v>
      </c>
      <c r="AD20" s="1460">
        <f>ROUND(AVERAGE(I20:I$26)/100,4)</f>
        <v>1.3299999999999999E-2</v>
      </c>
      <c r="AE20" s="1460">
        <f>ROUND(AVERAGE(J20:J$26)/100,4)</f>
        <v>1.2E-2</v>
      </c>
      <c r="AF20" s="1460">
        <f t="shared" si="1"/>
        <v>1.2E-2</v>
      </c>
      <c r="AG20" s="1460">
        <f>ROUND(AVERAGE(K20:K$26)/100,4)</f>
        <v>1.4E-2</v>
      </c>
      <c r="AH20" s="1460">
        <f>ROUND(AVERAGE(L20:L$26)/100,4)</f>
        <v>1.0800000000000001E-2</v>
      </c>
    </row>
    <row r="21" spans="1:34">
      <c r="A21" s="1461" t="s">
        <v>149</v>
      </c>
      <c r="B21" s="1477">
        <f t="shared" si="90"/>
        <v>322.34053690220776</v>
      </c>
      <c r="C21" s="1477">
        <f t="shared" si="90"/>
        <v>271.46160770422546</v>
      </c>
      <c r="D21" s="1477">
        <f t="shared" si="87"/>
        <v>271.46160770422546</v>
      </c>
      <c r="E21" s="1477">
        <f t="shared" si="91"/>
        <v>442.69434542172456</v>
      </c>
      <c r="F21" s="1477">
        <f t="shared" si="91"/>
        <v>241.34030753190925</v>
      </c>
      <c r="G21" s="3334"/>
      <c r="H21" s="1465">
        <v>2</v>
      </c>
      <c r="I21" s="1465">
        <v>0.77</v>
      </c>
      <c r="J21" s="1465">
        <v>0.69</v>
      </c>
      <c r="K21" s="1465">
        <v>0.8</v>
      </c>
      <c r="L21" s="1479">
        <v>0.88</v>
      </c>
      <c r="N21" s="1472">
        <f t="shared" si="89"/>
        <v>7.7000000000000002E-3</v>
      </c>
      <c r="O21" s="1489">
        <f t="shared" si="84"/>
        <v>6.8999999999999999E-3</v>
      </c>
      <c r="P21" s="1489">
        <f t="shared" si="84"/>
        <v>8.0000000000000002E-3</v>
      </c>
      <c r="Q21" s="1489">
        <f t="shared" si="84"/>
        <v>8.8000000000000005E-3</v>
      </c>
      <c r="R21" s="1474"/>
      <c r="S21" s="1472"/>
      <c r="T21" s="1473"/>
      <c r="U21" s="1473"/>
      <c r="V21" s="1473"/>
      <c r="X21" s="1459">
        <f>ROUND(SUMPRODUCT(PRODUCT(1+N21:N$25)),4)</f>
        <v>1.048</v>
      </c>
      <c r="Y21" s="1459">
        <f>ROUND(SUMPRODUCT(PRODUCT(1+O21:O$25)),4)</f>
        <v>1.0524</v>
      </c>
      <c r="Z21" s="1459">
        <f t="shared" si="0"/>
        <v>1.0524</v>
      </c>
      <c r="AA21" s="1459">
        <f>ROUND(SUMPRODUCT(PRODUCT(1+P21:P$25)),4)</f>
        <v>1.0470999999999999</v>
      </c>
      <c r="AB21" s="1459">
        <f>ROUND(SUMPRODUCT(PRODUCT(1+Q21:Q$25)),4)</f>
        <v>1.0504</v>
      </c>
      <c r="AD21" s="1460">
        <f>ROUND(AVERAGE(I21:I$26)/100,4)</f>
        <v>1.2800000000000001E-2</v>
      </c>
      <c r="AE21" s="1460">
        <f>ROUND(AVERAGE(J21:J$26)/100,4)</f>
        <v>1.2500000000000001E-2</v>
      </c>
      <c r="AF21" s="1460">
        <f t="shared" si="1"/>
        <v>1.2500000000000001E-2</v>
      </c>
      <c r="AG21" s="1460">
        <f>ROUND(AVERAGE(K21:K$26)/100,4)</f>
        <v>1.32E-2</v>
      </c>
      <c r="AH21" s="1460">
        <f>ROUND(AVERAGE(L21:L$26)/100,4)</f>
        <v>1.0500000000000001E-2</v>
      </c>
    </row>
    <row r="22" spans="1:34">
      <c r="A22" s="1461" t="s">
        <v>148</v>
      </c>
      <c r="B22" s="1477">
        <f t="shared" si="90"/>
        <v>319.87748030386797</v>
      </c>
      <c r="C22" s="1477">
        <f t="shared" si="90"/>
        <v>269.60135833173649</v>
      </c>
      <c r="D22" s="1477">
        <f t="shared" si="87"/>
        <v>269.60135833173649</v>
      </c>
      <c r="E22" s="1477">
        <f t="shared" si="91"/>
        <v>439.18089823583784</v>
      </c>
      <c r="F22" s="1477">
        <f t="shared" si="91"/>
        <v>239.23503918706311</v>
      </c>
      <c r="G22" s="3335"/>
      <c r="H22" s="1464">
        <v>1</v>
      </c>
      <c r="I22" s="1464">
        <v>0.51</v>
      </c>
      <c r="J22" s="1464">
        <v>0.54</v>
      </c>
      <c r="K22" s="1464">
        <v>0.48</v>
      </c>
      <c r="L22" s="1478">
        <v>0.93</v>
      </c>
      <c r="N22" s="1480">
        <f t="shared" si="89"/>
        <v>5.1000000000000004E-3</v>
      </c>
      <c r="O22" s="1481">
        <f t="shared" si="84"/>
        <v>5.4000000000000003E-3</v>
      </c>
      <c r="P22" s="1481">
        <f t="shared" si="84"/>
        <v>4.7999999999999996E-3</v>
      </c>
      <c r="Q22" s="1481">
        <f t="shared" si="84"/>
        <v>9.300000000000001E-3</v>
      </c>
      <c r="R22" s="1474"/>
      <c r="S22" s="1480">
        <f>B22/B23-1</f>
        <v>5.9040261127922822E-3</v>
      </c>
      <c r="T22" s="1481">
        <f>C22/C23-1</f>
        <v>5.9752176557332781E-3</v>
      </c>
      <c r="U22" s="1481">
        <f>E22/E23-1</f>
        <v>4.9906138119859556E-3</v>
      </c>
      <c r="V22" s="1481">
        <f>F22/F23-1</f>
        <v>9.4305450930933787E-3</v>
      </c>
      <c r="X22" s="1459">
        <f>ROUND(SUMPRODUCT(PRODUCT(1+N22:N$25)),4)</f>
        <v>1.0399</v>
      </c>
      <c r="Y22" s="1459">
        <f>ROUND(SUMPRODUCT(PRODUCT(1+O22:O$25)),4)</f>
        <v>1.0451999999999999</v>
      </c>
      <c r="Z22" s="1459">
        <f t="shared" si="0"/>
        <v>1.0451999999999999</v>
      </c>
      <c r="AA22" s="1459">
        <f>ROUND(SUMPRODUCT(PRODUCT(1+P22:P$25)),4)</f>
        <v>1.0387999999999999</v>
      </c>
      <c r="AB22" s="1459">
        <f>ROUND(SUMPRODUCT(PRODUCT(1+Q22:Q$25)),4)</f>
        <v>1.0411999999999999</v>
      </c>
      <c r="AD22" s="1460">
        <f>ROUND(AVERAGE(I22:I$26)/100,4)</f>
        <v>1.38E-2</v>
      </c>
      <c r="AE22" s="1460">
        <f>ROUND(AVERAGE(J22:J$26)/100,4)</f>
        <v>1.3599999999999999E-2</v>
      </c>
      <c r="AF22" s="1460">
        <f t="shared" si="1"/>
        <v>1.3599999999999999E-2</v>
      </c>
      <c r="AG22" s="1460">
        <f>ROUND(AVERAGE(K22:K$26)/100,4)</f>
        <v>1.4200000000000001E-2</v>
      </c>
      <c r="AH22" s="1460">
        <f>ROUND(AVERAGE(L22:L$26)/100,4)</f>
        <v>1.0800000000000001E-2</v>
      </c>
    </row>
    <row r="23" spans="1:34" ht="13.5" thickBot="1">
      <c r="A23" s="1461" t="s">
        <v>147</v>
      </c>
      <c r="B23" s="1490">
        <v>318</v>
      </c>
      <c r="C23" s="1490">
        <v>268</v>
      </c>
      <c r="D23" s="1490">
        <f t="shared" si="87"/>
        <v>268</v>
      </c>
      <c r="E23" s="1490">
        <v>437</v>
      </c>
      <c r="F23" s="1491">
        <v>237</v>
      </c>
      <c r="G23" s="3333">
        <v>2014</v>
      </c>
      <c r="H23" s="1482">
        <v>4</v>
      </c>
      <c r="I23" s="1482">
        <v>0.21</v>
      </c>
      <c r="J23" s="1482">
        <v>0.41</v>
      </c>
      <c r="K23" s="1482">
        <v>0.12</v>
      </c>
      <c r="L23" s="1483">
        <v>0.89</v>
      </c>
      <c r="N23" s="1472">
        <f t="shared" si="89"/>
        <v>2.0999999999999999E-3</v>
      </c>
      <c r="O23" s="1473">
        <f t="shared" si="84"/>
        <v>4.0999999999999995E-3</v>
      </c>
      <c r="P23" s="1473">
        <f t="shared" si="84"/>
        <v>1.1999999999999999E-3</v>
      </c>
      <c r="Q23" s="1473">
        <f t="shared" si="84"/>
        <v>8.8999999999999999E-3</v>
      </c>
      <c r="R23" s="1474"/>
      <c r="S23" s="1475"/>
      <c r="T23" s="1476"/>
      <c r="U23" s="1476"/>
      <c r="V23" s="1476"/>
      <c r="X23" s="1459">
        <f>ROUND(SUMPRODUCT(PRODUCT(1+N23:N$25)),4)</f>
        <v>1.0347</v>
      </c>
      <c r="Y23" s="1459">
        <f>ROUND(SUMPRODUCT(PRODUCT(1+O23:O$25)),4)</f>
        <v>1.0395000000000001</v>
      </c>
      <c r="Z23" s="1459">
        <f t="shared" si="0"/>
        <v>1.0395000000000001</v>
      </c>
      <c r="AA23" s="1459">
        <f>ROUND(SUMPRODUCT(PRODUCT(1+P23:P$25)),4)</f>
        <v>1.0338000000000001</v>
      </c>
      <c r="AB23" s="1459">
        <f>ROUND(SUMPRODUCT(PRODUCT(1+Q23:Q$25)),4)</f>
        <v>1.0316000000000001</v>
      </c>
      <c r="AD23" s="1460">
        <f>ROUND(AVERAGE(I23:I$26)/100,4)</f>
        <v>1.6E-2</v>
      </c>
      <c r="AE23" s="1460">
        <f>ROUND(AVERAGE(J23:J$26)/100,4)</f>
        <v>1.5599999999999999E-2</v>
      </c>
      <c r="AF23" s="1460">
        <f t="shared" si="1"/>
        <v>1.5599999999999999E-2</v>
      </c>
      <c r="AG23" s="1460">
        <f>ROUND(AVERAGE(K23:K$26)/100,4)</f>
        <v>1.66E-2</v>
      </c>
      <c r="AH23" s="1460">
        <f>ROUND(AVERAGE(L23:L$26)/100,4)</f>
        <v>1.12E-2</v>
      </c>
    </row>
    <row r="24" spans="1:34">
      <c r="A24" s="1461" t="s">
        <v>146</v>
      </c>
      <c r="B24" s="1477">
        <f t="shared" ref="B24:C26" si="92">B23/(1+N23)</f>
        <v>317.33359944117353</v>
      </c>
      <c r="C24" s="1477">
        <f t="shared" si="92"/>
        <v>266.90568668459315</v>
      </c>
      <c r="D24" s="1477">
        <f t="shared" si="87"/>
        <v>266.90568668459315</v>
      </c>
      <c r="E24" s="1477">
        <f t="shared" ref="E24:F26" si="93">E23/(1+P23)</f>
        <v>436.47622852576905</v>
      </c>
      <c r="F24" s="1477">
        <f t="shared" si="93"/>
        <v>234.90930716622066</v>
      </c>
      <c r="G24" s="3334"/>
      <c r="H24" s="1492">
        <v>3</v>
      </c>
      <c r="I24" s="1492">
        <v>0.83</v>
      </c>
      <c r="J24" s="1492">
        <v>1.47</v>
      </c>
      <c r="K24" s="1492">
        <v>0.65</v>
      </c>
      <c r="L24" s="1493">
        <v>0.72</v>
      </c>
      <c r="N24" s="1472">
        <f t="shared" si="89"/>
        <v>8.3000000000000001E-3</v>
      </c>
      <c r="O24" s="1473">
        <f t="shared" si="84"/>
        <v>1.47E-2</v>
      </c>
      <c r="P24" s="1473">
        <f t="shared" si="84"/>
        <v>6.5000000000000006E-3</v>
      </c>
      <c r="Q24" s="1473">
        <f t="shared" si="84"/>
        <v>7.1999999999999998E-3</v>
      </c>
      <c r="R24" s="1474"/>
      <c r="S24" s="1472"/>
      <c r="T24" s="1473"/>
      <c r="U24" s="1473"/>
      <c r="V24" s="1473"/>
      <c r="X24" s="1459">
        <f>ROUND(SUMPRODUCT(PRODUCT(1+N24:N$25)),4)</f>
        <v>1.0325</v>
      </c>
      <c r="Y24" s="1459">
        <f>ROUND(SUMPRODUCT(PRODUCT(1+O24:O$25)),4)</f>
        <v>1.0353000000000001</v>
      </c>
      <c r="Z24" s="1459">
        <f t="shared" ref="Z24:Z25" si="94">Y24</f>
        <v>1.0353000000000001</v>
      </c>
      <c r="AA24" s="1459">
        <f>ROUND(SUMPRODUCT(PRODUCT(1+P24:P$25)),4)</f>
        <v>1.0326</v>
      </c>
      <c r="AB24" s="1459">
        <f>ROUND(SUMPRODUCT(PRODUCT(1+Q24:Q$25)),4)</f>
        <v>1.0225</v>
      </c>
      <c r="AD24" s="1460">
        <f>ROUND(AVERAGE(I24:I$26)/100,4)</f>
        <v>2.07E-2</v>
      </c>
      <c r="AE24" s="1460">
        <f>ROUND(AVERAGE(J24:J$26)/100,4)</f>
        <v>1.95E-2</v>
      </c>
      <c r="AF24" s="1460">
        <f t="shared" si="1"/>
        <v>1.95E-2</v>
      </c>
      <c r="AG24" s="1460">
        <f>ROUND(AVERAGE(K24:K$26)/100,4)</f>
        <v>2.1700000000000001E-2</v>
      </c>
      <c r="AH24" s="1460">
        <f>ROUND(AVERAGE(L24:L$26)/100,4)</f>
        <v>1.2E-2</v>
      </c>
    </row>
    <row r="25" spans="1:34" ht="13.5" thickBot="1">
      <c r="A25" s="1461" t="s">
        <v>145</v>
      </c>
      <c r="B25" s="1477">
        <f t="shared" si="92"/>
        <v>314.72141172386546</v>
      </c>
      <c r="C25" s="1477">
        <f t="shared" si="92"/>
        <v>263.03901319069001</v>
      </c>
      <c r="D25" s="1477">
        <f t="shared" si="87"/>
        <v>263.03901319069001</v>
      </c>
      <c r="E25" s="1477">
        <f t="shared" si="93"/>
        <v>433.65745506782821</v>
      </c>
      <c r="F25" s="1477">
        <f t="shared" si="93"/>
        <v>233.23005080045735</v>
      </c>
      <c r="G25" s="3334"/>
      <c r="H25" s="1482">
        <v>2</v>
      </c>
      <c r="I25" s="1482">
        <v>2.4</v>
      </c>
      <c r="J25" s="1482">
        <v>2.0299999999999998</v>
      </c>
      <c r="K25" s="1482">
        <v>2.59</v>
      </c>
      <c r="L25" s="1483">
        <v>1.52</v>
      </c>
      <c r="N25" s="1472">
        <f t="shared" si="89"/>
        <v>2.4E-2</v>
      </c>
      <c r="O25" s="1473">
        <f t="shared" si="84"/>
        <v>2.0299999999999999E-2</v>
      </c>
      <c r="P25" s="1473">
        <f t="shared" si="84"/>
        <v>2.5899999999999999E-2</v>
      </c>
      <c r="Q25" s="1473">
        <f t="shared" si="84"/>
        <v>1.52E-2</v>
      </c>
      <c r="R25" s="1474"/>
      <c r="S25" s="1472"/>
      <c r="T25" s="1473"/>
      <c r="U25" s="1473"/>
      <c r="V25" s="1473"/>
      <c r="X25" s="1459">
        <f>1+N25</f>
        <v>1.024</v>
      </c>
      <c r="Y25" s="1459">
        <f>1+O25</f>
        <v>1.0203</v>
      </c>
      <c r="Z25" s="1459">
        <f t="shared" si="94"/>
        <v>1.0203</v>
      </c>
      <c r="AA25" s="1459">
        <f>1+P25</f>
        <v>1.0259</v>
      </c>
      <c r="AB25" s="1459">
        <f>1+Q25</f>
        <v>1.0152000000000001</v>
      </c>
      <c r="AD25" s="1460">
        <f>ROUND(AVERAGE(I25:I$26)/100,4)</f>
        <v>2.69E-2</v>
      </c>
      <c r="AE25" s="1460">
        <f>ROUND(AVERAGE(J25:J$26)/100,4)</f>
        <v>2.1899999999999999E-2</v>
      </c>
      <c r="AF25" s="1460">
        <f t="shared" ref="AF25" si="95">AE25</f>
        <v>2.1899999999999999E-2</v>
      </c>
      <c r="AG25" s="1460">
        <f>ROUND(AVERAGE(K25:K$26)/100,4)</f>
        <v>2.9399999999999999E-2</v>
      </c>
      <c r="AH25" s="1460">
        <f>ROUND(AVERAGE(L25:L$26)/100,4)</f>
        <v>1.44E-2</v>
      </c>
    </row>
    <row r="26" spans="1:34" s="1498" customFormat="1" ht="13.5" thickBot="1">
      <c r="A26" s="1494" t="s">
        <v>144</v>
      </c>
      <c r="B26" s="1495">
        <f t="shared" si="92"/>
        <v>307.34512863658733</v>
      </c>
      <c r="C26" s="1495">
        <f t="shared" si="92"/>
        <v>257.80556031626975</v>
      </c>
      <c r="D26" s="1495">
        <f t="shared" si="87"/>
        <v>257.80556031626975</v>
      </c>
      <c r="E26" s="1495">
        <f t="shared" si="93"/>
        <v>422.70928459677179</v>
      </c>
      <c r="F26" s="1495">
        <f t="shared" si="93"/>
        <v>229.73803270336617</v>
      </c>
      <c r="G26" s="3335"/>
      <c r="H26" s="1496">
        <v>1</v>
      </c>
      <c r="I26" s="1496">
        <v>2.97</v>
      </c>
      <c r="J26" s="1496">
        <v>2.34</v>
      </c>
      <c r="K26" s="1496">
        <v>3.28</v>
      </c>
      <c r="L26" s="1497">
        <v>1.36</v>
      </c>
      <c r="N26" s="1499">
        <f t="shared" si="89"/>
        <v>2.9700000000000001E-2</v>
      </c>
      <c r="O26" s="1500">
        <f t="shared" si="84"/>
        <v>2.3399999999999997E-2</v>
      </c>
      <c r="P26" s="1500">
        <f t="shared" si="84"/>
        <v>3.2799999999999996E-2</v>
      </c>
      <c r="Q26" s="1500">
        <f t="shared" si="84"/>
        <v>1.3600000000000001E-2</v>
      </c>
      <c r="R26" s="1501"/>
      <c r="S26" s="1502">
        <f>B26/B27-1</f>
        <v>2.7910129219355539E-2</v>
      </c>
      <c r="T26" s="1503">
        <f>C26/C27-1</f>
        <v>2.3037937762975247E-2</v>
      </c>
      <c r="U26" s="1503">
        <f>E26/E27-1</f>
        <v>3.3519033243940788E-2</v>
      </c>
      <c r="V26" s="1503">
        <f>F26/F27-1</f>
        <v>1.2061818076502862E-2</v>
      </c>
      <c r="W26" s="1504" t="s">
        <v>1158</v>
      </c>
      <c r="X26" s="1505">
        <v>1</v>
      </c>
      <c r="Y26" s="1505">
        <v>1</v>
      </c>
      <c r="Z26" s="1505">
        <v>1</v>
      </c>
      <c r="AA26" s="1505">
        <v>1</v>
      </c>
      <c r="AB26" s="1505">
        <v>1</v>
      </c>
      <c r="AD26" s="1727">
        <f>I26/100</f>
        <v>2.9700000000000001E-2</v>
      </c>
      <c r="AE26" s="1727">
        <f>J26/100</f>
        <v>2.3399999999999997E-2</v>
      </c>
      <c r="AF26" s="1727">
        <f>AE26</f>
        <v>2.3399999999999997E-2</v>
      </c>
      <c r="AG26" s="1727">
        <f>K26/100</f>
        <v>3.2799999999999996E-2</v>
      </c>
      <c r="AH26" s="1727">
        <f>L26/100</f>
        <v>1.3600000000000001E-2</v>
      </c>
    </row>
    <row r="27" spans="1:34" ht="13.5" thickBot="1">
      <c r="A27" s="1461" t="s">
        <v>1159</v>
      </c>
      <c r="B27" s="1469">
        <v>299</v>
      </c>
      <c r="C27" s="1469">
        <v>252</v>
      </c>
      <c r="D27" s="1469">
        <f t="shared" si="87"/>
        <v>252</v>
      </c>
      <c r="E27" s="1469">
        <v>409</v>
      </c>
      <c r="F27" s="1470">
        <v>227</v>
      </c>
      <c r="G27" s="3340">
        <v>2013</v>
      </c>
      <c r="H27" s="1506">
        <v>4</v>
      </c>
      <c r="I27" s="1506">
        <v>1.83</v>
      </c>
      <c r="J27" s="1506">
        <v>1.68</v>
      </c>
      <c r="K27" s="1506">
        <v>1.97</v>
      </c>
      <c r="L27" s="1507">
        <v>0.87</v>
      </c>
      <c r="N27" s="1484">
        <f t="shared" si="89"/>
        <v>1.83E-2</v>
      </c>
      <c r="O27" s="1485">
        <f t="shared" si="84"/>
        <v>1.6799999999999999E-2</v>
      </c>
      <c r="P27" s="1485">
        <f t="shared" si="84"/>
        <v>1.9699999999999999E-2</v>
      </c>
      <c r="Q27" s="1485">
        <f t="shared" si="84"/>
        <v>8.6999999999999994E-3</v>
      </c>
      <c r="R27" s="1474"/>
      <c r="S27" s="1475"/>
      <c r="T27" s="1476"/>
      <c r="U27" s="1476"/>
      <c r="V27" s="1476"/>
      <c r="X27" s="1476"/>
      <c r="Y27" s="1476"/>
      <c r="Z27" s="1476"/>
    </row>
    <row r="28" spans="1:34">
      <c r="A28" s="1461" t="s">
        <v>1160</v>
      </c>
      <c r="B28" s="1477">
        <f t="shared" ref="B28:C30" si="96">B27/(1+N27)</f>
        <v>293.62663262299913</v>
      </c>
      <c r="C28" s="1477">
        <f t="shared" si="96"/>
        <v>247.83634933123525</v>
      </c>
      <c r="D28" s="1477">
        <f t="shared" si="87"/>
        <v>247.83634933123525</v>
      </c>
      <c r="E28" s="1477">
        <f t="shared" ref="E28:F30" si="97">E27/(1+P27)</f>
        <v>401.09836226341076</v>
      </c>
      <c r="F28" s="1477">
        <f t="shared" si="97"/>
        <v>225.04213343908003</v>
      </c>
      <c r="G28" s="3341"/>
      <c r="H28" s="1487">
        <v>3</v>
      </c>
      <c r="I28" s="1487">
        <v>1.86</v>
      </c>
      <c r="J28" s="1487">
        <v>1.72</v>
      </c>
      <c r="K28" s="1487">
        <v>1.98</v>
      </c>
      <c r="L28" s="1488">
        <v>0.88</v>
      </c>
      <c r="N28" s="1472">
        <f t="shared" si="89"/>
        <v>1.8600000000000002E-2</v>
      </c>
      <c r="O28" s="1489">
        <f t="shared" si="84"/>
        <v>1.72E-2</v>
      </c>
      <c r="P28" s="1489">
        <f t="shared" si="84"/>
        <v>1.9799999999999998E-2</v>
      </c>
      <c r="Q28" s="1489">
        <f t="shared" si="84"/>
        <v>8.8000000000000005E-3</v>
      </c>
      <c r="R28" s="1474"/>
      <c r="S28" s="1472"/>
      <c r="T28" s="1473"/>
      <c r="U28" s="1473"/>
      <c r="V28" s="1473"/>
    </row>
    <row r="29" spans="1:34">
      <c r="A29" s="1461" t="s">
        <v>1161</v>
      </c>
      <c r="B29" s="1477">
        <f t="shared" si="96"/>
        <v>288.2649053828776</v>
      </c>
      <c r="C29" s="1477">
        <f t="shared" si="96"/>
        <v>243.64564425013293</v>
      </c>
      <c r="D29" s="1477">
        <f t="shared" si="87"/>
        <v>243.64564425013293</v>
      </c>
      <c r="E29" s="1477">
        <f t="shared" si="97"/>
        <v>393.31080825986544</v>
      </c>
      <c r="F29" s="1477">
        <f t="shared" si="97"/>
        <v>223.07903790551154</v>
      </c>
      <c r="G29" s="3341"/>
      <c r="H29" s="1465">
        <v>2</v>
      </c>
      <c r="I29" s="1465">
        <v>2.04</v>
      </c>
      <c r="J29" s="1465">
        <v>2.33</v>
      </c>
      <c r="K29" s="1465">
        <v>2.0699999999999998</v>
      </c>
      <c r="L29" s="1479">
        <v>0.69</v>
      </c>
      <c r="N29" s="1472">
        <f t="shared" si="89"/>
        <v>2.0400000000000001E-2</v>
      </c>
      <c r="O29" s="1489">
        <f t="shared" si="84"/>
        <v>2.3300000000000001E-2</v>
      </c>
      <c r="P29" s="1489">
        <f t="shared" si="84"/>
        <v>2.07E-2</v>
      </c>
      <c r="Q29" s="1489">
        <f t="shared" si="84"/>
        <v>6.8999999999999999E-3</v>
      </c>
      <c r="R29" s="1474"/>
      <c r="S29" s="1472"/>
      <c r="T29" s="1473"/>
      <c r="U29" s="1473"/>
      <c r="V29" s="1473"/>
      <c r="X29" s="1508"/>
      <c r="Y29" s="1509"/>
    </row>
    <row r="30" spans="1:34">
      <c r="A30" s="1461" t="s">
        <v>1162</v>
      </c>
      <c r="B30" s="1477">
        <f t="shared" si="96"/>
        <v>282.50186729015837</v>
      </c>
      <c r="C30" s="1477">
        <f t="shared" si="96"/>
        <v>238.09796174155468</v>
      </c>
      <c r="D30" s="1477">
        <f t="shared" si="87"/>
        <v>238.09796174155468</v>
      </c>
      <c r="E30" s="1477">
        <f t="shared" si="97"/>
        <v>385.33438646014054</v>
      </c>
      <c r="F30" s="1477">
        <f t="shared" si="97"/>
        <v>221.55034055567739</v>
      </c>
      <c r="G30" s="3342"/>
      <c r="H30" s="1464">
        <v>1</v>
      </c>
      <c r="I30" s="1464">
        <v>1.67</v>
      </c>
      <c r="J30" s="1464">
        <v>1.31</v>
      </c>
      <c r="K30" s="1464">
        <v>1.85</v>
      </c>
      <c r="L30" s="1478">
        <v>0.96</v>
      </c>
      <c r="N30" s="1480">
        <f t="shared" si="89"/>
        <v>1.67E-2</v>
      </c>
      <c r="O30" s="1481">
        <f t="shared" si="89"/>
        <v>1.3100000000000001E-2</v>
      </c>
      <c r="P30" s="1481">
        <f t="shared" si="89"/>
        <v>1.8500000000000003E-2</v>
      </c>
      <c r="Q30" s="1481">
        <f t="shared" si="89"/>
        <v>9.5999999999999992E-3</v>
      </c>
      <c r="R30" s="1474"/>
      <c r="S30" s="1480">
        <f>B30/B31-1</f>
        <v>1.6193767230785472E-2</v>
      </c>
      <c r="T30" s="1481">
        <f>C30/C31-1</f>
        <v>1.7512657015190891E-2</v>
      </c>
      <c r="U30" s="1481">
        <f>E30/E31-1</f>
        <v>1.6713420739157048E-2</v>
      </c>
      <c r="V30" s="1481">
        <f>F30/F31-1</f>
        <v>7.0470025258062563E-3</v>
      </c>
      <c r="X30" s="1510"/>
      <c r="Y30" s="1460"/>
      <c r="Z30" s="1460"/>
    </row>
    <row r="31" spans="1:34" ht="13.5" thickBot="1">
      <c r="A31" s="1461" t="s">
        <v>1163</v>
      </c>
      <c r="B31" s="1511">
        <v>278</v>
      </c>
      <c r="C31" s="1511">
        <v>234</v>
      </c>
      <c r="D31" s="1511">
        <f t="shared" si="87"/>
        <v>234</v>
      </c>
      <c r="E31" s="1511">
        <v>379</v>
      </c>
      <c r="F31" s="1512">
        <v>220</v>
      </c>
      <c r="G31" s="3333">
        <v>2012</v>
      </c>
      <c r="H31" s="1482">
        <v>4</v>
      </c>
      <c r="I31" s="1482">
        <v>0.91</v>
      </c>
      <c r="J31" s="1482">
        <v>0.68</v>
      </c>
      <c r="K31" s="1482">
        <v>0.98</v>
      </c>
      <c r="L31" s="1483">
        <v>0.9</v>
      </c>
      <c r="N31" s="1472">
        <f t="shared" si="89"/>
        <v>9.1000000000000004E-3</v>
      </c>
      <c r="O31" s="1473">
        <f t="shared" si="89"/>
        <v>6.8000000000000005E-3</v>
      </c>
      <c r="P31" s="1473">
        <f t="shared" si="89"/>
        <v>9.7999999999999997E-3</v>
      </c>
      <c r="Q31" s="1473">
        <f t="shared" si="89"/>
        <v>9.0000000000000011E-3</v>
      </c>
      <c r="R31" s="1474"/>
      <c r="S31" s="1475"/>
      <c r="T31" s="1476"/>
      <c r="U31" s="1476"/>
      <c r="V31" s="1476"/>
      <c r="X31" s="1476"/>
      <c r="Y31" s="1476"/>
      <c r="Z31" s="1476"/>
    </row>
    <row r="32" spans="1:34">
      <c r="A32" s="1461" t="s">
        <v>1164</v>
      </c>
      <c r="B32" s="1477">
        <f>B31/(1+N31)</f>
        <v>275.49301357645425</v>
      </c>
      <c r="C32" s="1477">
        <f>C31/(1+O31)</f>
        <v>232.41954707985698</v>
      </c>
      <c r="D32" s="1477">
        <f t="shared" si="87"/>
        <v>232.41954707985698</v>
      </c>
      <c r="E32" s="1477">
        <f t="shared" ref="E32:F34" si="98">E31/(1+P31)</f>
        <v>375.32184591008121</v>
      </c>
      <c r="F32" s="1477">
        <f t="shared" si="98"/>
        <v>218.03766105054513</v>
      </c>
      <c r="G32" s="3334"/>
      <c r="H32" s="1487">
        <v>3</v>
      </c>
      <c r="I32" s="1487">
        <v>0.09</v>
      </c>
      <c r="J32" s="1487">
        <v>0.28999999999999998</v>
      </c>
      <c r="K32" s="1487">
        <v>-0.01</v>
      </c>
      <c r="L32" s="1488">
        <v>0.57999999999999996</v>
      </c>
      <c r="N32" s="1472">
        <f t="shared" si="89"/>
        <v>8.9999999999999998E-4</v>
      </c>
      <c r="O32" s="1473">
        <f t="shared" si="89"/>
        <v>2.8999999999999998E-3</v>
      </c>
      <c r="P32" s="1473">
        <f t="shared" si="89"/>
        <v>-1E-4</v>
      </c>
      <c r="Q32" s="1473">
        <f t="shared" si="89"/>
        <v>5.7999999999999996E-3</v>
      </c>
      <c r="R32" s="1474"/>
      <c r="S32" s="1472"/>
      <c r="T32" s="1473"/>
      <c r="U32" s="1473"/>
      <c r="V32" s="1473"/>
    </row>
    <row r="33" spans="1:26">
      <c r="A33" s="1461" t="s">
        <v>1165</v>
      </c>
      <c r="B33" s="1477">
        <f>B32/(1+N32)</f>
        <v>275.24529281292263</v>
      </c>
      <c r="C33" s="1477">
        <f>C32/(1+O32)</f>
        <v>231.74747938962707</v>
      </c>
      <c r="D33" s="1477">
        <f t="shared" si="87"/>
        <v>231.74747938962707</v>
      </c>
      <c r="E33" s="1477">
        <f t="shared" si="98"/>
        <v>375.35938184826603</v>
      </c>
      <c r="F33" s="1477">
        <f t="shared" si="98"/>
        <v>216.78033510692495</v>
      </c>
      <c r="G33" s="3334"/>
      <c r="H33" s="1465">
        <v>2</v>
      </c>
      <c r="I33" s="1465">
        <v>0.02</v>
      </c>
      <c r="J33" s="1465">
        <v>0.12</v>
      </c>
      <c r="K33" s="1465">
        <v>-0.08</v>
      </c>
      <c r="L33" s="1479">
        <v>1.24</v>
      </c>
      <c r="N33" s="1472">
        <f t="shared" si="89"/>
        <v>2.0000000000000001E-4</v>
      </c>
      <c r="O33" s="1473">
        <f t="shared" si="89"/>
        <v>1.1999999999999999E-3</v>
      </c>
      <c r="P33" s="1473">
        <f t="shared" si="89"/>
        <v>-8.0000000000000004E-4</v>
      </c>
      <c r="Q33" s="1473">
        <f t="shared" si="89"/>
        <v>1.24E-2</v>
      </c>
      <c r="R33" s="1474"/>
      <c r="S33" s="1472"/>
      <c r="T33" s="1473"/>
      <c r="U33" s="1473"/>
      <c r="V33" s="1473"/>
    </row>
    <row r="34" spans="1:26" ht="13.5" thickBot="1">
      <c r="A34" s="1461" t="s">
        <v>1166</v>
      </c>
      <c r="B34" s="1477">
        <f>B33/(1+N33)</f>
        <v>275.19025476197027</v>
      </c>
      <c r="C34" s="1513">
        <v>232</v>
      </c>
      <c r="D34" s="1513">
        <f t="shared" si="87"/>
        <v>232</v>
      </c>
      <c r="E34" s="1477">
        <f t="shared" si="98"/>
        <v>375.65990977608692</v>
      </c>
      <c r="F34" s="1477">
        <f t="shared" si="98"/>
        <v>214.12518283971252</v>
      </c>
      <c r="G34" s="3335"/>
      <c r="H34" s="1464">
        <v>1</v>
      </c>
      <c r="I34" s="1464">
        <v>0.02</v>
      </c>
      <c r="J34" s="1464">
        <v>0.13</v>
      </c>
      <c r="K34" s="1464">
        <v>-0.04</v>
      </c>
      <c r="L34" s="1478">
        <v>0.46</v>
      </c>
      <c r="N34" s="1472">
        <f t="shared" si="89"/>
        <v>2.0000000000000001E-4</v>
      </c>
      <c r="O34" s="1473">
        <f t="shared" si="89"/>
        <v>1.2999999999999999E-3</v>
      </c>
      <c r="P34" s="1473">
        <f t="shared" si="89"/>
        <v>-4.0000000000000002E-4</v>
      </c>
      <c r="Q34" s="1473">
        <f t="shared" si="89"/>
        <v>4.5999999999999999E-3</v>
      </c>
      <c r="R34" s="1474"/>
      <c r="S34" s="1480">
        <f>B34/B35-1</f>
        <v>6.9183549807361189E-4</v>
      </c>
      <c r="T34" s="1481">
        <f>C34/C35-1</f>
        <v>0</v>
      </c>
      <c r="U34" s="1481">
        <f>E34/E35-1</f>
        <v>-9.0449527636460303E-4</v>
      </c>
      <c r="V34" s="1481">
        <f>F34/F35-1</f>
        <v>5.2825485432512753E-3</v>
      </c>
      <c r="X34" s="1460"/>
      <c r="Y34" s="1460"/>
      <c r="Z34" s="1460"/>
    </row>
    <row r="35" spans="1:26" ht="13.5" thickBot="1">
      <c r="A35" s="1461" t="s">
        <v>1167</v>
      </c>
      <c r="B35" s="1469">
        <v>275</v>
      </c>
      <c r="C35" s="1469">
        <v>232</v>
      </c>
      <c r="D35" s="1469">
        <f t="shared" si="87"/>
        <v>232</v>
      </c>
      <c r="E35" s="1469">
        <v>376</v>
      </c>
      <c r="F35" s="1470">
        <v>213</v>
      </c>
      <c r="G35" s="3333">
        <v>2011</v>
      </c>
      <c r="H35" s="1482">
        <v>4</v>
      </c>
      <c r="I35" s="1482">
        <v>-0.2</v>
      </c>
      <c r="J35" s="1482">
        <v>0.04</v>
      </c>
      <c r="K35" s="1482">
        <v>-0.34</v>
      </c>
      <c r="L35" s="1483">
        <v>0.46</v>
      </c>
      <c r="N35" s="1484">
        <f t="shared" si="89"/>
        <v>-2E-3</v>
      </c>
      <c r="O35" s="1485">
        <f t="shared" si="89"/>
        <v>4.0000000000000002E-4</v>
      </c>
      <c r="P35" s="1485">
        <f t="shared" si="89"/>
        <v>-3.4000000000000002E-3</v>
      </c>
      <c r="Q35" s="1485">
        <f t="shared" si="89"/>
        <v>4.5999999999999999E-3</v>
      </c>
      <c r="R35" s="1474"/>
      <c r="S35" s="1475"/>
      <c r="T35" s="1476"/>
      <c r="U35" s="1476"/>
      <c r="V35" s="1476"/>
      <c r="X35" s="1476"/>
      <c r="Y35" s="1476"/>
      <c r="Z35" s="1476"/>
    </row>
    <row r="36" spans="1:26">
      <c r="A36" s="1461" t="s">
        <v>1168</v>
      </c>
      <c r="B36" s="1477">
        <f t="shared" ref="B36:C38" si="99">B35/(1+N35)</f>
        <v>275.55110220440883</v>
      </c>
      <c r="C36" s="1477">
        <f t="shared" si="99"/>
        <v>231.90723710515795</v>
      </c>
      <c r="D36" s="1477">
        <f t="shared" si="87"/>
        <v>231.90723710515795</v>
      </c>
      <c r="E36" s="1477">
        <f t="shared" ref="E36:F38" si="100">E35/(1+P35)</f>
        <v>377.28276138872161</v>
      </c>
      <c r="F36" s="1477">
        <f t="shared" si="100"/>
        <v>212.02468644236512</v>
      </c>
      <c r="G36" s="3334">
        <v>2011</v>
      </c>
      <c r="H36" s="1487">
        <v>3</v>
      </c>
      <c r="I36" s="1487">
        <v>0.13</v>
      </c>
      <c r="J36" s="1487">
        <v>0.75</v>
      </c>
      <c r="K36" s="1487">
        <v>-0.08</v>
      </c>
      <c r="L36" s="1488">
        <v>0.53</v>
      </c>
      <c r="N36" s="1472">
        <f t="shared" si="89"/>
        <v>1.2999999999999999E-3</v>
      </c>
      <c r="O36" s="1489">
        <f t="shared" si="89"/>
        <v>7.4999999999999997E-3</v>
      </c>
      <c r="P36" s="1489">
        <f t="shared" si="89"/>
        <v>-8.0000000000000004E-4</v>
      </c>
      <c r="Q36" s="1489">
        <f t="shared" si="89"/>
        <v>5.3E-3</v>
      </c>
      <c r="R36" s="1474"/>
      <c r="S36" s="1472"/>
      <c r="T36" s="1473"/>
      <c r="U36" s="1473"/>
      <c r="V36" s="1473"/>
    </row>
    <row r="37" spans="1:26">
      <c r="A37" s="1461" t="s">
        <v>1169</v>
      </c>
      <c r="B37" s="1477">
        <f t="shared" si="99"/>
        <v>275.19335084830601</v>
      </c>
      <c r="C37" s="1477">
        <f t="shared" si="99"/>
        <v>230.18088050139744</v>
      </c>
      <c r="D37" s="1477">
        <f t="shared" si="87"/>
        <v>230.18088050139744</v>
      </c>
      <c r="E37" s="1477">
        <f t="shared" si="100"/>
        <v>377.58482925212331</v>
      </c>
      <c r="F37" s="1477">
        <f t="shared" si="100"/>
        <v>210.90687997847917</v>
      </c>
      <c r="G37" s="3334">
        <v>2011</v>
      </c>
      <c r="H37" s="1465">
        <v>2</v>
      </c>
      <c r="I37" s="1465">
        <v>-0.4</v>
      </c>
      <c r="J37" s="1465">
        <v>0.17</v>
      </c>
      <c r="K37" s="1465">
        <v>-0.57999999999999996</v>
      </c>
      <c r="L37" s="1479">
        <v>-0.2</v>
      </c>
      <c r="N37" s="1472">
        <f t="shared" si="89"/>
        <v>-4.0000000000000001E-3</v>
      </c>
      <c r="O37" s="1489">
        <f t="shared" si="89"/>
        <v>1.7000000000000001E-3</v>
      </c>
      <c r="P37" s="1489">
        <f t="shared" si="89"/>
        <v>-5.7999999999999996E-3</v>
      </c>
      <c r="Q37" s="1489">
        <f t="shared" si="89"/>
        <v>-2E-3</v>
      </c>
      <c r="R37" s="1474"/>
      <c r="S37" s="1472"/>
      <c r="T37" s="1473"/>
      <c r="U37" s="1473"/>
      <c r="V37" s="1473"/>
    </row>
    <row r="38" spans="1:26" ht="13.5" thickBot="1">
      <c r="A38" s="1461" t="s">
        <v>1170</v>
      </c>
      <c r="B38" s="1477">
        <f t="shared" si="99"/>
        <v>276.29854502841971</v>
      </c>
      <c r="C38" s="1477">
        <f t="shared" si="99"/>
        <v>229.79023709833027</v>
      </c>
      <c r="D38" s="1477">
        <f t="shared" si="87"/>
        <v>229.79023709833027</v>
      </c>
      <c r="E38" s="1477">
        <f t="shared" si="100"/>
        <v>379.78759731655936</v>
      </c>
      <c r="F38" s="1477">
        <f t="shared" si="100"/>
        <v>211.32953905659235</v>
      </c>
      <c r="G38" s="3335">
        <v>2011</v>
      </c>
      <c r="H38" s="1464">
        <v>1</v>
      </c>
      <c r="I38" s="1464">
        <v>2.65</v>
      </c>
      <c r="J38" s="1464">
        <v>3.76</v>
      </c>
      <c r="K38" s="1464">
        <v>1.89</v>
      </c>
      <c r="L38" s="1478">
        <v>7.95</v>
      </c>
      <c r="N38" s="1480">
        <f t="shared" si="89"/>
        <v>2.6499999999999999E-2</v>
      </c>
      <c r="O38" s="1481">
        <f t="shared" si="89"/>
        <v>3.7599999999999995E-2</v>
      </c>
      <c r="P38" s="1481">
        <f t="shared" si="89"/>
        <v>1.89E-2</v>
      </c>
      <c r="Q38" s="1481">
        <f t="shared" si="89"/>
        <v>7.9500000000000001E-2</v>
      </c>
      <c r="R38" s="1474"/>
      <c r="S38" s="1480">
        <f>B38/B39-1</f>
        <v>2.713213765211786E-2</v>
      </c>
      <c r="T38" s="1481">
        <f>C38/C39-1</f>
        <v>3.9774828499231862E-2</v>
      </c>
      <c r="U38" s="1481">
        <f>E38/E39-1</f>
        <v>1.8197311840641772E-2</v>
      </c>
      <c r="V38" s="1481">
        <f>F38/F39-1</f>
        <v>7.8211933962205826E-2</v>
      </c>
      <c r="X38" s="1460"/>
      <c r="Y38" s="1460"/>
      <c r="Z38" s="1460"/>
    </row>
    <row r="39" spans="1:26" ht="13.5" thickBot="1">
      <c r="A39" s="1461" t="s">
        <v>1171</v>
      </c>
      <c r="B39" s="1469">
        <v>269</v>
      </c>
      <c r="C39" s="1469">
        <v>221</v>
      </c>
      <c r="D39" s="1469">
        <f t="shared" si="87"/>
        <v>221</v>
      </c>
      <c r="E39" s="1469">
        <v>373</v>
      </c>
      <c r="F39" s="1470">
        <v>196</v>
      </c>
      <c r="G39" s="3333">
        <v>2010</v>
      </c>
      <c r="H39" s="1482">
        <v>4</v>
      </c>
      <c r="I39" s="1482">
        <v>5.72</v>
      </c>
      <c r="J39" s="1482">
        <v>6.57</v>
      </c>
      <c r="K39" s="1482">
        <v>5.72</v>
      </c>
      <c r="L39" s="1483">
        <v>2.72</v>
      </c>
      <c r="N39" s="1472">
        <f t="shared" si="89"/>
        <v>5.7200000000000001E-2</v>
      </c>
      <c r="O39" s="1473">
        <f t="shared" si="89"/>
        <v>6.5700000000000008E-2</v>
      </c>
      <c r="P39" s="1473">
        <f t="shared" si="89"/>
        <v>5.7200000000000001E-2</v>
      </c>
      <c r="Q39" s="1473">
        <f t="shared" si="89"/>
        <v>2.7200000000000002E-2</v>
      </c>
      <c r="R39" s="1474"/>
      <c r="S39" s="1475"/>
      <c r="T39" s="1476"/>
      <c r="U39" s="1476"/>
      <c r="V39" s="1476"/>
      <c r="X39" s="1476"/>
      <c r="Y39" s="1476"/>
      <c r="Z39" s="1476"/>
    </row>
    <row r="40" spans="1:26">
      <c r="A40" s="1461" t="s">
        <v>1172</v>
      </c>
      <c r="B40" s="1477">
        <f t="shared" ref="B40:C42" si="101">B39/(1+N39)</f>
        <v>254.44570563753314</v>
      </c>
      <c r="C40" s="1477">
        <f t="shared" si="101"/>
        <v>207.37543398705074</v>
      </c>
      <c r="D40" s="1477">
        <f t="shared" si="87"/>
        <v>207.37543398705074</v>
      </c>
      <c r="E40" s="1477">
        <f t="shared" ref="E40:F42" si="102">E39/(1+P39)</f>
        <v>352.81876655315932</v>
      </c>
      <c r="F40" s="1477">
        <f t="shared" si="102"/>
        <v>190.809968847352</v>
      </c>
      <c r="G40" s="3334">
        <v>2010</v>
      </c>
      <c r="H40" s="1487">
        <v>3</v>
      </c>
      <c r="I40" s="1487">
        <v>4.7300000000000004</v>
      </c>
      <c r="J40" s="1487">
        <v>3.9</v>
      </c>
      <c r="K40" s="1487">
        <v>5.03</v>
      </c>
      <c r="L40" s="1488">
        <v>4.21</v>
      </c>
      <c r="N40" s="1472">
        <f t="shared" si="89"/>
        <v>4.7300000000000002E-2</v>
      </c>
      <c r="O40" s="1473">
        <f t="shared" si="89"/>
        <v>3.9E-2</v>
      </c>
      <c r="P40" s="1473">
        <f t="shared" si="89"/>
        <v>5.0300000000000004E-2</v>
      </c>
      <c r="Q40" s="1473">
        <f t="shared" si="89"/>
        <v>4.2099999999999999E-2</v>
      </c>
      <c r="R40" s="1474"/>
      <c r="S40" s="1472"/>
      <c r="T40" s="1473"/>
      <c r="U40" s="1473"/>
      <c r="V40" s="1473"/>
    </row>
    <row r="41" spans="1:26">
      <c r="A41" s="1461" t="s">
        <v>1173</v>
      </c>
      <c r="B41" s="1477">
        <f t="shared" si="101"/>
        <v>242.95398227588385</v>
      </c>
      <c r="C41" s="1477">
        <f t="shared" si="101"/>
        <v>199.59137053614126</v>
      </c>
      <c r="D41" s="1477">
        <f t="shared" si="87"/>
        <v>199.59137053614126</v>
      </c>
      <c r="E41" s="1477">
        <f t="shared" si="102"/>
        <v>335.92189522342125</v>
      </c>
      <c r="F41" s="1477">
        <f t="shared" si="102"/>
        <v>183.10139991109489</v>
      </c>
      <c r="G41" s="3334">
        <v>2010</v>
      </c>
      <c r="H41" s="1465">
        <v>2</v>
      </c>
      <c r="I41" s="1465">
        <v>4.6900000000000004</v>
      </c>
      <c r="J41" s="1465">
        <v>3.55</v>
      </c>
      <c r="K41" s="1465">
        <v>5.07</v>
      </c>
      <c r="L41" s="1479">
        <v>4.2300000000000004</v>
      </c>
      <c r="N41" s="1472">
        <f t="shared" si="89"/>
        <v>4.6900000000000004E-2</v>
      </c>
      <c r="O41" s="1473">
        <f t="shared" si="89"/>
        <v>3.5499999999999997E-2</v>
      </c>
      <c r="P41" s="1473">
        <f t="shared" si="89"/>
        <v>5.0700000000000002E-2</v>
      </c>
      <c r="Q41" s="1473">
        <f t="shared" si="89"/>
        <v>4.2300000000000004E-2</v>
      </c>
      <c r="R41" s="1474"/>
      <c r="S41" s="1472"/>
      <c r="T41" s="1473"/>
      <c r="U41" s="1473"/>
      <c r="V41" s="1473"/>
    </row>
    <row r="42" spans="1:26" ht="13.5" thickBot="1">
      <c r="A42" s="1461" t="s">
        <v>1174</v>
      </c>
      <c r="B42" s="1477">
        <f t="shared" si="101"/>
        <v>232.06990378821649</v>
      </c>
      <c r="C42" s="1477">
        <f t="shared" si="101"/>
        <v>192.74878854286936</v>
      </c>
      <c r="D42" s="1477">
        <f t="shared" si="87"/>
        <v>192.74878854286936</v>
      </c>
      <c r="E42" s="1477">
        <f t="shared" si="102"/>
        <v>319.71247284992984</v>
      </c>
      <c r="F42" s="1477">
        <f t="shared" si="102"/>
        <v>175.67053622862409</v>
      </c>
      <c r="G42" s="3335">
        <v>2010</v>
      </c>
      <c r="H42" s="1464">
        <v>1</v>
      </c>
      <c r="I42" s="1464">
        <v>5.4</v>
      </c>
      <c r="J42" s="1464">
        <v>3.2</v>
      </c>
      <c r="K42" s="1464">
        <v>6.16</v>
      </c>
      <c r="L42" s="1478">
        <v>4.51</v>
      </c>
      <c r="N42" s="1472">
        <f t="shared" si="89"/>
        <v>5.4000000000000006E-2</v>
      </c>
      <c r="O42" s="1473">
        <f t="shared" si="89"/>
        <v>3.2000000000000001E-2</v>
      </c>
      <c r="P42" s="1473">
        <f t="shared" si="89"/>
        <v>6.1600000000000002E-2</v>
      </c>
      <c r="Q42" s="1473">
        <f t="shared" si="89"/>
        <v>4.5100000000000001E-2</v>
      </c>
      <c r="R42" s="1474"/>
      <c r="S42" s="1480">
        <f>B42/B43-1</f>
        <v>5.4863199037347599E-2</v>
      </c>
      <c r="T42" s="1481">
        <f>C42/C43-1</f>
        <v>3.0742184721226584E-2</v>
      </c>
      <c r="U42" s="1481">
        <f>E42/E43-1</f>
        <v>6.2167683886810154E-2</v>
      </c>
      <c r="V42" s="1481">
        <f>F42/F43-1</f>
        <v>4.5657953741810031E-2</v>
      </c>
      <c r="X42" s="1460"/>
      <c r="Y42" s="1460"/>
      <c r="Z42" s="1460"/>
    </row>
    <row r="43" spans="1:26" ht="13.5" thickBot="1">
      <c r="A43" s="1461" t="s">
        <v>1175</v>
      </c>
      <c r="B43" s="1469">
        <v>220</v>
      </c>
      <c r="C43" s="1469">
        <v>187</v>
      </c>
      <c r="D43" s="1469">
        <f t="shared" si="87"/>
        <v>187</v>
      </c>
      <c r="E43" s="1469">
        <v>301</v>
      </c>
      <c r="F43" s="1470">
        <v>168</v>
      </c>
      <c r="G43" s="3333">
        <v>2009</v>
      </c>
      <c r="H43" s="1482">
        <v>4</v>
      </c>
      <c r="I43" s="1482">
        <v>2.2999999999999998</v>
      </c>
      <c r="J43" s="1482">
        <v>1.04</v>
      </c>
      <c r="K43" s="1482">
        <v>2.84</v>
      </c>
      <c r="L43" s="1483">
        <v>0.67</v>
      </c>
      <c r="N43" s="1484">
        <f t="shared" si="89"/>
        <v>2.3E-2</v>
      </c>
      <c r="O43" s="1485">
        <f t="shared" si="89"/>
        <v>1.04E-2</v>
      </c>
      <c r="P43" s="1485">
        <f t="shared" si="89"/>
        <v>2.8399999999999998E-2</v>
      </c>
      <c r="Q43" s="1485">
        <f t="shared" si="89"/>
        <v>6.7000000000000002E-3</v>
      </c>
      <c r="R43" s="1474"/>
      <c r="S43" s="1475"/>
      <c r="T43" s="1476"/>
      <c r="U43" s="1476"/>
      <c r="V43" s="1476"/>
      <c r="X43" s="1476"/>
      <c r="Y43" s="1476"/>
      <c r="Z43" s="1476"/>
    </row>
    <row r="44" spans="1:26">
      <c r="A44" s="1461" t="s">
        <v>1176</v>
      </c>
      <c r="B44" s="1477">
        <f t="shared" ref="B44:C46" si="103">B43/(1+N43)</f>
        <v>215.05376344086022</v>
      </c>
      <c r="C44" s="1477">
        <f t="shared" si="103"/>
        <v>185.0752177355503</v>
      </c>
      <c r="D44" s="1477">
        <f t="shared" si="87"/>
        <v>185.0752177355503</v>
      </c>
      <c r="E44" s="1477">
        <f t="shared" ref="E44:F46" si="104">E43/(1+P43)</f>
        <v>292.68767016725008</v>
      </c>
      <c r="F44" s="1477">
        <f t="shared" si="104"/>
        <v>166.88189132810174</v>
      </c>
      <c r="G44" s="3334">
        <v>2009</v>
      </c>
      <c r="H44" s="1487">
        <v>3</v>
      </c>
      <c r="I44" s="1487">
        <v>2.1</v>
      </c>
      <c r="J44" s="1487">
        <v>1.86</v>
      </c>
      <c r="K44" s="1487">
        <v>2.29</v>
      </c>
      <c r="L44" s="1488">
        <v>0.85</v>
      </c>
      <c r="N44" s="1472">
        <f t="shared" si="89"/>
        <v>2.1000000000000001E-2</v>
      </c>
      <c r="O44" s="1489">
        <f t="shared" si="89"/>
        <v>1.8600000000000002E-2</v>
      </c>
      <c r="P44" s="1489">
        <f t="shared" si="89"/>
        <v>2.29E-2</v>
      </c>
      <c r="Q44" s="1489">
        <f t="shared" si="89"/>
        <v>8.5000000000000006E-3</v>
      </c>
      <c r="R44" s="1474"/>
      <c r="S44" s="1472"/>
      <c r="T44" s="1473"/>
      <c r="U44" s="1473"/>
      <c r="V44" s="1473"/>
    </row>
    <row r="45" spans="1:26">
      <c r="A45" s="1461" t="s">
        <v>1177</v>
      </c>
      <c r="B45" s="1477">
        <f t="shared" si="103"/>
        <v>210.630522469011</v>
      </c>
      <c r="C45" s="1477">
        <f t="shared" si="103"/>
        <v>181.69567812247232</v>
      </c>
      <c r="D45" s="1477">
        <f t="shared" si="87"/>
        <v>181.69567812247232</v>
      </c>
      <c r="E45" s="1477">
        <f t="shared" si="104"/>
        <v>286.13517466736738</v>
      </c>
      <c r="F45" s="1477">
        <f t="shared" si="104"/>
        <v>165.47535084591149</v>
      </c>
      <c r="G45" s="3334">
        <v>2009</v>
      </c>
      <c r="H45" s="1465">
        <v>2</v>
      </c>
      <c r="I45" s="1465">
        <v>0.86</v>
      </c>
      <c r="J45" s="1465">
        <v>-1.1299999999999999</v>
      </c>
      <c r="K45" s="1465">
        <v>1.79</v>
      </c>
      <c r="L45" s="1479">
        <v>-2.0699999999999998</v>
      </c>
      <c r="N45" s="1472">
        <f t="shared" si="89"/>
        <v>8.6E-3</v>
      </c>
      <c r="O45" s="1489">
        <f t="shared" si="89"/>
        <v>-1.1299999999999999E-2</v>
      </c>
      <c r="P45" s="1489">
        <f t="shared" si="89"/>
        <v>1.7899999999999999E-2</v>
      </c>
      <c r="Q45" s="1489">
        <f t="shared" si="89"/>
        <v>-2.07E-2</v>
      </c>
      <c r="R45" s="1474"/>
      <c r="S45" s="1472"/>
      <c r="T45" s="1473"/>
      <c r="U45" s="1473"/>
      <c r="V45" s="1473"/>
    </row>
    <row r="46" spans="1:26">
      <c r="A46" s="1461" t="s">
        <v>1178</v>
      </c>
      <c r="B46" s="1477">
        <f t="shared" si="103"/>
        <v>208.83454537875372</v>
      </c>
      <c r="C46" s="1477">
        <f t="shared" si="103"/>
        <v>183.77230517090351</v>
      </c>
      <c r="D46" s="1477">
        <f t="shared" si="87"/>
        <v>183.77230517090351</v>
      </c>
      <c r="E46" s="1477">
        <f t="shared" si="104"/>
        <v>281.10342338870947</v>
      </c>
      <c r="F46" s="1477">
        <f t="shared" si="104"/>
        <v>168.97309388942256</v>
      </c>
      <c r="G46" s="3335">
        <v>2009</v>
      </c>
      <c r="H46" s="1464">
        <v>1</v>
      </c>
      <c r="I46" s="1464">
        <v>-2.64</v>
      </c>
      <c r="J46" s="1464">
        <v>-2.5299999999999998</v>
      </c>
      <c r="K46" s="1464">
        <v>-3.02</v>
      </c>
      <c r="L46" s="1478">
        <v>1.52</v>
      </c>
      <c r="N46" s="1480">
        <f t="shared" si="89"/>
        <v>-2.64E-2</v>
      </c>
      <c r="O46" s="1481">
        <f t="shared" si="89"/>
        <v>-2.53E-2</v>
      </c>
      <c r="P46" s="1481">
        <f t="shared" si="89"/>
        <v>-3.0200000000000001E-2</v>
      </c>
      <c r="Q46" s="1481">
        <f t="shared" si="89"/>
        <v>1.52E-2</v>
      </c>
      <c r="R46" s="1474"/>
      <c r="S46" s="1480">
        <f>B46/B47-1</f>
        <v>-2.4137638417038754E-2</v>
      </c>
      <c r="T46" s="1481">
        <f>C46/C47-1</f>
        <v>-2.248773845264096E-2</v>
      </c>
      <c r="U46" s="1481">
        <f>E46/E47-1</f>
        <v>-2.7323794502735366E-2</v>
      </c>
      <c r="V46" s="1481">
        <f>F46/F47-1</f>
        <v>1.7910204153148035E-2</v>
      </c>
      <c r="X46" s="1460"/>
      <c r="Y46" s="1460"/>
      <c r="Z46" s="1460"/>
    </row>
    <row r="47" spans="1:26" ht="13.5" thickBot="1">
      <c r="A47" s="1461" t="s">
        <v>1179</v>
      </c>
      <c r="B47" s="1511">
        <v>214</v>
      </c>
      <c r="C47" s="1511">
        <v>188</v>
      </c>
      <c r="D47" s="1511">
        <f t="shared" si="87"/>
        <v>188</v>
      </c>
      <c r="E47" s="1511">
        <v>289</v>
      </c>
      <c r="F47" s="1512">
        <v>166</v>
      </c>
      <c r="G47" s="3333">
        <v>2008</v>
      </c>
      <c r="H47" s="1482">
        <v>4</v>
      </c>
      <c r="I47" s="1482">
        <v>1.73</v>
      </c>
      <c r="J47" s="1482">
        <v>0.03</v>
      </c>
      <c r="K47" s="1482">
        <v>2.59</v>
      </c>
      <c r="L47" s="1483">
        <v>-1.66</v>
      </c>
      <c r="N47" s="1472">
        <f t="shared" si="89"/>
        <v>1.7299999999999999E-2</v>
      </c>
      <c r="O47" s="1473">
        <f t="shared" si="89"/>
        <v>2.9999999999999997E-4</v>
      </c>
      <c r="P47" s="1473">
        <f t="shared" si="89"/>
        <v>2.5899999999999999E-2</v>
      </c>
      <c r="Q47" s="1473">
        <f t="shared" si="89"/>
        <v>-1.66E-2</v>
      </c>
      <c r="R47" s="1474"/>
      <c r="S47" s="1475"/>
      <c r="T47" s="1476"/>
      <c r="U47" s="1476"/>
      <c r="V47" s="1476"/>
      <c r="X47" s="1476"/>
      <c r="Y47" s="1476"/>
      <c r="Z47" s="1476"/>
    </row>
    <row r="48" spans="1:26">
      <c r="A48" s="1461" t="s">
        <v>1180</v>
      </c>
      <c r="B48" s="1477">
        <f t="shared" ref="B48:C50" si="105">B47/(1+N47)</f>
        <v>210.36075887152265</v>
      </c>
      <c r="C48" s="1477">
        <f t="shared" si="105"/>
        <v>187.94361691492554</v>
      </c>
      <c r="D48" s="1477">
        <f t="shared" si="87"/>
        <v>187.94361691492554</v>
      </c>
      <c r="E48" s="1477">
        <f t="shared" ref="E48:F50" si="106">E47/(1+P47)</f>
        <v>281.70386977288234</v>
      </c>
      <c r="F48" s="1477">
        <f t="shared" si="106"/>
        <v>168.80211511083994</v>
      </c>
      <c r="G48" s="3334">
        <v>2008</v>
      </c>
      <c r="H48" s="1487">
        <v>3</v>
      </c>
      <c r="I48" s="1487">
        <v>1.96</v>
      </c>
      <c r="J48" s="1487">
        <v>2.36</v>
      </c>
      <c r="K48" s="1487">
        <v>1.82</v>
      </c>
      <c r="L48" s="1488">
        <v>2.2200000000000002</v>
      </c>
      <c r="N48" s="1472">
        <f t="shared" si="89"/>
        <v>1.9599999999999999E-2</v>
      </c>
      <c r="O48" s="1473">
        <f t="shared" si="89"/>
        <v>2.3599999999999999E-2</v>
      </c>
      <c r="P48" s="1473">
        <f t="shared" si="89"/>
        <v>1.8200000000000001E-2</v>
      </c>
      <c r="Q48" s="1473">
        <f t="shared" si="89"/>
        <v>2.2200000000000001E-2</v>
      </c>
      <c r="R48" s="1474"/>
      <c r="S48" s="1472"/>
      <c r="T48" s="1473"/>
      <c r="U48" s="1473"/>
      <c r="V48" s="1473"/>
    </row>
    <row r="49" spans="1:26">
      <c r="A49" s="1461" t="s">
        <v>1181</v>
      </c>
      <c r="B49" s="1477">
        <f t="shared" si="105"/>
        <v>206.31694671589116</v>
      </c>
      <c r="C49" s="1477">
        <f t="shared" si="105"/>
        <v>183.61041121036101</v>
      </c>
      <c r="D49" s="1477">
        <f t="shared" si="87"/>
        <v>183.61041121036101</v>
      </c>
      <c r="E49" s="1477">
        <f t="shared" si="106"/>
        <v>276.66850301795557</v>
      </c>
      <c r="F49" s="1477">
        <f t="shared" si="106"/>
        <v>165.1360938278614</v>
      </c>
      <c r="G49" s="3334">
        <v>2008</v>
      </c>
      <c r="H49" s="1465">
        <v>2</v>
      </c>
      <c r="I49" s="1465">
        <v>4.93</v>
      </c>
      <c r="J49" s="1465">
        <v>7.38</v>
      </c>
      <c r="K49" s="1465">
        <v>3.98</v>
      </c>
      <c r="L49" s="1479">
        <v>6.86</v>
      </c>
      <c r="N49" s="1472">
        <f t="shared" si="89"/>
        <v>4.9299999999999997E-2</v>
      </c>
      <c r="O49" s="1473">
        <f t="shared" si="89"/>
        <v>7.3800000000000004E-2</v>
      </c>
      <c r="P49" s="1473">
        <f t="shared" si="89"/>
        <v>3.9800000000000002E-2</v>
      </c>
      <c r="Q49" s="1473">
        <f t="shared" si="89"/>
        <v>6.8600000000000008E-2</v>
      </c>
      <c r="R49" s="1474"/>
      <c r="S49" s="1472"/>
      <c r="T49" s="1473"/>
      <c r="U49" s="1473"/>
      <c r="V49" s="1473"/>
    </row>
    <row r="50" spans="1:26" s="1517" customFormat="1" ht="13.5" thickBot="1">
      <c r="A50" s="1461" t="s">
        <v>1182</v>
      </c>
      <c r="B50" s="1514">
        <f t="shared" si="105"/>
        <v>196.62341248059772</v>
      </c>
      <c r="C50" s="1514">
        <f t="shared" si="105"/>
        <v>170.99125648199012</v>
      </c>
      <c r="D50" s="1514">
        <f t="shared" si="87"/>
        <v>170.99125648199012</v>
      </c>
      <c r="E50" s="1514">
        <f t="shared" si="106"/>
        <v>266.07857570490052</v>
      </c>
      <c r="F50" s="1514">
        <f t="shared" si="106"/>
        <v>154.53499328828505</v>
      </c>
      <c r="G50" s="3335">
        <v>2008</v>
      </c>
      <c r="H50" s="1515">
        <v>1</v>
      </c>
      <c r="I50" s="1515">
        <v>4.1399999999999997</v>
      </c>
      <c r="J50" s="1515">
        <v>3.45</v>
      </c>
      <c r="K50" s="1515">
        <v>4.95</v>
      </c>
      <c r="L50" s="1516">
        <v>4.82</v>
      </c>
      <c r="N50" s="1518">
        <f t="shared" si="89"/>
        <v>4.1399999999999999E-2</v>
      </c>
      <c r="O50" s="1519">
        <f t="shared" si="89"/>
        <v>3.4500000000000003E-2</v>
      </c>
      <c r="P50" s="1519">
        <f t="shared" si="89"/>
        <v>4.9500000000000002E-2</v>
      </c>
      <c r="Q50" s="1519">
        <f t="shared" si="89"/>
        <v>4.82E-2</v>
      </c>
      <c r="R50" s="1520"/>
      <c r="S50" s="1518">
        <f>B50/B51-1</f>
        <v>4.5869215322328349E-2</v>
      </c>
      <c r="T50" s="1519">
        <f>C50/C51-1</f>
        <v>3.6310645345394743E-2</v>
      </c>
      <c r="U50" s="1519">
        <f>E50/E51-1</f>
        <v>4.7553447657088688E-2</v>
      </c>
      <c r="V50" s="1519">
        <f>F50/F51-1</f>
        <v>4.4155360055980086E-2</v>
      </c>
      <c r="X50" s="1521"/>
      <c r="Y50" s="1521"/>
      <c r="Z50" s="1521"/>
    </row>
    <row r="51" spans="1:26" ht="13.5" thickBot="1">
      <c r="A51" s="1461" t="s">
        <v>1183</v>
      </c>
      <c r="B51" s="1469">
        <v>188</v>
      </c>
      <c r="C51" s="1469">
        <v>165</v>
      </c>
      <c r="D51" s="1469">
        <f t="shared" si="87"/>
        <v>165</v>
      </c>
      <c r="E51" s="1469">
        <v>254</v>
      </c>
      <c r="F51" s="1470">
        <v>148</v>
      </c>
      <c r="G51" s="3333">
        <v>2007</v>
      </c>
      <c r="H51" s="1522">
        <v>4</v>
      </c>
      <c r="I51" s="1522">
        <v>5.51</v>
      </c>
      <c r="J51" s="1522">
        <v>4.8899999999999997</v>
      </c>
      <c r="K51" s="1522">
        <v>6.43</v>
      </c>
      <c r="L51" s="1523">
        <v>5.36</v>
      </c>
      <c r="N51" s="1524">
        <f t="shared" ref="N51:O54" si="107">B51/B52-1</f>
        <v>4.1339718365245526E-2</v>
      </c>
      <c r="O51" s="1525">
        <f t="shared" si="107"/>
        <v>4.0324492593776018E-2</v>
      </c>
      <c r="P51" s="1525">
        <f t="shared" ref="P51:Q54" si="108">E51/E52-1</f>
        <v>6.1625555347990968E-2</v>
      </c>
      <c r="Q51" s="1525">
        <f t="shared" si="108"/>
        <v>4.6757569250590603E-2</v>
      </c>
      <c r="R51" s="1474"/>
      <c r="S51" s="1475"/>
      <c r="T51" s="1476"/>
      <c r="U51" s="1476"/>
      <c r="V51" s="1476"/>
      <c r="X51" s="1476"/>
      <c r="Y51" s="1476"/>
      <c r="Z51" s="1476"/>
    </row>
    <row r="52" spans="1:26">
      <c r="A52" s="1461" t="s">
        <v>1184</v>
      </c>
      <c r="B52" s="1477">
        <f t="shared" ref="B52:C54" si="109">B53+(B$51-B$55)*I52/SUM(I$51:I$54)</f>
        <v>180.5366651097618</v>
      </c>
      <c r="C52" s="1477">
        <f t="shared" si="109"/>
        <v>158.60435967302453</v>
      </c>
      <c r="D52" s="1477">
        <f t="shared" si="87"/>
        <v>158.60435967302453</v>
      </c>
      <c r="E52" s="1477">
        <f t="shared" ref="E52:F54" si="110">E53+(E$51-E$55)*K52/SUM(K$51:K$54)</f>
        <v>239.25573260785075</v>
      </c>
      <c r="F52" s="1477">
        <f t="shared" si="110"/>
        <v>141.38899430740037</v>
      </c>
      <c r="G52" s="3334">
        <v>2007</v>
      </c>
      <c r="H52" s="1487">
        <v>3</v>
      </c>
      <c r="I52" s="1487">
        <v>8.65</v>
      </c>
      <c r="J52" s="1487">
        <v>8.06</v>
      </c>
      <c r="K52" s="1487">
        <v>9.94</v>
      </c>
      <c r="L52" s="1488">
        <v>5.8</v>
      </c>
      <c r="N52" s="1524">
        <f t="shared" si="107"/>
        <v>6.940217571740015E-2</v>
      </c>
      <c r="O52" s="1525">
        <f t="shared" si="107"/>
        <v>7.1197482471153428E-2</v>
      </c>
      <c r="P52" s="1525">
        <f t="shared" si="108"/>
        <v>0.10529679922579582</v>
      </c>
      <c r="Q52" s="1525">
        <f t="shared" si="108"/>
        <v>5.3292245059512133E-2</v>
      </c>
      <c r="R52" s="1474"/>
      <c r="S52" s="1472"/>
      <c r="T52" s="1473"/>
      <c r="U52" s="1473"/>
      <c r="V52" s="1473"/>
      <c r="X52" s="1526"/>
      <c r="Y52" s="1526"/>
      <c r="Z52" s="1526"/>
    </row>
    <row r="53" spans="1:26">
      <c r="A53" s="1461" t="s">
        <v>1185</v>
      </c>
      <c r="B53" s="1477">
        <f t="shared" si="109"/>
        <v>168.82017748715555</v>
      </c>
      <c r="C53" s="1477">
        <f t="shared" si="109"/>
        <v>148.06267029972753</v>
      </c>
      <c r="D53" s="1477">
        <f t="shared" si="87"/>
        <v>148.06267029972753</v>
      </c>
      <c r="E53" s="1477">
        <f t="shared" si="110"/>
        <v>216.46288379323747</v>
      </c>
      <c r="F53" s="1477">
        <f t="shared" si="110"/>
        <v>134.23529411764704</v>
      </c>
      <c r="G53" s="3334">
        <v>2007</v>
      </c>
      <c r="H53" s="1465">
        <v>2</v>
      </c>
      <c r="I53" s="1465">
        <v>3.67</v>
      </c>
      <c r="J53" s="1465">
        <v>2.3199999999999998</v>
      </c>
      <c r="K53" s="1465">
        <v>5.0199999999999996</v>
      </c>
      <c r="L53" s="1479">
        <v>6.71</v>
      </c>
      <c r="N53" s="1524">
        <f t="shared" si="107"/>
        <v>3.0339138143848032E-2</v>
      </c>
      <c r="O53" s="1525">
        <f t="shared" si="107"/>
        <v>2.0922341588790472E-2</v>
      </c>
      <c r="P53" s="1525">
        <f t="shared" si="108"/>
        <v>5.6164796592717003E-2</v>
      </c>
      <c r="Q53" s="1525">
        <f t="shared" si="108"/>
        <v>6.5704536723887319E-2</v>
      </c>
      <c r="R53" s="1474"/>
      <c r="S53" s="1472"/>
      <c r="T53" s="1473"/>
      <c r="U53" s="1473"/>
      <c r="V53" s="1473"/>
      <c r="X53" s="1526"/>
      <c r="Y53" s="1526"/>
      <c r="Z53" s="1526"/>
    </row>
    <row r="54" spans="1:26">
      <c r="A54" s="1461" t="s">
        <v>1186</v>
      </c>
      <c r="B54" s="1477">
        <f t="shared" si="109"/>
        <v>163.84913591779542</v>
      </c>
      <c r="C54" s="1477">
        <f t="shared" si="109"/>
        <v>145.0283378746594</v>
      </c>
      <c r="D54" s="1477">
        <f t="shared" si="87"/>
        <v>145.0283378746594</v>
      </c>
      <c r="E54" s="1477">
        <f t="shared" si="110"/>
        <v>204.95180722891567</v>
      </c>
      <c r="F54" s="1477">
        <f t="shared" si="110"/>
        <v>125.95920303605313</v>
      </c>
      <c r="G54" s="3335">
        <v>2007</v>
      </c>
      <c r="H54" s="1464">
        <v>1</v>
      </c>
      <c r="I54" s="1464">
        <v>3.58</v>
      </c>
      <c r="J54" s="1464">
        <v>3.08</v>
      </c>
      <c r="K54" s="1464">
        <v>4.34</v>
      </c>
      <c r="L54" s="1478">
        <v>3.21</v>
      </c>
      <c r="N54" s="1527">
        <f t="shared" si="107"/>
        <v>3.0497710174814063E-2</v>
      </c>
      <c r="O54" s="1528">
        <f t="shared" si="107"/>
        <v>2.8569772160704998E-2</v>
      </c>
      <c r="P54" s="1528">
        <f t="shared" si="108"/>
        <v>5.1034908866234296E-2</v>
      </c>
      <c r="Q54" s="1528">
        <f t="shared" si="108"/>
        <v>3.245248390207478E-2</v>
      </c>
      <c r="R54" s="1474"/>
      <c r="S54" s="1480">
        <f>B54/B55-1</f>
        <v>3.0497710174814063E-2</v>
      </c>
      <c r="T54" s="1481">
        <f>C54/C55-1</f>
        <v>2.8569772160704998E-2</v>
      </c>
      <c r="U54" s="1481">
        <f>E54/E55-1</f>
        <v>5.1034908866234296E-2</v>
      </c>
      <c r="V54" s="1481">
        <f>F54/F55-1</f>
        <v>3.245248390207478E-2</v>
      </c>
      <c r="X54" s="1526"/>
      <c r="Y54" s="1526"/>
      <c r="Z54" s="1526"/>
    </row>
    <row r="55" spans="1:26" ht="13.5" thickBot="1">
      <c r="A55" s="1461" t="s">
        <v>1187</v>
      </c>
      <c r="B55" s="1490">
        <v>159</v>
      </c>
      <c r="C55" s="1490">
        <v>141</v>
      </c>
      <c r="D55" s="1490">
        <f t="shared" si="87"/>
        <v>141</v>
      </c>
      <c r="E55" s="1490">
        <v>195</v>
      </c>
      <c r="F55" s="1491">
        <v>122</v>
      </c>
      <c r="G55" s="3333">
        <v>2006</v>
      </c>
      <c r="H55" s="1482">
        <v>4</v>
      </c>
      <c r="I55" s="1482">
        <v>3.79</v>
      </c>
      <c r="J55" s="1482">
        <v>2.21</v>
      </c>
      <c r="K55" s="1482">
        <v>5.65</v>
      </c>
      <c r="L55" s="1483">
        <v>5.41</v>
      </c>
      <c r="N55" s="1524">
        <f t="shared" ref="N55:O58" si="111">I55/SUM(I$55:I$58)*(B$55/B$59-1)</f>
        <v>7.245466462748526E-2</v>
      </c>
      <c r="O55" s="1525">
        <f t="shared" si="111"/>
        <v>2.3237230038062766E-2</v>
      </c>
      <c r="P55" s="1525">
        <f t="shared" ref="P55:Q58" si="112">K55/SUM(K$55:K$58)*(E$55/E$59-1)</f>
        <v>0.16146893866323722</v>
      </c>
      <c r="Q55" s="1525">
        <f t="shared" si="112"/>
        <v>5.0755230321793784E-2</v>
      </c>
      <c r="R55" s="1474"/>
      <c r="S55" s="1475"/>
      <c r="T55" s="1476"/>
      <c r="U55" s="1476"/>
      <c r="V55" s="1476"/>
      <c r="X55" s="1526"/>
      <c r="Y55" s="1526"/>
      <c r="Z55" s="1526"/>
    </row>
    <row r="56" spans="1:26">
      <c r="A56" s="1461" t="s">
        <v>1188</v>
      </c>
      <c r="B56" s="1477">
        <f t="shared" ref="B56:C58" si="113">B57+(B$55-B$59)*I56/SUM(I$55:I$58)</f>
        <v>149.00125628140702</v>
      </c>
      <c r="C56" s="1477">
        <f t="shared" si="113"/>
        <v>137.95592286501378</v>
      </c>
      <c r="D56" s="1477">
        <f t="shared" si="87"/>
        <v>137.95592286501378</v>
      </c>
      <c r="E56" s="1477">
        <f t="shared" ref="E56:F58" si="114">E57+(E$55-E$59)*K56/SUM(K$55:K$58)</f>
        <v>169.97231450719823</v>
      </c>
      <c r="F56" s="1477">
        <f t="shared" si="114"/>
        <v>116.21390374331551</v>
      </c>
      <c r="G56" s="3334">
        <v>2006</v>
      </c>
      <c r="H56" s="1487">
        <v>3</v>
      </c>
      <c r="I56" s="1487">
        <v>0.92</v>
      </c>
      <c r="J56" s="1487">
        <v>1.08</v>
      </c>
      <c r="K56" s="1487">
        <v>0.73</v>
      </c>
      <c r="L56" s="1488">
        <v>1.08</v>
      </c>
      <c r="N56" s="1524">
        <f t="shared" si="111"/>
        <v>1.7587939698492462E-2</v>
      </c>
      <c r="O56" s="1525">
        <f t="shared" si="111"/>
        <v>1.1355750425840628E-2</v>
      </c>
      <c r="P56" s="1525">
        <f t="shared" si="112"/>
        <v>2.0862358446754544E-2</v>
      </c>
      <c r="Q56" s="1525">
        <f t="shared" si="112"/>
        <v>1.0132282578103011E-2</v>
      </c>
      <c r="R56" s="1474"/>
      <c r="S56" s="1472"/>
      <c r="T56" s="1473"/>
      <c r="U56" s="1473"/>
      <c r="V56" s="1473"/>
      <c r="X56" s="1526"/>
      <c r="Y56" s="1526"/>
      <c r="Z56" s="1526"/>
    </row>
    <row r="57" spans="1:26">
      <c r="A57" s="1461" t="s">
        <v>1189</v>
      </c>
      <c r="B57" s="1477">
        <f t="shared" si="113"/>
        <v>146.57412060301507</v>
      </c>
      <c r="C57" s="1477">
        <f t="shared" si="113"/>
        <v>136.46831955922866</v>
      </c>
      <c r="D57" s="1477">
        <f t="shared" si="87"/>
        <v>136.46831955922866</v>
      </c>
      <c r="E57" s="1477">
        <f t="shared" si="114"/>
        <v>166.73864894795128</v>
      </c>
      <c r="F57" s="1477">
        <f t="shared" si="114"/>
        <v>115.05882352941177</v>
      </c>
      <c r="G57" s="3334">
        <v>2006</v>
      </c>
      <c r="H57" s="1465">
        <v>2</v>
      </c>
      <c r="I57" s="1465">
        <v>0.96</v>
      </c>
      <c r="J57" s="1465">
        <v>0.25</v>
      </c>
      <c r="K57" s="1465">
        <v>1.9</v>
      </c>
      <c r="L57" s="1479">
        <v>0.95</v>
      </c>
      <c r="N57" s="1524">
        <f t="shared" si="111"/>
        <v>1.8352632728861701E-2</v>
      </c>
      <c r="O57" s="1525">
        <f t="shared" si="111"/>
        <v>2.6286459319075526E-3</v>
      </c>
      <c r="P57" s="1525">
        <f t="shared" si="112"/>
        <v>5.4299289107991269E-2</v>
      </c>
      <c r="Q57" s="1525">
        <f t="shared" si="112"/>
        <v>8.9126559714794995E-3</v>
      </c>
      <c r="R57" s="1474"/>
      <c r="S57" s="1472"/>
      <c r="T57" s="1473"/>
      <c r="U57" s="1473"/>
      <c r="V57" s="1473"/>
      <c r="X57" s="1526"/>
      <c r="Y57" s="1526"/>
      <c r="Z57" s="1526"/>
    </row>
    <row r="58" spans="1:26">
      <c r="A58" s="1461" t="s">
        <v>1190</v>
      </c>
      <c r="B58" s="1477">
        <f t="shared" si="113"/>
        <v>144.04145728643215</v>
      </c>
      <c r="C58" s="1477">
        <f t="shared" si="113"/>
        <v>136.12396694214877</v>
      </c>
      <c r="D58" s="1477">
        <f t="shared" si="87"/>
        <v>136.12396694214877</v>
      </c>
      <c r="E58" s="1477">
        <f t="shared" si="114"/>
        <v>158.32225913621264</v>
      </c>
      <c r="F58" s="1477">
        <f t="shared" si="114"/>
        <v>114.04278074866311</v>
      </c>
      <c r="G58" s="3335">
        <v>2006</v>
      </c>
      <c r="H58" s="1464">
        <v>1</v>
      </c>
      <c r="I58" s="1464">
        <v>2.29</v>
      </c>
      <c r="J58" s="1464">
        <v>3.72</v>
      </c>
      <c r="K58" s="1464">
        <v>0.75</v>
      </c>
      <c r="L58" s="1478">
        <v>0.04</v>
      </c>
      <c r="N58" s="1527">
        <f t="shared" si="111"/>
        <v>4.3778675988638847E-2</v>
      </c>
      <c r="O58" s="1528">
        <f t="shared" si="111"/>
        <v>3.9114251466784385E-2</v>
      </c>
      <c r="P58" s="1528">
        <f t="shared" si="112"/>
        <v>2.1433929911049188E-2</v>
      </c>
      <c r="Q58" s="1528">
        <f t="shared" si="112"/>
        <v>3.7526972511492629E-4</v>
      </c>
      <c r="R58" s="1474"/>
      <c r="S58" s="1480">
        <f>B58/B59-1</f>
        <v>4.3778675988638716E-2</v>
      </c>
      <c r="T58" s="1481">
        <f>C58/C59-1</f>
        <v>3.91142514667846E-2</v>
      </c>
      <c r="U58" s="1481">
        <f>E58/E59-1</f>
        <v>2.143392991104931E-2</v>
      </c>
      <c r="V58" s="1481">
        <f>F58/F59-1</f>
        <v>3.7526972511492396E-4</v>
      </c>
      <c r="X58" s="1526"/>
      <c r="Y58" s="1526"/>
      <c r="Z58" s="1526"/>
    </row>
    <row r="59" spans="1:26" ht="13.5" thickBot="1">
      <c r="A59" s="1461" t="s">
        <v>1191</v>
      </c>
      <c r="B59" s="1490">
        <v>138</v>
      </c>
      <c r="C59" s="1490">
        <v>131</v>
      </c>
      <c r="D59" s="1490">
        <f t="shared" si="87"/>
        <v>131</v>
      </c>
      <c r="E59" s="1490">
        <v>155</v>
      </c>
      <c r="F59" s="1491">
        <v>114</v>
      </c>
      <c r="G59" s="3333">
        <v>2005</v>
      </c>
      <c r="H59" s="1482">
        <v>4</v>
      </c>
      <c r="I59" s="1482">
        <v>3.29</v>
      </c>
      <c r="J59" s="1482">
        <v>1.44</v>
      </c>
      <c r="K59" s="1482">
        <v>0.66</v>
      </c>
      <c r="L59" s="1483">
        <v>7.78</v>
      </c>
      <c r="N59" s="1524">
        <f t="shared" ref="N59:O62" si="115">I59/SUM(I$59:I$62)*(B$59/B$63-1)</f>
        <v>9.9404603216919935E-2</v>
      </c>
      <c r="O59" s="1525">
        <f t="shared" si="115"/>
        <v>4.7636550760861554E-2</v>
      </c>
      <c r="P59" s="1525">
        <f t="shared" ref="P59:Q62" si="116">K59/SUM(K$59:K$62)*(E$59/E$63-1)</f>
        <v>8.3756345177664976E-2</v>
      </c>
      <c r="Q59" s="1525">
        <f t="shared" si="116"/>
        <v>5.2148766661559584E-2</v>
      </c>
      <c r="R59" s="1474"/>
      <c r="S59" s="1475"/>
      <c r="T59" s="1476"/>
      <c r="U59" s="1476"/>
      <c r="V59" s="1476"/>
      <c r="X59" s="1526"/>
      <c r="Y59" s="1526"/>
      <c r="Z59" s="1526"/>
    </row>
    <row r="60" spans="1:26">
      <c r="A60" s="1461" t="s">
        <v>1192</v>
      </c>
      <c r="B60" s="1477">
        <f t="shared" ref="B60:C62" si="117">B61+(B$59-B$63)*I60/SUM(I$59:I$62)</f>
        <v>125.9720430107527</v>
      </c>
      <c r="C60" s="1477">
        <f t="shared" si="117"/>
        <v>125.1883408071749</v>
      </c>
      <c r="D60" s="1477">
        <f t="shared" si="87"/>
        <v>125.1883408071749</v>
      </c>
      <c r="E60" s="1477">
        <f t="shared" ref="E60:F62" si="118">E61+(E$59-E$63)*K60/SUM(K$59:K$62)</f>
        <v>144.61421319796952</v>
      </c>
      <c r="F60" s="1477">
        <f t="shared" si="118"/>
        <v>108.42008196721311</v>
      </c>
      <c r="G60" s="3334">
        <v>2005</v>
      </c>
      <c r="H60" s="1487">
        <v>3</v>
      </c>
      <c r="I60" s="1487">
        <v>0.46</v>
      </c>
      <c r="J60" s="1487">
        <v>0.32</v>
      </c>
      <c r="K60" s="1487">
        <v>0.42</v>
      </c>
      <c r="L60" s="1488">
        <v>0.64</v>
      </c>
      <c r="N60" s="1524">
        <f t="shared" si="115"/>
        <v>1.3898515951301874E-2</v>
      </c>
      <c r="O60" s="1525">
        <f t="shared" si="115"/>
        <v>1.0585900169080346E-2</v>
      </c>
      <c r="P60" s="1525">
        <f t="shared" si="116"/>
        <v>5.3299492385786795E-2</v>
      </c>
      <c r="Q60" s="1525">
        <f t="shared" si="116"/>
        <v>4.2898728359123568E-3</v>
      </c>
      <c r="R60" s="1474"/>
      <c r="S60" s="1472"/>
      <c r="T60" s="1473"/>
      <c r="U60" s="1473"/>
      <c r="V60" s="1473"/>
      <c r="X60" s="1526"/>
      <c r="Y60" s="1526"/>
      <c r="Z60" s="1526"/>
    </row>
    <row r="61" spans="1:26">
      <c r="A61" s="1461" t="s">
        <v>1193</v>
      </c>
      <c r="B61" s="1477">
        <f t="shared" si="117"/>
        <v>124.29032258064517</v>
      </c>
      <c r="C61" s="1477">
        <f t="shared" si="117"/>
        <v>123.8968609865471</v>
      </c>
      <c r="D61" s="1477">
        <f t="shared" si="87"/>
        <v>123.8968609865471</v>
      </c>
      <c r="E61" s="1477">
        <f t="shared" si="118"/>
        <v>138.00507614213197</v>
      </c>
      <c r="F61" s="1477">
        <f t="shared" si="118"/>
        <v>107.96106557377048</v>
      </c>
      <c r="G61" s="3334">
        <v>2005</v>
      </c>
      <c r="H61" s="1465">
        <v>2</v>
      </c>
      <c r="I61" s="1465">
        <v>0.47</v>
      </c>
      <c r="J61" s="1465">
        <v>0.1</v>
      </c>
      <c r="K61" s="1465">
        <v>0.52</v>
      </c>
      <c r="L61" s="1479">
        <v>0.79</v>
      </c>
      <c r="N61" s="1524">
        <f t="shared" si="115"/>
        <v>1.420065760241713E-2</v>
      </c>
      <c r="O61" s="1525">
        <f t="shared" si="115"/>
        <v>3.3080938028376083E-3</v>
      </c>
      <c r="P61" s="1525">
        <f t="shared" si="116"/>
        <v>6.598984771573603E-2</v>
      </c>
      <c r="Q61" s="1525">
        <f t="shared" si="116"/>
        <v>5.2953117818293153E-3</v>
      </c>
      <c r="R61" s="1474"/>
      <c r="S61" s="1472"/>
      <c r="T61" s="1473"/>
      <c r="U61" s="1473"/>
      <c r="V61" s="1473"/>
      <c r="X61" s="1526"/>
      <c r="Y61" s="1526"/>
      <c r="Z61" s="1526"/>
    </row>
    <row r="62" spans="1:26">
      <c r="A62" s="1461" t="s">
        <v>1194</v>
      </c>
      <c r="B62" s="1477">
        <f t="shared" si="117"/>
        <v>122.57204301075269</v>
      </c>
      <c r="C62" s="1477">
        <f t="shared" si="117"/>
        <v>123.4932735426009</v>
      </c>
      <c r="D62" s="1477">
        <f t="shared" si="87"/>
        <v>123.4932735426009</v>
      </c>
      <c r="E62" s="1477">
        <f t="shared" si="118"/>
        <v>129.82233502538071</v>
      </c>
      <c r="F62" s="1477">
        <f t="shared" si="118"/>
        <v>107.39446721311475</v>
      </c>
      <c r="G62" s="3335">
        <v>2005</v>
      </c>
      <c r="H62" s="1464">
        <v>1</v>
      </c>
      <c r="I62" s="1464">
        <v>0.43</v>
      </c>
      <c r="J62" s="1464">
        <v>0.37</v>
      </c>
      <c r="K62" s="1464">
        <v>0.37</v>
      </c>
      <c r="L62" s="1478">
        <v>0.55000000000000004</v>
      </c>
      <c r="N62" s="1527">
        <f t="shared" si="115"/>
        <v>1.2992090997956099E-2</v>
      </c>
      <c r="O62" s="1528">
        <f t="shared" si="115"/>
        <v>1.2239947070499151E-2</v>
      </c>
      <c r="P62" s="1528">
        <f t="shared" si="116"/>
        <v>4.6954314720812178E-2</v>
      </c>
      <c r="Q62" s="1528">
        <f t="shared" si="116"/>
        <v>3.6866094683621815E-3</v>
      </c>
      <c r="R62" s="1474"/>
      <c r="S62" s="1480">
        <f>B62/B63-1</f>
        <v>1.2992090997956174E-2</v>
      </c>
      <c r="T62" s="1481">
        <f>C62/C63-1</f>
        <v>1.2239947070499246E-2</v>
      </c>
      <c r="U62" s="1481">
        <f>E62/E63-1</f>
        <v>4.695431472081224E-2</v>
      </c>
      <c r="V62" s="1481">
        <f>F62/F63-1</f>
        <v>3.6866094683620787E-3</v>
      </c>
      <c r="X62" s="1526"/>
      <c r="Y62" s="1526"/>
      <c r="Z62" s="1526"/>
    </row>
    <row r="63" spans="1:26" ht="13.5" thickBot="1">
      <c r="A63" s="1461" t="s">
        <v>1195</v>
      </c>
      <c r="B63" s="1511">
        <v>121</v>
      </c>
      <c r="C63" s="1511">
        <v>122</v>
      </c>
      <c r="D63" s="1511">
        <f t="shared" si="87"/>
        <v>122</v>
      </c>
      <c r="E63" s="1511">
        <v>124</v>
      </c>
      <c r="F63" s="1512">
        <v>107</v>
      </c>
      <c r="G63" s="3333">
        <v>2004</v>
      </c>
      <c r="H63" s="1482">
        <v>4</v>
      </c>
      <c r="I63" s="1482">
        <v>0.33</v>
      </c>
      <c r="J63" s="1482">
        <v>0.5</v>
      </c>
      <c r="K63" s="1482">
        <v>0.5</v>
      </c>
      <c r="L63" s="1483">
        <v>0</v>
      </c>
      <c r="N63" s="1524">
        <f t="shared" ref="N63:O66" si="119">I63/SUM(I$63:I$66)*(B$63/B$67-1)</f>
        <v>1.3391770148526898E-2</v>
      </c>
      <c r="O63" s="1525">
        <f t="shared" si="119"/>
        <v>1.063264221158958E-2</v>
      </c>
      <c r="P63" s="1525">
        <f t="shared" ref="P63:Q66" si="120">K63/SUM(K$63:K$66)*(E$63/E$67-1)</f>
        <v>2.2244466688911134E-2</v>
      </c>
      <c r="Q63" s="1525">
        <f t="shared" si="120"/>
        <v>0</v>
      </c>
      <c r="R63" s="1474"/>
      <c r="S63" s="1475"/>
      <c r="T63" s="1476"/>
      <c r="U63" s="1476"/>
      <c r="V63" s="1476"/>
      <c r="X63" s="1526"/>
      <c r="Y63" s="1526"/>
      <c r="Z63" s="1526"/>
    </row>
    <row r="64" spans="1:26">
      <c r="A64" s="1461" t="s">
        <v>1196</v>
      </c>
      <c r="B64" s="1477">
        <f t="shared" ref="B64:C66" si="121">B65+(B$63-B$67)*I64/SUM(I$63:I$66)</f>
        <v>119.51351351351352</v>
      </c>
      <c r="C64" s="1477">
        <f t="shared" si="121"/>
        <v>120.7878787878788</v>
      </c>
      <c r="D64" s="1477">
        <f t="shared" si="87"/>
        <v>120.7878787878788</v>
      </c>
      <c r="E64" s="1477">
        <f t="shared" ref="E64:F66" si="122">E65+(E$63-E$67)*K64/SUM(K$63:K$66)</f>
        <v>121.5975975975976</v>
      </c>
      <c r="F64" s="1477">
        <f t="shared" si="122"/>
        <v>107</v>
      </c>
      <c r="G64" s="3334">
        <v>2004</v>
      </c>
      <c r="H64" s="1487">
        <v>3</v>
      </c>
      <c r="I64" s="1487">
        <v>0.56000000000000005</v>
      </c>
      <c r="J64" s="1487">
        <v>0.8</v>
      </c>
      <c r="K64" s="1487">
        <v>0.83</v>
      </c>
      <c r="L64" s="1488">
        <v>0.06</v>
      </c>
      <c r="N64" s="1524">
        <f t="shared" si="119"/>
        <v>2.2725428130833527E-2</v>
      </c>
      <c r="O64" s="1525">
        <f t="shared" si="119"/>
        <v>1.7012227538543329E-2</v>
      </c>
      <c r="P64" s="1525">
        <f t="shared" si="120"/>
        <v>3.6925814703592477E-2</v>
      </c>
      <c r="Q64" s="1525">
        <f t="shared" si="120"/>
        <v>2.8846153846153744E-2</v>
      </c>
      <c r="R64" s="1474"/>
      <c r="S64" s="1472"/>
      <c r="T64" s="1473"/>
      <c r="U64" s="1473"/>
      <c r="V64" s="1473"/>
      <c r="X64" s="1526"/>
      <c r="Y64" s="1526"/>
      <c r="Z64" s="1526"/>
    </row>
    <row r="65" spans="1:26">
      <c r="A65" s="1461" t="s">
        <v>1197</v>
      </c>
      <c r="B65" s="1477">
        <f t="shared" si="121"/>
        <v>116.99099099099099</v>
      </c>
      <c r="C65" s="1477">
        <f t="shared" si="121"/>
        <v>118.84848484848486</v>
      </c>
      <c r="D65" s="1477">
        <f t="shared" si="87"/>
        <v>118.84848484848486</v>
      </c>
      <c r="E65" s="1477">
        <f t="shared" si="122"/>
        <v>117.60960960960961</v>
      </c>
      <c r="F65" s="1477">
        <f t="shared" si="122"/>
        <v>104</v>
      </c>
      <c r="G65" s="3334">
        <v>2004</v>
      </c>
      <c r="H65" s="1465">
        <v>2</v>
      </c>
      <c r="I65" s="1465">
        <v>1</v>
      </c>
      <c r="J65" s="1465">
        <v>1.5</v>
      </c>
      <c r="K65" s="1465">
        <v>1.5</v>
      </c>
      <c r="L65" s="1479">
        <v>0</v>
      </c>
      <c r="N65" s="1524">
        <f t="shared" si="119"/>
        <v>4.0581121662202721E-2</v>
      </c>
      <c r="O65" s="1525">
        <f t="shared" si="119"/>
        <v>3.1897926634768738E-2</v>
      </c>
      <c r="P65" s="1525">
        <f t="shared" si="120"/>
        <v>6.6733400066733395E-2</v>
      </c>
      <c r="Q65" s="1525">
        <f t="shared" si="120"/>
        <v>0</v>
      </c>
      <c r="R65" s="1474"/>
      <c r="S65" s="1472"/>
      <c r="T65" s="1473"/>
      <c r="U65" s="1473"/>
      <c r="V65" s="1473"/>
      <c r="X65" s="1526"/>
      <c r="Y65" s="1526"/>
      <c r="Z65" s="1526"/>
    </row>
    <row r="66" spans="1:26" s="1517" customFormat="1" ht="13.5" thickBot="1">
      <c r="A66" s="1461" t="s">
        <v>1198</v>
      </c>
      <c r="B66" s="1514">
        <f t="shared" si="121"/>
        <v>112.48648648648648</v>
      </c>
      <c r="C66" s="1514">
        <f t="shared" si="121"/>
        <v>115.21212121212122</v>
      </c>
      <c r="D66" s="1514">
        <f t="shared" si="87"/>
        <v>115.21212121212122</v>
      </c>
      <c r="E66" s="1514">
        <f t="shared" si="122"/>
        <v>110.4024024024024</v>
      </c>
      <c r="F66" s="1514">
        <f t="shared" si="122"/>
        <v>104</v>
      </c>
      <c r="G66" s="3335">
        <v>2004</v>
      </c>
      <c r="H66" s="1515">
        <v>1</v>
      </c>
      <c r="I66" s="1515">
        <v>0.33</v>
      </c>
      <c r="J66" s="1515">
        <v>0.5</v>
      </c>
      <c r="K66" s="1515">
        <v>0.5</v>
      </c>
      <c r="L66" s="1516">
        <v>0</v>
      </c>
      <c r="N66" s="1529">
        <f t="shared" si="119"/>
        <v>1.3391770148526898E-2</v>
      </c>
      <c r="O66" s="1530">
        <f t="shared" si="119"/>
        <v>1.063264221158958E-2</v>
      </c>
      <c r="P66" s="1530">
        <f t="shared" si="120"/>
        <v>2.2244466688911134E-2</v>
      </c>
      <c r="Q66" s="1530">
        <f t="shared" si="120"/>
        <v>0</v>
      </c>
      <c r="R66" s="1520"/>
      <c r="S66" s="1518">
        <f>B66/B67-1</f>
        <v>1.3391770148526883E-2</v>
      </c>
      <c r="T66" s="1519">
        <f>C66/C67-1</f>
        <v>1.063264221158966E-2</v>
      </c>
      <c r="U66" s="1519">
        <f>E66/E67-1</f>
        <v>2.2244466688911224E-2</v>
      </c>
      <c r="V66" s="1519">
        <f>F66/F67-1</f>
        <v>0</v>
      </c>
      <c r="X66" s="1531"/>
      <c r="Y66" s="1531"/>
      <c r="Z66" s="1531"/>
    </row>
    <row r="67" spans="1:26" ht="13.5" thickBot="1">
      <c r="A67" s="1461" t="s">
        <v>1199</v>
      </c>
      <c r="B67" s="1532">
        <v>111</v>
      </c>
      <c r="C67" s="1532">
        <v>114</v>
      </c>
      <c r="D67" s="1532">
        <f t="shared" si="87"/>
        <v>114</v>
      </c>
      <c r="E67" s="1532">
        <v>108</v>
      </c>
      <c r="F67" s="1533">
        <v>104</v>
      </c>
      <c r="G67" s="3333">
        <v>2003</v>
      </c>
      <c r="H67" s="1522">
        <v>4</v>
      </c>
      <c r="I67" s="1534"/>
      <c r="J67" s="1534"/>
      <c r="K67" s="1534"/>
      <c r="L67" s="1534"/>
      <c r="N67" s="1535"/>
      <c r="O67" s="1534"/>
      <c r="P67" s="1534"/>
      <c r="Q67" s="1534"/>
      <c r="S67" s="1535"/>
      <c r="T67" s="1534"/>
      <c r="U67" s="1534"/>
      <c r="V67" s="1534"/>
      <c r="X67" s="1526"/>
      <c r="Y67" s="1526"/>
      <c r="Z67" s="1526"/>
    </row>
    <row r="68" spans="1:26">
      <c r="A68" s="1461" t="s">
        <v>1200</v>
      </c>
      <c r="B68" s="1536">
        <f t="shared" ref="B68:C70" si="123">B69+(B$67-B$71)/4</f>
        <v>109.75</v>
      </c>
      <c r="C68" s="1536">
        <f t="shared" si="123"/>
        <v>112.25</v>
      </c>
      <c r="D68" s="1536">
        <f t="shared" si="87"/>
        <v>112.25</v>
      </c>
      <c r="E68" s="1536">
        <f t="shared" ref="E68:F70" si="124">E69+(E$67-E$71)/4</f>
        <v>107.25</v>
      </c>
      <c r="F68" s="1536">
        <f t="shared" si="124"/>
        <v>103.5</v>
      </c>
      <c r="G68" s="3334">
        <v>2003</v>
      </c>
      <c r="H68" s="1487">
        <v>3</v>
      </c>
      <c r="I68" s="1534"/>
      <c r="J68" s="1534"/>
      <c r="K68" s="1534"/>
      <c r="L68" s="1534"/>
      <c r="X68" s="1526"/>
      <c r="Y68" s="1526"/>
      <c r="Z68" s="1526"/>
    </row>
    <row r="69" spans="1:26">
      <c r="A69" s="1461" t="s">
        <v>1201</v>
      </c>
      <c r="B69" s="1536">
        <f t="shared" si="123"/>
        <v>108.5</v>
      </c>
      <c r="C69" s="1536">
        <f t="shared" si="123"/>
        <v>110.5</v>
      </c>
      <c r="D69" s="1536">
        <f t="shared" si="87"/>
        <v>110.5</v>
      </c>
      <c r="E69" s="1536">
        <f t="shared" si="124"/>
        <v>106.5</v>
      </c>
      <c r="F69" s="1536">
        <f t="shared" si="124"/>
        <v>103</v>
      </c>
      <c r="G69" s="3334">
        <v>2003</v>
      </c>
      <c r="H69" s="1465">
        <v>2</v>
      </c>
      <c r="I69" s="1534"/>
      <c r="J69" s="1534"/>
      <c r="K69" s="1534"/>
      <c r="L69" s="1534"/>
      <c r="X69" s="1526"/>
      <c r="Y69" s="1526"/>
      <c r="Z69" s="1526"/>
    </row>
    <row r="70" spans="1:26" ht="13.5" thickBot="1">
      <c r="A70" s="1461" t="s">
        <v>1202</v>
      </c>
      <c r="B70" s="1536">
        <f t="shared" si="123"/>
        <v>107.25</v>
      </c>
      <c r="C70" s="1536">
        <f t="shared" si="123"/>
        <v>108.75</v>
      </c>
      <c r="D70" s="1536">
        <f t="shared" si="87"/>
        <v>108.75</v>
      </c>
      <c r="E70" s="1536">
        <f t="shared" si="124"/>
        <v>105.75</v>
      </c>
      <c r="F70" s="1536">
        <f t="shared" si="124"/>
        <v>102.5</v>
      </c>
      <c r="G70" s="3335">
        <v>2003</v>
      </c>
      <c r="H70" s="1537">
        <v>1</v>
      </c>
      <c r="I70" s="1534"/>
      <c r="J70" s="1534"/>
      <c r="K70" s="1534"/>
      <c r="L70" s="1534"/>
      <c r="S70" s="1472"/>
      <c r="T70" s="1473"/>
      <c r="U70" s="1473"/>
      <c r="X70" s="1526"/>
      <c r="Y70" s="1526"/>
      <c r="Z70" s="1526"/>
    </row>
    <row r="71" spans="1:26" ht="13.5" thickBot="1">
      <c r="A71" s="1461" t="s">
        <v>1203</v>
      </c>
      <c r="B71" s="1538">
        <v>106</v>
      </c>
      <c r="C71" s="1538">
        <v>107</v>
      </c>
      <c r="D71" s="1538">
        <f t="shared" si="87"/>
        <v>107</v>
      </c>
      <c r="E71" s="1538">
        <v>105</v>
      </c>
      <c r="F71" s="1539">
        <v>102</v>
      </c>
      <c r="G71" s="3333">
        <v>2002</v>
      </c>
      <c r="H71" s="1482">
        <v>4</v>
      </c>
      <c r="I71" s="1534"/>
      <c r="J71" s="1534"/>
      <c r="K71" s="1534"/>
      <c r="L71" s="1534"/>
      <c r="N71" s="1535"/>
      <c r="O71" s="1534"/>
      <c r="P71" s="1534"/>
      <c r="Q71" s="1534"/>
      <c r="S71" s="1535"/>
      <c r="T71" s="1534"/>
      <c r="U71" s="1534"/>
      <c r="V71" s="1534"/>
      <c r="X71" s="1526"/>
      <c r="Y71" s="1526"/>
      <c r="Z71" s="1526"/>
    </row>
    <row r="72" spans="1:26">
      <c r="A72" s="1461" t="s">
        <v>1204</v>
      </c>
      <c r="B72" s="1536">
        <f t="shared" ref="B72:C74" si="125">B73+(B$71-B$75)/4</f>
        <v>105</v>
      </c>
      <c r="C72" s="1536">
        <f t="shared" si="125"/>
        <v>106</v>
      </c>
      <c r="D72" s="1536">
        <f t="shared" si="87"/>
        <v>106</v>
      </c>
      <c r="E72" s="1536">
        <f t="shared" ref="E72:F74" si="126">E73+(E$71-E$75)/4</f>
        <v>104.5</v>
      </c>
      <c r="F72" s="1536">
        <f t="shared" si="126"/>
        <v>101.5</v>
      </c>
      <c r="G72" s="3334">
        <v>2002</v>
      </c>
      <c r="H72" s="1487">
        <v>3</v>
      </c>
      <c r="I72" s="1534"/>
      <c r="J72" s="1534"/>
      <c r="K72" s="1534"/>
      <c r="L72" s="1534"/>
      <c r="X72" s="1526"/>
      <c r="Y72" s="1526"/>
      <c r="Z72" s="1526"/>
    </row>
    <row r="73" spans="1:26">
      <c r="A73" s="1461" t="s">
        <v>1205</v>
      </c>
      <c r="B73" s="1536">
        <f t="shared" si="125"/>
        <v>104</v>
      </c>
      <c r="C73" s="1536">
        <f t="shared" si="125"/>
        <v>105</v>
      </c>
      <c r="D73" s="1536">
        <f t="shared" si="87"/>
        <v>105</v>
      </c>
      <c r="E73" s="1536">
        <f t="shared" si="126"/>
        <v>104</v>
      </c>
      <c r="F73" s="1536">
        <f t="shared" si="126"/>
        <v>101</v>
      </c>
      <c r="G73" s="3334">
        <v>2002</v>
      </c>
      <c r="H73" s="1465">
        <v>2</v>
      </c>
      <c r="I73" s="1534"/>
      <c r="J73" s="1534"/>
      <c r="K73" s="1534"/>
      <c r="L73" s="1534"/>
      <c r="X73" s="1526"/>
      <c r="Y73" s="1526"/>
      <c r="Z73" s="1526"/>
    </row>
    <row r="74" spans="1:26" s="1498" customFormat="1" ht="13.5" thickBot="1">
      <c r="A74" s="1494" t="s">
        <v>1206</v>
      </c>
      <c r="B74" s="1540">
        <f t="shared" si="125"/>
        <v>103</v>
      </c>
      <c r="C74" s="1540">
        <f t="shared" si="125"/>
        <v>104</v>
      </c>
      <c r="D74" s="1540">
        <f t="shared" si="87"/>
        <v>104</v>
      </c>
      <c r="E74" s="1540">
        <f t="shared" si="126"/>
        <v>103.5</v>
      </c>
      <c r="F74" s="1540">
        <f t="shared" si="126"/>
        <v>100.5</v>
      </c>
      <c r="G74" s="3335">
        <v>2002</v>
      </c>
      <c r="H74" s="1541">
        <v>1</v>
      </c>
      <c r="I74" s="1542"/>
      <c r="J74" s="1542"/>
      <c r="K74" s="1542"/>
      <c r="L74" s="1542"/>
      <c r="N74" s="1543"/>
      <c r="S74" s="1543"/>
      <c r="X74" s="1544"/>
      <c r="Y74" s="1544"/>
      <c r="Z74" s="1544"/>
    </row>
    <row r="75" spans="1:26" ht="13.5" thickBot="1">
      <c r="B75" s="1545">
        <v>102</v>
      </c>
      <c r="C75" s="1546">
        <v>103</v>
      </c>
      <c r="D75" s="1546">
        <f t="shared" si="87"/>
        <v>103</v>
      </c>
      <c r="E75" s="1546">
        <v>103</v>
      </c>
      <c r="F75" s="1547">
        <v>100</v>
      </c>
      <c r="I75" s="1534"/>
      <c r="J75" s="1534"/>
      <c r="K75" s="1534"/>
      <c r="L75" s="1534"/>
      <c r="N75" s="1535"/>
      <c r="O75" s="1534"/>
      <c r="P75" s="1534"/>
      <c r="Q75" s="1534"/>
      <c r="S75" s="1535"/>
      <c r="T75" s="1534"/>
      <c r="U75" s="1534"/>
      <c r="V75" s="1534"/>
      <c r="X75" s="1476"/>
      <c r="Y75" s="1476"/>
      <c r="Z75" s="1476"/>
    </row>
    <row r="77" spans="1:26" s="1549" customFormat="1">
      <c r="A77" s="1548" t="s">
        <v>1207</v>
      </c>
      <c r="G77" s="1550"/>
      <c r="N77" s="1550"/>
      <c r="S77" s="1550"/>
    </row>
    <row r="78" spans="1:26" s="1549" customFormat="1">
      <c r="A78" s="1549" t="s">
        <v>1208</v>
      </c>
      <c r="G78" s="1550"/>
      <c r="N78" s="1550"/>
      <c r="S78" s="1550"/>
    </row>
    <row r="79" spans="1:26" s="1549" customFormat="1">
      <c r="A79" s="1549" t="s">
        <v>1209</v>
      </c>
      <c r="G79" s="1550"/>
      <c r="I79" s="1551"/>
      <c r="J79" s="1551"/>
      <c r="K79" s="1551"/>
      <c r="L79" s="1551"/>
      <c r="N79" s="1552"/>
      <c r="O79" s="1551"/>
      <c r="P79" s="1551"/>
      <c r="Q79" s="1551"/>
      <c r="S79" s="1552"/>
      <c r="T79" s="1551"/>
      <c r="U79" s="1551"/>
      <c r="V79" s="1551"/>
    </row>
    <row r="80" spans="1:26" s="1549" customFormat="1">
      <c r="A80" s="1549" t="s">
        <v>1210</v>
      </c>
      <c r="G80" s="1550"/>
      <c r="N80" s="1550"/>
      <c r="S80" s="1550"/>
    </row>
    <row r="87" spans="7:22" ht="13.5" thickBot="1"/>
    <row r="88" spans="7:22">
      <c r="G88" s="1471"/>
      <c r="S88" s="1553" t="s">
        <v>1211</v>
      </c>
      <c r="T88" s="1554" t="s">
        <v>1212</v>
      </c>
      <c r="U88" s="1554" t="s">
        <v>1213</v>
      </c>
      <c r="V88" s="1554" t="s">
        <v>1214</v>
      </c>
    </row>
    <row r="89" spans="7:22">
      <c r="G89" s="1471"/>
      <c r="N89" s="1475"/>
      <c r="O89" s="1476"/>
      <c r="P89" s="1476"/>
      <c r="Q89" s="1476"/>
      <c r="S89" s="1555">
        <v>2006</v>
      </c>
      <c r="T89" s="1556">
        <v>15.1</v>
      </c>
      <c r="U89" s="1556">
        <v>7.43</v>
      </c>
      <c r="V89" s="1556">
        <v>26.26</v>
      </c>
    </row>
    <row r="90" spans="7:22">
      <c r="G90" s="1471"/>
      <c r="N90" s="1475"/>
      <c r="O90" s="1476"/>
      <c r="P90" s="1476"/>
      <c r="Q90" s="1476"/>
      <c r="S90" s="1557">
        <v>2005</v>
      </c>
      <c r="T90" s="1558">
        <v>13.9</v>
      </c>
      <c r="U90" s="1558">
        <v>7.49</v>
      </c>
      <c r="V90" s="1558">
        <v>24.92</v>
      </c>
    </row>
    <row r="91" spans="7:22">
      <c r="G91" s="1471"/>
      <c r="N91" s="1475"/>
      <c r="O91" s="1476"/>
      <c r="P91" s="1476"/>
      <c r="Q91" s="1476"/>
      <c r="S91" s="1555">
        <v>2004</v>
      </c>
      <c r="T91" s="1556">
        <v>9.48</v>
      </c>
      <c r="U91" s="1556">
        <v>7.2</v>
      </c>
      <c r="V91" s="1556">
        <v>14.68</v>
      </c>
    </row>
    <row r="92" spans="7:22">
      <c r="G92" s="1471"/>
      <c r="N92" s="1475"/>
      <c r="O92" s="1476"/>
      <c r="P92" s="1476"/>
      <c r="Q92" s="1476"/>
      <c r="S92" s="1557">
        <v>2003</v>
      </c>
      <c r="T92" s="1558">
        <v>4.5</v>
      </c>
      <c r="U92" s="1558">
        <v>6.12</v>
      </c>
      <c r="V92" s="1558">
        <v>2.34</v>
      </c>
    </row>
    <row r="93" spans="7:22" ht="13.5" thickBot="1">
      <c r="G93" s="1471"/>
      <c r="N93" s="1475"/>
      <c r="O93" s="1476"/>
      <c r="P93" s="1476"/>
      <c r="Q93" s="1476"/>
      <c r="S93" s="1559">
        <v>2002</v>
      </c>
      <c r="T93" s="1560">
        <v>3.59</v>
      </c>
      <c r="U93" s="1560">
        <v>4.54</v>
      </c>
      <c r="V93" s="1560">
        <v>2.5499999999999998</v>
      </c>
    </row>
    <row r="94" spans="7:22">
      <c r="G94" s="1471"/>
      <c r="N94" s="1475"/>
      <c r="O94" s="1476"/>
      <c r="P94" s="1476"/>
      <c r="Q94" s="1476"/>
    </row>
    <row r="95" spans="7:22">
      <c r="G95" s="1471"/>
      <c r="N95" s="1475"/>
      <c r="O95" s="1476"/>
      <c r="P95" s="1476"/>
      <c r="Q95" s="1476"/>
    </row>
    <row r="96" spans="7: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row>
    <row r="104" spans="7:19">
      <c r="G104" s="1471"/>
      <c r="N104" s="1475"/>
      <c r="O104" s="1476"/>
      <c r="P104" s="1476"/>
      <c r="Q104" s="1476"/>
      <c r="S104" s="1471"/>
    </row>
    <row r="105" spans="7:19">
      <c r="G105" s="1471"/>
      <c r="N105" s="1475"/>
      <c r="O105" s="1476"/>
      <c r="P105" s="1476"/>
      <c r="Q105" s="1476"/>
      <c r="S105" s="1471"/>
    </row>
    <row r="106" spans="7:19">
      <c r="G106" s="1471"/>
      <c r="N106" s="1475"/>
      <c r="O106" s="1476"/>
      <c r="P106" s="1476"/>
      <c r="Q106" s="1476"/>
      <c r="S106" s="1471"/>
    </row>
    <row r="107" spans="7:19">
      <c r="G107" s="1471"/>
      <c r="N107" s="1475"/>
      <c r="O107" s="1476"/>
      <c r="P107" s="1476"/>
      <c r="Q107" s="1476"/>
      <c r="S107" s="1471"/>
    </row>
    <row r="108" spans="7:19">
      <c r="G108" s="1471"/>
      <c r="N108" s="1475"/>
      <c r="O108" s="1476"/>
      <c r="P108" s="1476"/>
      <c r="Q108" s="1476"/>
      <c r="S108" s="1471"/>
    </row>
    <row r="109" spans="7:19">
      <c r="G109" s="1471"/>
      <c r="N109" s="1475"/>
      <c r="O109" s="1476"/>
      <c r="P109" s="1476"/>
      <c r="Q109" s="1476"/>
      <c r="S109" s="1471"/>
    </row>
  </sheetData>
  <sheetProtection sheet="1" objects="1" scenarios="1" formatCells="0"/>
  <mergeCells count="23">
    <mergeCell ref="X1:AB1"/>
    <mergeCell ref="AD1:AH1"/>
    <mergeCell ref="G31:G34"/>
    <mergeCell ref="B1:F1"/>
    <mergeCell ref="G1:L1"/>
    <mergeCell ref="N1:Q1"/>
    <mergeCell ref="S1:V1"/>
    <mergeCell ref="G15:G18"/>
    <mergeCell ref="G19:G22"/>
    <mergeCell ref="G23:G26"/>
    <mergeCell ref="G27:G30"/>
    <mergeCell ref="G7:G10"/>
    <mergeCell ref="G11:G14"/>
    <mergeCell ref="G59:G62"/>
    <mergeCell ref="G63:G66"/>
    <mergeCell ref="G67:G70"/>
    <mergeCell ref="G71:G74"/>
    <mergeCell ref="G35:G38"/>
    <mergeCell ref="G39:G42"/>
    <mergeCell ref="G43:G46"/>
    <mergeCell ref="G47:G50"/>
    <mergeCell ref="G51:G54"/>
    <mergeCell ref="G55:G58"/>
  </mergeCells>
  <phoneticPr fontId="145"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J33" sqref="J33"/>
      <selection pane="bottomLeft" activeCell="J33" sqref="J33"/>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3000</v>
      </c>
      <c r="C1" s="3345" t="s">
        <v>3001</v>
      </c>
      <c r="D1" s="3346"/>
      <c r="E1" s="3346"/>
      <c r="F1" s="3346"/>
      <c r="G1" s="3346"/>
      <c r="H1" s="3346"/>
      <c r="I1" s="3346"/>
      <c r="J1" s="3346"/>
      <c r="K1" s="3346"/>
      <c r="L1" s="3346"/>
      <c r="M1" s="3346"/>
      <c r="N1" s="3346"/>
      <c r="O1" s="3346"/>
      <c r="P1" s="3346"/>
      <c r="Q1" s="3346"/>
      <c r="R1" s="3346"/>
      <c r="S1" s="3347"/>
      <c r="T1" s="1204" t="s">
        <v>3002</v>
      </c>
    </row>
    <row r="2" spans="1:45" s="707" customFormat="1">
      <c r="A2" s="1205"/>
      <c r="B2" s="703" t="s">
        <v>3003</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9" t="s">
        <v>3004</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70" t="s">
        <v>3005</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70" t="s">
        <v>3006</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9" t="s">
        <v>3007</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9" t="s">
        <v>3008</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9" t="s">
        <v>3009</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1" t="s">
        <v>3010</v>
      </c>
      <c r="B17" s="2912" t="s">
        <v>3011</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13" t="s">
        <v>3012</v>
      </c>
      <c r="E19" s="1792"/>
      <c r="F19" s="1792"/>
      <c r="G19" s="1792"/>
      <c r="H19" s="1280"/>
      <c r="I19" s="168"/>
      <c r="J19" s="168"/>
      <c r="K19" s="168"/>
      <c r="L19" s="168"/>
      <c r="M19" s="168"/>
      <c r="N19" s="168"/>
      <c r="O19" s="168"/>
      <c r="P19" s="168"/>
      <c r="Q19" s="168"/>
      <c r="R19" s="788"/>
      <c r="S19" s="138"/>
    </row>
    <row r="20" spans="1:45" ht="16.5" thickBot="1">
      <c r="A20" s="715" t="s">
        <v>3013</v>
      </c>
      <c r="B20" s="338" t="e">
        <f ca="1">IF(D20="——",S22,S22-F20)</f>
        <v>#REF!</v>
      </c>
      <c r="C20" s="168"/>
      <c r="D20" s="2914" t="s">
        <v>3014</v>
      </c>
      <c r="E20" s="1793"/>
      <c r="F20" s="1204" t="e">
        <f ca="1">SUMIF(INDIRECT("'"&amp;H20&amp;"'"&amp;"!A:A"),"承租人权益价值",INDIRECT("'"&amp;H20&amp;"'"&amp;"!c:c"))</f>
        <v>#REF!</v>
      </c>
      <c r="G20" s="1204" t="s">
        <v>3015</v>
      </c>
      <c r="H20" s="2915"/>
      <c r="I20" s="168"/>
      <c r="J20" s="168"/>
      <c r="K20" s="168"/>
      <c r="L20" s="168"/>
      <c r="M20" s="168"/>
      <c r="N20" s="168"/>
      <c r="O20" s="168"/>
      <c r="P20" s="168"/>
      <c r="Q20" s="168"/>
      <c r="R20" s="788"/>
      <c r="S20" s="138"/>
    </row>
    <row r="21" spans="1:45" ht="15.75">
      <c r="A21" s="715" t="s">
        <v>3016</v>
      </c>
      <c r="B21" s="338">
        <f>R22</f>
        <v>10000</v>
      </c>
      <c r="C21" s="168"/>
      <c r="D21" s="168"/>
      <c r="E21" s="168"/>
      <c r="F21" s="168"/>
      <c r="G21" s="168"/>
      <c r="H21" s="168"/>
      <c r="I21" s="168"/>
      <c r="J21" s="168"/>
      <c r="K21" s="168"/>
      <c r="L21" s="168"/>
      <c r="M21" s="168"/>
      <c r="N21" s="168"/>
      <c r="O21" s="168"/>
      <c r="P21" s="168"/>
      <c r="Q21" s="168"/>
      <c r="R21" s="788"/>
      <c r="S21" s="138"/>
    </row>
    <row r="22" spans="1:45">
      <c r="A22" s="361" t="s">
        <v>3017</v>
      </c>
      <c r="B22" s="24">
        <f>SUM(B24:B10000)</f>
        <v>100</v>
      </c>
      <c r="C22" s="3204" t="s">
        <v>33</v>
      </c>
      <c r="D22" s="3205"/>
      <c r="E22" s="3205"/>
      <c r="F22" s="3205"/>
      <c r="G22" s="3205"/>
      <c r="H22" s="3205"/>
      <c r="I22" s="3205"/>
      <c r="J22" s="3205"/>
      <c r="K22" s="3205"/>
      <c r="L22" s="3205"/>
      <c r="M22" s="3205"/>
      <c r="N22" s="3205"/>
      <c r="O22" s="3205"/>
      <c r="P22" s="3205"/>
      <c r="Q22" s="3344"/>
      <c r="R22" s="716">
        <f>ROUND(S22*10000/B22,0)</f>
        <v>10000</v>
      </c>
      <c r="S22" s="24">
        <f>SUM(S24:S10000)</f>
        <v>100</v>
      </c>
    </row>
    <row r="23" spans="1:45" s="12" customFormat="1" ht="24">
      <c r="A23" s="11" t="s">
        <v>3018</v>
      </c>
      <c r="B23" s="11" t="s">
        <v>3019</v>
      </c>
      <c r="C23" s="11" t="s">
        <v>3020</v>
      </c>
      <c r="D23" s="11" t="str">
        <f>B5</f>
        <v>修正项2</v>
      </c>
      <c r="E23" s="11" t="s">
        <v>3020</v>
      </c>
      <c r="F23" s="11" t="str">
        <f>B7</f>
        <v>修正项3</v>
      </c>
      <c r="G23" s="11" t="s">
        <v>3020</v>
      </c>
      <c r="H23" s="11" t="str">
        <f>B9</f>
        <v>修正项4</v>
      </c>
      <c r="I23" s="11" t="s">
        <v>3020</v>
      </c>
      <c r="J23" s="11" t="str">
        <f>B11</f>
        <v>修正项5</v>
      </c>
      <c r="K23" s="11" t="s">
        <v>3020</v>
      </c>
      <c r="L23" s="11" t="str">
        <f>B13</f>
        <v>修正项6</v>
      </c>
      <c r="M23" s="11" t="s">
        <v>3020</v>
      </c>
      <c r="N23" s="11" t="str">
        <f>B15</f>
        <v>修正项7</v>
      </c>
      <c r="O23" s="11" t="s">
        <v>3020</v>
      </c>
      <c r="P23" s="11" t="str">
        <f>B17</f>
        <v>楼层</v>
      </c>
      <c r="Q23" s="11" t="s">
        <v>3020</v>
      </c>
      <c r="R23" s="717" t="s">
        <v>3021</v>
      </c>
      <c r="S23" s="11" t="s">
        <v>3022</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3023</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7"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40687</v>
      </c>
      <c r="C2" s="2" t="s">
        <v>133</v>
      </c>
      <c r="D2" s="243"/>
      <c r="E2" s="243"/>
      <c r="F2" s="243"/>
      <c r="G2" s="243"/>
    </row>
    <row r="3" spans="1:7" s="244" customFormat="1" ht="18" customHeight="1" thickBot="1">
      <c r="A3" s="247" t="s">
        <v>85</v>
      </c>
      <c r="B3" s="248">
        <f ca="1">ROUND(B2*10000/'数据-汇总表'!E3,0)</f>
        <v>14957</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1145</v>
      </c>
    </row>
    <row r="9" spans="1:7" s="258" customFormat="1" ht="13.5" customHeight="1">
      <c r="A9" s="950" t="s">
        <v>800</v>
      </c>
      <c r="B9" s="268" t="s">
        <v>93</v>
      </c>
      <c r="C9" s="269">
        <f>ROUND(D9*E9/10000,0)</f>
        <v>0</v>
      </c>
      <c r="D9" s="1032">
        <f>'数据-汇总表'!E5</f>
        <v>0</v>
      </c>
      <c r="E9" s="269">
        <f>'数据-取费表'!B27</f>
        <v>160</v>
      </c>
      <c r="F9" s="265"/>
      <c r="G9" s="270"/>
    </row>
    <row r="10" spans="1:7" s="258" customFormat="1" ht="13.5" customHeight="1">
      <c r="A10" s="950" t="s">
        <v>801</v>
      </c>
      <c r="B10" s="268" t="s">
        <v>94</v>
      </c>
      <c r="C10" s="269">
        <f>ROUND(D10*E10/10000,0)</f>
        <v>544</v>
      </c>
      <c r="D10" s="1032">
        <f>'数据-汇总表'!E6</f>
        <v>27202.3</v>
      </c>
      <c r="E10" s="269">
        <f>'数据-取费表'!B28</f>
        <v>200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1052</v>
      </c>
      <c r="B19" s="254" t="s">
        <v>111</v>
      </c>
      <c r="C19" s="255">
        <f>IF(G19="已包含在土地取得成本中","0",ROUND(D19*E19/10000,0))</f>
        <v>544</v>
      </c>
      <c r="D19" s="1036">
        <f>'数据-汇总表'!E3</f>
        <v>27202.3</v>
      </c>
      <c r="E19" s="255">
        <f>'数据-取费表'!B31</f>
        <v>200</v>
      </c>
      <c r="F19" s="275"/>
      <c r="G19" s="1" t="s">
        <v>1071</v>
      </c>
    </row>
    <row r="20" spans="1:7" s="258" customFormat="1" ht="13.5" customHeight="1">
      <c r="A20" s="948" t="s">
        <v>1054</v>
      </c>
      <c r="B20" s="254" t="s">
        <v>104</v>
      </c>
      <c r="C20" s="276">
        <f>ROUND((C5+C19)*F20,0)</f>
        <v>423</v>
      </c>
      <c r="D20" s="276"/>
      <c r="E20" s="276"/>
      <c r="F20" s="277">
        <f>'数据-取费表'!B37</f>
        <v>0.02</v>
      </c>
      <c r="G20" s="1289" t="s">
        <v>1065</v>
      </c>
    </row>
    <row r="21" spans="1:7" s="258" customFormat="1" ht="13.5" customHeight="1">
      <c r="A21" s="948" t="s">
        <v>1056</v>
      </c>
      <c r="B21" s="254" t="s">
        <v>105</v>
      </c>
      <c r="C21" s="279">
        <f>F21</f>
        <v>0.03</v>
      </c>
      <c r="D21" s="280" t="s">
        <v>126</v>
      </c>
      <c r="E21" s="276"/>
      <c r="F21" s="277">
        <f>'数据-取费表'!B38</f>
        <v>0.03</v>
      </c>
      <c r="G21" s="278" t="s">
        <v>106</v>
      </c>
    </row>
    <row r="22" spans="1:7" s="258" customFormat="1" ht="13.5" customHeight="1">
      <c r="A22" s="948" t="s">
        <v>786</v>
      </c>
      <c r="B22" s="254" t="s">
        <v>107</v>
      </c>
      <c r="C22" s="1354">
        <f ca="1">ROUND(SUM(C23:C25),0)</f>
        <v>1540</v>
      </c>
      <c r="D22" s="279">
        <f ca="1">C26</f>
        <v>1.1000000000000001E-3</v>
      </c>
      <c r="E22" s="280" t="s">
        <v>126</v>
      </c>
      <c r="F22" s="281">
        <f ca="1">'数据-取费表'!B40</f>
        <v>4.7500000000000001E-2</v>
      </c>
      <c r="G22" s="1289" t="str">
        <f>IF('数据-取费表'!B22&lt;=1,"单利计息","复利计息")</f>
        <v>复利计息</v>
      </c>
    </row>
    <row r="23" spans="1:7" s="258" customFormat="1" ht="13.5" customHeight="1">
      <c r="A23" s="951" t="s">
        <v>794</v>
      </c>
      <c r="B23" s="259" t="s">
        <v>1058</v>
      </c>
      <c r="C23" s="1355">
        <f ca="1">ROUND(IF('数据-取费表'!B22&lt;=1,C5*F22*'数据-取费表'!B23,C5*(POWER((1+F22),'数据-取费表'!B23)-1)),0)</f>
        <v>1486</v>
      </c>
      <c r="D23" s="282"/>
      <c r="E23" s="282"/>
      <c r="F23" s="283"/>
      <c r="G23" s="284" t="s">
        <v>108</v>
      </c>
    </row>
    <row r="24" spans="1:7" s="258" customFormat="1" ht="13.5" customHeight="1">
      <c r="A24" s="951" t="s">
        <v>792</v>
      </c>
      <c r="B24" s="259" t="s">
        <v>1053</v>
      </c>
      <c r="C24" s="1355">
        <f ca="1">ROUND(IF('数据-取费表'!B22&lt;=1,C19*F22*('数据-取费表'!B19/2+'数据-取费表'!B21),C19*(POWER((1+F22),('数据-取费表'!B19/2+'数据-取费表'!B21))-1)),0)</f>
        <v>39</v>
      </c>
      <c r="D24" s="282"/>
      <c r="E24" s="282"/>
      <c r="F24" s="283"/>
      <c r="G24" s="284" t="s">
        <v>109</v>
      </c>
    </row>
    <row r="25" spans="1:7" s="258" customFormat="1" ht="24">
      <c r="A25" s="951" t="s">
        <v>793</v>
      </c>
      <c r="B25" s="259" t="s">
        <v>1055</v>
      </c>
      <c r="C25" s="1355">
        <f ca="1">ROUND(IF('数据-取费表'!B22&lt;=1,C20*F22*'数据-取费表'!B23/2,C20*(POWER((1+F22),'数据-取费表'!B23/2)-1)),0)</f>
        <v>15</v>
      </c>
      <c r="D25" s="282"/>
      <c r="E25" s="285"/>
      <c r="F25" s="283"/>
      <c r="G25" s="286" t="s">
        <v>110</v>
      </c>
    </row>
    <row r="26" spans="1:7" s="258" customFormat="1">
      <c r="A26" s="951" t="s">
        <v>795</v>
      </c>
      <c r="B26" s="259" t="s">
        <v>1057</v>
      </c>
      <c r="C26" s="282">
        <f ca="1">ROUND(IF('数据-取费表'!B22&lt;=1,F21*F22*'数据-取费表'!B23/2,F21*(POWER((1+F22),'数据-取费表'!B23/2)-1)),4)</f>
        <v>1.1000000000000001E-3</v>
      </c>
      <c r="D26" s="282"/>
      <c r="E26" s="285"/>
      <c r="F26" s="283"/>
      <c r="G26" s="287"/>
    </row>
    <row r="27" spans="1:7" s="258" customFormat="1" ht="24.75">
      <c r="A27" s="948" t="s">
        <v>787</v>
      </c>
      <c r="B27" s="288" t="s">
        <v>112</v>
      </c>
      <c r="C27" s="289">
        <f>C28</f>
        <v>6473</v>
      </c>
      <c r="D27" s="279">
        <f>C29</f>
        <v>8.9999999999999993E-3</v>
      </c>
      <c r="E27" s="280" t="s">
        <v>126</v>
      </c>
      <c r="F27" s="290">
        <f>'数据-取费表'!Q16</f>
        <v>0.3</v>
      </c>
      <c r="G27" s="291" t="s">
        <v>1066</v>
      </c>
    </row>
    <row r="28" spans="1:7" s="258" customFormat="1" ht="13.5" customHeight="1">
      <c r="A28" s="951" t="s">
        <v>794</v>
      </c>
      <c r="B28" s="292" t="s">
        <v>1059</v>
      </c>
      <c r="C28" s="293">
        <f>ROUND((C5+C19+C20)*F27*'数据-取费表'!B21/'数据-取费表'!B20,0)</f>
        <v>6473</v>
      </c>
      <c r="D28" s="279"/>
      <c r="E28" s="280"/>
      <c r="F28" s="290"/>
      <c r="G28" s="291"/>
    </row>
    <row r="29" spans="1:7" s="258" customFormat="1" ht="13.5" customHeight="1">
      <c r="A29" s="951" t="s">
        <v>792</v>
      </c>
      <c r="B29" s="292" t="s">
        <v>1060</v>
      </c>
      <c r="C29" s="282">
        <f>ROUND(C21*F27*'数据-取费表'!B21/'数据-取费表'!B20,4)</f>
        <v>8.9999999999999993E-3</v>
      </c>
      <c r="D29" s="279"/>
      <c r="E29" s="280"/>
      <c r="F29" s="290"/>
      <c r="G29" s="291"/>
    </row>
    <row r="30" spans="1:7" s="258" customFormat="1" ht="13.5" customHeight="1">
      <c r="A30" s="948"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32640</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7651</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6801</v>
      </c>
      <c r="D34" s="261"/>
      <c r="E34" s="264"/>
      <c r="F34" s="301">
        <f>IF('数据-取费表'!B24=0,1,'数据-取费表'!N16)</f>
        <v>1</v>
      </c>
      <c r="G34" s="263" t="s">
        <v>116</v>
      </c>
    </row>
    <row r="35" spans="1:7" ht="13.5" customHeight="1">
      <c r="A35" s="951" t="s">
        <v>796</v>
      </c>
      <c r="B35" s="259" t="s">
        <v>60</v>
      </c>
      <c r="C35" s="264">
        <f>ROUND(C34*F35,0)</f>
        <v>204</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544</v>
      </c>
      <c r="D37" s="261">
        <f>'数据-汇总表'!E3</f>
        <v>27202.3</v>
      </c>
      <c r="E37" s="293">
        <f>'数据-取费表'!B35</f>
        <v>200</v>
      </c>
      <c r="F37" s="303"/>
      <c r="G37" s="305" t="s">
        <v>119</v>
      </c>
    </row>
    <row r="38" spans="1:7" ht="13.5" customHeight="1">
      <c r="A38" s="951" t="s">
        <v>799</v>
      </c>
      <c r="B38" s="259" t="s">
        <v>63</v>
      </c>
      <c r="C38" s="264">
        <f>ROUND(C34*F38,0)</f>
        <v>102</v>
      </c>
      <c r="D38" s="264"/>
      <c r="E38" s="264"/>
      <c r="F38" s="303">
        <f>'数据-取费表'!B36</f>
        <v>1.4999999999999999E-2</v>
      </c>
      <c r="G38" s="263" t="s">
        <v>117</v>
      </c>
    </row>
    <row r="39" spans="1:7" s="258" customFormat="1" ht="13.5" customHeight="1">
      <c r="A39" s="948" t="s">
        <v>783</v>
      </c>
      <c r="B39" s="254" t="s">
        <v>104</v>
      </c>
      <c r="C39" s="276">
        <f>ROUND(C33*F20,0)</f>
        <v>153</v>
      </c>
      <c r="D39" s="276"/>
      <c r="E39" s="276"/>
      <c r="F39" s="277"/>
      <c r="G39" s="1289" t="s">
        <v>1068</v>
      </c>
    </row>
    <row r="40" spans="1:7" s="258" customFormat="1" ht="13.5" customHeight="1">
      <c r="A40" s="948" t="s">
        <v>784</v>
      </c>
      <c r="B40" s="254" t="s">
        <v>105</v>
      </c>
      <c r="C40" s="306">
        <f>F21</f>
        <v>0.03</v>
      </c>
      <c r="D40" s="280" t="s">
        <v>129</v>
      </c>
      <c r="E40" s="276"/>
      <c r="F40" s="277"/>
      <c r="G40" s="278" t="s">
        <v>120</v>
      </c>
    </row>
    <row r="41" spans="1:7" s="258" customFormat="1" ht="13.5" customHeight="1">
      <c r="A41" s="948" t="s">
        <v>785</v>
      </c>
      <c r="B41" s="254" t="s">
        <v>107</v>
      </c>
      <c r="C41" s="276">
        <f ca="1">ROUND(SUM(C42:C43),0)</f>
        <v>276</v>
      </c>
      <c r="D41" s="279">
        <f ca="1">C44</f>
        <v>1.1000000000000001E-3</v>
      </c>
      <c r="E41" s="280" t="s">
        <v>129</v>
      </c>
      <c r="F41" s="281"/>
      <c r="G41" s="1289" t="str">
        <f>IF('数据-取费表'!B22&lt;=1,"单利计息","复利计息")</f>
        <v>复利计息</v>
      </c>
    </row>
    <row r="42" spans="1:7" ht="13.5" customHeight="1">
      <c r="A42" s="951" t="s">
        <v>794</v>
      </c>
      <c r="B42" s="259" t="s">
        <v>1058</v>
      </c>
      <c r="C42" s="282">
        <f ca="1">ROUND(IF('数据-取费表'!B22&lt;=1,C33*F22*'数据-取费表'!B21/2,C33*(POWER((1+F22),'数据-取费表'!B21/2)-1)),0)</f>
        <v>271</v>
      </c>
      <c r="D42" s="282"/>
      <c r="E42" s="282"/>
      <c r="F42" s="283"/>
      <c r="G42" s="3209" t="s">
        <v>121</v>
      </c>
    </row>
    <row r="43" spans="1:7" ht="13.5" customHeight="1">
      <c r="A43" s="951" t="s">
        <v>792</v>
      </c>
      <c r="B43" s="259" t="s">
        <v>1061</v>
      </c>
      <c r="C43" s="282">
        <f ca="1">ROUND(IF('数据-取费表'!B22&lt;=1,C39*F22*'数据-取费表'!B21/2,C39*(POWER((1+F22),'数据-取费表'!B21/2)-1)),0)</f>
        <v>5</v>
      </c>
      <c r="D43" s="282"/>
      <c r="E43" s="282"/>
      <c r="F43" s="283"/>
      <c r="G43" s="3210"/>
    </row>
    <row r="44" spans="1:7" ht="13.5" customHeight="1">
      <c r="A44" s="951" t="s">
        <v>793</v>
      </c>
      <c r="B44" s="259" t="s">
        <v>1063</v>
      </c>
      <c r="C44" s="282">
        <f ca="1">ROUND(IF('数据-取费表'!B22&lt;=1,C40*F22*'数据-取费表'!B21/2,C40*(POWER((1+F22),'数据-取费表'!B21/2)-1)),4)</f>
        <v>1.1000000000000001E-3</v>
      </c>
      <c r="D44" s="282"/>
      <c r="E44" s="282"/>
      <c r="F44" s="283"/>
      <c r="G44" s="3211"/>
    </row>
    <row r="45" spans="1:7" s="258" customFormat="1" ht="13.5" customHeight="1">
      <c r="A45" s="948" t="s">
        <v>786</v>
      </c>
      <c r="B45" s="288" t="s">
        <v>112</v>
      </c>
      <c r="C45" s="289">
        <f>C46</f>
        <v>2341</v>
      </c>
      <c r="D45" s="279">
        <f>C47</f>
        <v>8.9999999999999993E-3</v>
      </c>
      <c r="E45" s="280" t="s">
        <v>129</v>
      </c>
      <c r="F45" s="290"/>
      <c r="G45" s="291" t="s">
        <v>1069</v>
      </c>
    </row>
    <row r="46" spans="1:7" s="258" customFormat="1" ht="13.5" customHeight="1">
      <c r="A46" s="951" t="s">
        <v>794</v>
      </c>
      <c r="B46" s="292" t="s">
        <v>1062</v>
      </c>
      <c r="C46" s="293">
        <f>ROUND((C33+C39)*F27,0)</f>
        <v>2341</v>
      </c>
      <c r="D46" s="307"/>
      <c r="E46" s="280"/>
      <c r="F46" s="290"/>
      <c r="G46" s="291"/>
    </row>
    <row r="47" spans="1:7" s="258" customFormat="1" ht="13.5" customHeight="1">
      <c r="A47" s="951" t="s">
        <v>792</v>
      </c>
      <c r="B47" s="292" t="s">
        <v>1064</v>
      </c>
      <c r="C47" s="282">
        <f>ROUND(C40*F27,4)</f>
        <v>8.9999999999999993E-3</v>
      </c>
      <c r="D47" s="307"/>
      <c r="E47" s="280"/>
      <c r="F47" s="290"/>
      <c r="G47" s="291"/>
    </row>
    <row r="48" spans="1:7" s="258" customFormat="1" ht="13.5" customHeight="1">
      <c r="A48" s="948" t="s">
        <v>787</v>
      </c>
      <c r="B48" s="254" t="s">
        <v>122</v>
      </c>
      <c r="C48" s="306">
        <f>F30</f>
        <v>5.6000000000000001E-2</v>
      </c>
      <c r="D48" s="280" t="s">
        <v>130</v>
      </c>
      <c r="E48" s="276"/>
      <c r="F48" s="281"/>
      <c r="G48" s="278" t="s">
        <v>123</v>
      </c>
    </row>
    <row r="49" spans="1:7" ht="16.5" customHeight="1">
      <c r="A49" s="948" t="s">
        <v>788</v>
      </c>
      <c r="B49" s="254" t="s">
        <v>131</v>
      </c>
      <c r="C49" s="276">
        <f ca="1">ROUND((C33+C39+C41+C45)/(1-C40-D41-D45-C48/(1+'数据-取费表'!B42)),0)</f>
        <v>11495</v>
      </c>
      <c r="D49" s="276"/>
      <c r="E49" s="276"/>
      <c r="F49" s="308"/>
      <c r="G49" s="278" t="s">
        <v>1070</v>
      </c>
    </row>
    <row r="50" spans="1:7" s="302" customFormat="1" ht="24">
      <c r="A50" s="948" t="s">
        <v>789</v>
      </c>
      <c r="B50" s="254" t="s">
        <v>124</v>
      </c>
      <c r="C50" s="276"/>
      <c r="D50" s="276"/>
      <c r="E50" s="276"/>
      <c r="F50" s="308">
        <f>IF('数据-取费表'!B24=0,'数据-取费表'!N16,1)</f>
        <v>0.7</v>
      </c>
      <c r="G50" s="291" t="s">
        <v>125</v>
      </c>
    </row>
    <row r="51" spans="1:7" ht="16.5" customHeight="1">
      <c r="A51" s="948" t="s">
        <v>790</v>
      </c>
      <c r="B51" s="254" t="s">
        <v>132</v>
      </c>
      <c r="C51" s="276">
        <f ca="1">ROUND(C49*F50,0)</f>
        <v>8047</v>
      </c>
      <c r="D51" s="276"/>
      <c r="E51" s="276"/>
      <c r="F51" s="308"/>
      <c r="G51" s="278" t="s">
        <v>64</v>
      </c>
    </row>
    <row r="52" spans="1:7" s="252" customFormat="1" ht="16.5" thickBot="1">
      <c r="A52" s="309" t="s">
        <v>65</v>
      </c>
      <c r="B52" s="310"/>
      <c r="C52" s="311">
        <f ca="1">C31+C51</f>
        <v>40687</v>
      </c>
      <c r="D52" s="310"/>
      <c r="E52" s="310"/>
      <c r="F52" s="310"/>
      <c r="G52" s="312"/>
    </row>
    <row r="55" spans="1:7" ht="15">
      <c r="B55" s="314" t="s">
        <v>66</v>
      </c>
      <c r="C55" s="315"/>
    </row>
    <row r="56" spans="1:7">
      <c r="B56" s="317" t="s">
        <v>67</v>
      </c>
      <c r="C56" s="318">
        <f ca="1">ROUND(C51/C52,3)</f>
        <v>0.19800000000000001</v>
      </c>
    </row>
    <row r="57" spans="1:7">
      <c r="B57" s="317" t="s">
        <v>68</v>
      </c>
      <c r="C57" s="319">
        <f ca="1">1-C56</f>
        <v>0.80200000000000005</v>
      </c>
    </row>
  </sheetData>
  <mergeCells count="1">
    <mergeCell ref="G42:G44"/>
  </mergeCells>
  <phoneticPr fontId="20"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348" t="s">
        <v>156</v>
      </c>
      <c r="B1" s="3348"/>
      <c r="C1" s="3348"/>
      <c r="D1" s="3348"/>
      <c r="E1" s="3348"/>
      <c r="F1" s="3348"/>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49" t="s">
        <v>169</v>
      </c>
      <c r="B2" s="3349"/>
      <c r="C2" s="3349"/>
      <c r="D2" s="3349"/>
      <c r="E2" s="3349"/>
      <c r="F2" s="3349"/>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50"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51"/>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81"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48" t="s">
        <v>868</v>
      </c>
      <c r="B1" s="3348"/>
    </row>
    <row r="2" spans="1:6" ht="14.25" thickBot="1">
      <c r="A2" s="1057"/>
      <c r="B2" s="1057"/>
    </row>
    <row r="3" spans="1:6" ht="14.25" thickBot="1">
      <c r="A3" s="1057"/>
      <c r="B3" s="1057"/>
      <c r="C3" s="1061" t="s">
        <v>871</v>
      </c>
      <c r="D3" s="1061" t="s">
        <v>872</v>
      </c>
      <c r="E3" s="1061" t="s">
        <v>873</v>
      </c>
      <c r="F3" s="1061" t="s">
        <v>874</v>
      </c>
    </row>
    <row r="4" spans="1:6" ht="14.25" thickBot="1">
      <c r="A4" s="1059" t="s">
        <v>869</v>
      </c>
      <c r="B4" s="1060" t="s">
        <v>870</v>
      </c>
      <c r="C4" s="1061"/>
      <c r="D4" s="1061"/>
      <c r="E4" s="1061"/>
      <c r="F4" s="1061"/>
    </row>
    <row r="5" spans="1:6" ht="14.25" thickBot="1">
      <c r="A5" s="840" t="s">
        <v>875</v>
      </c>
      <c r="B5" s="841" t="s">
        <v>876</v>
      </c>
      <c r="C5" s="1062">
        <v>8.8999999999999996E-2</v>
      </c>
      <c r="D5" s="1062">
        <v>7.3999999999999996E-2</v>
      </c>
      <c r="E5" s="1062">
        <v>7.4999999999999997E-2</v>
      </c>
      <c r="F5" s="1063">
        <v>0.1</v>
      </c>
    </row>
    <row r="6" spans="1:6" ht="14.25" thickBot="1">
      <c r="A6" s="840" t="s">
        <v>212</v>
      </c>
      <c r="B6" s="834" t="s">
        <v>877</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878</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879</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880</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881</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882</v>
      </c>
      <c r="C72" s="1077"/>
      <c r="D72" s="1077"/>
      <c r="E72" s="1077"/>
      <c r="F72" s="1065">
        <v>0.05</v>
      </c>
    </row>
    <row r="73" spans="1:6" ht="14.25" thickBot="1">
      <c r="A73" s="840" t="s">
        <v>137</v>
      </c>
      <c r="B73" s="834" t="s">
        <v>883</v>
      </c>
      <c r="C73" s="1077"/>
      <c r="D73" s="1077"/>
      <c r="E73" s="1077"/>
      <c r="F73" s="1065">
        <v>0.05</v>
      </c>
    </row>
    <row r="74" spans="1:6" ht="14.25" thickBot="1">
      <c r="A74" s="840" t="s">
        <v>137</v>
      </c>
      <c r="B74" s="834" t="s">
        <v>884</v>
      </c>
      <c r="C74" s="1077"/>
      <c r="D74" s="1077"/>
      <c r="E74" s="1077"/>
      <c r="F74" s="1065">
        <v>0.05</v>
      </c>
    </row>
    <row r="75" spans="1:6" ht="14.25" thickBot="1">
      <c r="A75" s="850" t="s">
        <v>137</v>
      </c>
      <c r="B75" s="846" t="s">
        <v>885</v>
      </c>
      <c r="C75" s="1074"/>
      <c r="D75" s="1074"/>
      <c r="E75" s="1074"/>
      <c r="F75" s="1067">
        <v>0.05</v>
      </c>
    </row>
    <row r="76" spans="1:6" ht="14.25" thickBot="1">
      <c r="A76" s="840" t="s">
        <v>523</v>
      </c>
      <c r="B76" s="841" t="s">
        <v>886</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887</v>
      </c>
      <c r="C102" s="1077"/>
      <c r="D102" s="1077"/>
      <c r="E102" s="1077"/>
      <c r="F102" s="1065">
        <v>0.05</v>
      </c>
    </row>
    <row r="103" spans="1:6" ht="24.75" thickBot="1">
      <c r="A103" s="840" t="s">
        <v>523</v>
      </c>
      <c r="B103" s="834" t="s">
        <v>888</v>
      </c>
      <c r="C103" s="1077"/>
      <c r="D103" s="1077"/>
      <c r="E103" s="1077"/>
      <c r="F103" s="1065">
        <v>0.05</v>
      </c>
    </row>
    <row r="104" spans="1:6" ht="14.25" thickBot="1">
      <c r="A104" s="840" t="s">
        <v>523</v>
      </c>
      <c r="B104" s="834" t="s">
        <v>889</v>
      </c>
      <c r="C104" s="1077"/>
      <c r="D104" s="1077"/>
      <c r="E104" s="1077"/>
      <c r="F104" s="1065">
        <v>0.05</v>
      </c>
    </row>
    <row r="105" spans="1:6" ht="14.25" thickBot="1">
      <c r="A105" s="840" t="s">
        <v>523</v>
      </c>
      <c r="B105" s="834" t="s">
        <v>890</v>
      </c>
      <c r="C105" s="1077"/>
      <c r="D105" s="1077"/>
      <c r="E105" s="1077"/>
      <c r="F105" s="1065">
        <v>0.05</v>
      </c>
    </row>
    <row r="106" spans="1:6" ht="14.25" thickBot="1">
      <c r="A106" s="840" t="s">
        <v>523</v>
      </c>
      <c r="B106" s="834" t="s">
        <v>891</v>
      </c>
      <c r="C106" s="1077"/>
      <c r="D106" s="1077"/>
      <c r="E106" s="1077"/>
      <c r="F106" s="1065">
        <v>0.05</v>
      </c>
    </row>
    <row r="107" spans="1:6" ht="24.75" thickBot="1">
      <c r="A107" s="840" t="s">
        <v>523</v>
      </c>
      <c r="B107" s="834" t="s">
        <v>892</v>
      </c>
      <c r="C107" s="1077"/>
      <c r="D107" s="1077"/>
      <c r="E107" s="1077"/>
      <c r="F107" s="1065">
        <v>0.05</v>
      </c>
    </row>
    <row r="108" spans="1:6" ht="24.75" thickBot="1">
      <c r="A108" s="840" t="s">
        <v>523</v>
      </c>
      <c r="B108" s="834" t="s">
        <v>893</v>
      </c>
      <c r="C108" s="1077"/>
      <c r="D108" s="1077"/>
      <c r="E108" s="1077"/>
      <c r="F108" s="1065">
        <v>0.05</v>
      </c>
    </row>
    <row r="109" spans="1:6" ht="24.75" thickBot="1">
      <c r="A109" s="850" t="s">
        <v>523</v>
      </c>
      <c r="B109" s="846" t="s">
        <v>894</v>
      </c>
      <c r="C109" s="1074"/>
      <c r="D109" s="1074"/>
      <c r="E109" s="1074"/>
      <c r="F109" s="1067">
        <v>0.05</v>
      </c>
    </row>
    <row r="110" spans="1:6" ht="14.25" thickBot="1">
      <c r="A110" s="840" t="s">
        <v>56</v>
      </c>
      <c r="B110" s="841" t="s">
        <v>895</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896</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897</v>
      </c>
      <c r="C138" s="1064">
        <v>0.105</v>
      </c>
      <c r="D138" s="1064">
        <v>0.125</v>
      </c>
      <c r="E138" s="1064">
        <v>0.112</v>
      </c>
      <c r="F138" s="1076"/>
    </row>
    <row r="139" spans="1:6" ht="14.25" thickBot="1">
      <c r="A139" s="840" t="s">
        <v>56</v>
      </c>
      <c r="B139" s="834" t="s">
        <v>898</v>
      </c>
      <c r="C139" s="1064">
        <v>0.127</v>
      </c>
      <c r="D139" s="1064">
        <v>0.127</v>
      </c>
      <c r="E139" s="1064">
        <v>0.122</v>
      </c>
      <c r="F139" s="1065">
        <v>0.13</v>
      </c>
    </row>
    <row r="140" spans="1:6" ht="14.25" thickBot="1">
      <c r="A140" s="840" t="s">
        <v>56</v>
      </c>
      <c r="B140" s="834" t="s">
        <v>899</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900</v>
      </c>
      <c r="C144" s="1069">
        <v>0.126</v>
      </c>
      <c r="D144" s="1069">
        <v>0.126</v>
      </c>
      <c r="E144" s="1069">
        <v>0.121</v>
      </c>
      <c r="F144" s="1076"/>
    </row>
    <row r="145" spans="1:6" ht="14.25" thickBot="1">
      <c r="A145" s="850" t="s">
        <v>56</v>
      </c>
      <c r="B145" s="1070" t="s">
        <v>901</v>
      </c>
      <c r="C145" s="1078"/>
      <c r="D145" s="1078"/>
      <c r="E145" s="1078"/>
      <c r="F145" s="1071">
        <v>0.05</v>
      </c>
    </row>
    <row r="146" spans="1:6" ht="24.75" thickBot="1">
      <c r="A146" s="1072" t="s">
        <v>56</v>
      </c>
      <c r="B146" s="844" t="s">
        <v>902</v>
      </c>
      <c r="C146" s="1077"/>
      <c r="D146" s="1077"/>
      <c r="E146" s="1077"/>
      <c r="F146" s="1073">
        <v>0.05</v>
      </c>
    </row>
    <row r="147" spans="1:6" ht="24.75" thickBot="1">
      <c r="A147" s="840" t="s">
        <v>56</v>
      </c>
      <c r="B147" s="834" t="s">
        <v>903</v>
      </c>
      <c r="C147" s="1077"/>
      <c r="D147" s="1077"/>
      <c r="E147" s="1077"/>
      <c r="F147" s="1065">
        <v>0.05</v>
      </c>
    </row>
    <row r="148" spans="1:6" ht="24.75" thickBot="1">
      <c r="A148" s="840" t="s">
        <v>56</v>
      </c>
      <c r="B148" s="834" t="s">
        <v>904</v>
      </c>
      <c r="C148" s="1077"/>
      <c r="D148" s="1077"/>
      <c r="E148" s="1077"/>
      <c r="F148" s="1065">
        <v>0.05</v>
      </c>
    </row>
    <row r="149" spans="1:6" ht="24.75" thickBot="1">
      <c r="A149" s="840" t="s">
        <v>56</v>
      </c>
      <c r="B149" s="834" t="s">
        <v>905</v>
      </c>
      <c r="C149" s="1077"/>
      <c r="D149" s="1077"/>
      <c r="E149" s="1077"/>
      <c r="F149" s="1065">
        <v>0.05</v>
      </c>
    </row>
    <row r="150" spans="1:6" ht="24.75" thickBot="1">
      <c r="A150" s="840" t="s">
        <v>56</v>
      </c>
      <c r="B150" s="834" t="s">
        <v>906</v>
      </c>
      <c r="C150" s="1077"/>
      <c r="D150" s="1077"/>
      <c r="E150" s="1077"/>
      <c r="F150" s="1065">
        <v>0.05</v>
      </c>
    </row>
    <row r="151" spans="1:6" ht="24.75" thickBot="1">
      <c r="A151" s="840" t="s">
        <v>56</v>
      </c>
      <c r="B151" s="834" t="s">
        <v>907</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908</v>
      </c>
      <c r="C153" s="1077"/>
      <c r="D153" s="1077"/>
      <c r="E153" s="1077"/>
      <c r="F153" s="1065">
        <v>0.05</v>
      </c>
    </row>
    <row r="154" spans="1:6" ht="14.25" thickBot="1">
      <c r="A154" s="840" t="s">
        <v>56</v>
      </c>
      <c r="B154" s="834" t="s">
        <v>909</v>
      </c>
      <c r="C154" s="1077"/>
      <c r="D154" s="1077"/>
      <c r="E154" s="1077"/>
      <c r="F154" s="1065">
        <v>0.05</v>
      </c>
    </row>
    <row r="155" spans="1:6" ht="24.75" thickBot="1">
      <c r="A155" s="840" t="s">
        <v>56</v>
      </c>
      <c r="B155" s="834" t="s">
        <v>910</v>
      </c>
      <c r="C155" s="1077"/>
      <c r="D155" s="1077"/>
      <c r="E155" s="1077"/>
      <c r="F155" s="1065">
        <v>0.05</v>
      </c>
    </row>
    <row r="156" spans="1:6" ht="24.75" thickBot="1">
      <c r="A156" s="840" t="s">
        <v>56</v>
      </c>
      <c r="B156" s="834" t="s">
        <v>911</v>
      </c>
      <c r="C156" s="1077"/>
      <c r="D156" s="1077"/>
      <c r="E156" s="1077"/>
      <c r="F156" s="1065">
        <v>0.05</v>
      </c>
    </row>
    <row r="157" spans="1:6" ht="14.25" thickBot="1">
      <c r="A157" s="850" t="s">
        <v>56</v>
      </c>
      <c r="B157" s="846" t="s">
        <v>912</v>
      </c>
      <c r="C157" s="1074"/>
      <c r="D157" s="1074"/>
      <c r="E157" s="1074"/>
      <c r="F157" s="1067">
        <v>0.05</v>
      </c>
    </row>
    <row r="158" spans="1:6" ht="14.25" thickBot="1">
      <c r="A158" s="840" t="s">
        <v>526</v>
      </c>
      <c r="B158" s="841" t="s">
        <v>913</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914</v>
      </c>
      <c r="C171" s="1064">
        <v>0.127</v>
      </c>
      <c r="D171" s="1064">
        <v>0.126</v>
      </c>
      <c r="E171" s="1064">
        <v>0.126</v>
      </c>
      <c r="F171" s="1065">
        <v>0.11799999999999999</v>
      </c>
    </row>
    <row r="172" spans="1:6" ht="14.25" thickBot="1">
      <c r="A172" s="840" t="s">
        <v>526</v>
      </c>
      <c r="B172" s="834" t="s">
        <v>915</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916</v>
      </c>
      <c r="C174" s="1064">
        <v>0.13</v>
      </c>
      <c r="D174" s="1064">
        <v>0.13</v>
      </c>
      <c r="E174" s="1064">
        <v>0.13</v>
      </c>
      <c r="F174" s="1065">
        <v>0.13</v>
      </c>
    </row>
    <row r="175" spans="1:6" ht="14.25" thickBot="1">
      <c r="A175" s="840" t="s">
        <v>526</v>
      </c>
      <c r="B175" s="834" t="s">
        <v>917</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918</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919</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920</v>
      </c>
      <c r="C185" s="1064">
        <v>0.127</v>
      </c>
      <c r="D185" s="1064">
        <v>0.127</v>
      </c>
      <c r="E185" s="1064">
        <v>0.128</v>
      </c>
      <c r="F185" s="1065">
        <v>0.13</v>
      </c>
    </row>
    <row r="186" spans="1:6" ht="24.75" thickBot="1">
      <c r="A186" s="840" t="s">
        <v>526</v>
      </c>
      <c r="B186" s="834" t="s">
        <v>921</v>
      </c>
      <c r="C186" s="1077"/>
      <c r="D186" s="1077"/>
      <c r="E186" s="1077"/>
      <c r="F186" s="1065">
        <v>0.05</v>
      </c>
    </row>
    <row r="187" spans="1:6" ht="14.25" thickBot="1">
      <c r="A187" s="840" t="s">
        <v>526</v>
      </c>
      <c r="B187" s="834" t="s">
        <v>922</v>
      </c>
      <c r="C187" s="1077"/>
      <c r="D187" s="1077"/>
      <c r="E187" s="1077"/>
      <c r="F187" s="1065">
        <v>0.05</v>
      </c>
    </row>
    <row r="188" spans="1:6" ht="14.25" thickBot="1">
      <c r="A188" s="840" t="s">
        <v>526</v>
      </c>
      <c r="B188" s="834" t="s">
        <v>923</v>
      </c>
      <c r="C188" s="1077"/>
      <c r="D188" s="1077"/>
      <c r="E188" s="1077"/>
      <c r="F188" s="1065">
        <v>0.05</v>
      </c>
    </row>
    <row r="189" spans="1:6" ht="24.75" thickBot="1">
      <c r="A189" s="840" t="s">
        <v>526</v>
      </c>
      <c r="B189" s="834" t="s">
        <v>924</v>
      </c>
      <c r="C189" s="1077"/>
      <c r="D189" s="1077"/>
      <c r="E189" s="1077"/>
      <c r="F189" s="1065">
        <v>0.05</v>
      </c>
    </row>
    <row r="190" spans="1:6" ht="24.75" thickBot="1">
      <c r="A190" s="840" t="s">
        <v>526</v>
      </c>
      <c r="B190" s="834" t="s">
        <v>925</v>
      </c>
      <c r="C190" s="1077"/>
      <c r="D190" s="1077"/>
      <c r="E190" s="1077"/>
      <c r="F190" s="1065">
        <v>0.05</v>
      </c>
    </row>
    <row r="191" spans="1:6" ht="24.75" thickBot="1">
      <c r="A191" s="840" t="s">
        <v>526</v>
      </c>
      <c r="B191" s="834" t="s">
        <v>926</v>
      </c>
      <c r="C191" s="1077"/>
      <c r="D191" s="1077"/>
      <c r="E191" s="1077"/>
      <c r="F191" s="1065">
        <v>0.05</v>
      </c>
    </row>
    <row r="192" spans="1:6" ht="24.75" thickBot="1">
      <c r="A192" s="840" t="s">
        <v>526</v>
      </c>
      <c r="B192" s="834" t="s">
        <v>927</v>
      </c>
      <c r="C192" s="1077"/>
      <c r="D192" s="1077"/>
      <c r="E192" s="1077"/>
      <c r="F192" s="1065">
        <v>0.05</v>
      </c>
    </row>
    <row r="193" spans="1:6" ht="24.75" thickBot="1">
      <c r="A193" s="840" t="s">
        <v>526</v>
      </c>
      <c r="B193" s="834" t="s">
        <v>928</v>
      </c>
      <c r="C193" s="1077"/>
      <c r="D193" s="1077"/>
      <c r="E193" s="1077"/>
      <c r="F193" s="1065">
        <v>0.05</v>
      </c>
    </row>
    <row r="194" spans="1:6" ht="24.75" thickBot="1">
      <c r="A194" s="840" t="s">
        <v>526</v>
      </c>
      <c r="B194" s="834" t="s">
        <v>929</v>
      </c>
      <c r="C194" s="1077"/>
      <c r="D194" s="1077"/>
      <c r="E194" s="1077"/>
      <c r="F194" s="1065">
        <v>0.05</v>
      </c>
    </row>
    <row r="195" spans="1:6" ht="14.25" thickBot="1">
      <c r="A195" s="840" t="s">
        <v>526</v>
      </c>
      <c r="B195" s="834" t="s">
        <v>930</v>
      </c>
      <c r="C195" s="1077"/>
      <c r="D195" s="1077"/>
      <c r="E195" s="1077"/>
      <c r="F195" s="1065">
        <v>0.05</v>
      </c>
    </row>
    <row r="196" spans="1:6" ht="24.75" thickBot="1">
      <c r="A196" s="840" t="s">
        <v>526</v>
      </c>
      <c r="B196" s="834" t="s">
        <v>931</v>
      </c>
      <c r="C196" s="1077"/>
      <c r="D196" s="1077"/>
      <c r="E196" s="1077"/>
      <c r="F196" s="1065">
        <v>0.05</v>
      </c>
    </row>
    <row r="197" spans="1:6" ht="24.75" thickBot="1">
      <c r="A197" s="840" t="s">
        <v>526</v>
      </c>
      <c r="B197" s="834" t="s">
        <v>932</v>
      </c>
      <c r="C197" s="1077"/>
      <c r="D197" s="1077"/>
      <c r="E197" s="1077"/>
      <c r="F197" s="1065">
        <v>0.05</v>
      </c>
    </row>
    <row r="198" spans="1:6" ht="24.75" thickBot="1">
      <c r="A198" s="840" t="s">
        <v>526</v>
      </c>
      <c r="B198" s="834" t="s">
        <v>933</v>
      </c>
      <c r="C198" s="1077"/>
      <c r="D198" s="1077"/>
      <c r="E198" s="1077"/>
      <c r="F198" s="1065">
        <v>0.05</v>
      </c>
    </row>
    <row r="199" spans="1:6" ht="24.75" thickBot="1">
      <c r="A199" s="840" t="s">
        <v>526</v>
      </c>
      <c r="B199" s="834" t="s">
        <v>934</v>
      </c>
      <c r="C199" s="1077"/>
      <c r="D199" s="1077"/>
      <c r="E199" s="1077"/>
      <c r="F199" s="1065">
        <v>0.05</v>
      </c>
    </row>
    <row r="200" spans="1:6" ht="24.75" thickBot="1">
      <c r="A200" s="840" t="s">
        <v>526</v>
      </c>
      <c r="B200" s="834" t="s">
        <v>935</v>
      </c>
      <c r="C200" s="1077"/>
      <c r="D200" s="1077"/>
      <c r="E200" s="1077"/>
      <c r="F200" s="1065">
        <v>0.05</v>
      </c>
    </row>
    <row r="201" spans="1:6" ht="24.75" thickBot="1">
      <c r="A201" s="840" t="s">
        <v>526</v>
      </c>
      <c r="B201" s="834" t="s">
        <v>936</v>
      </c>
      <c r="C201" s="1077"/>
      <c r="D201" s="1077"/>
      <c r="E201" s="1077"/>
      <c r="F201" s="1065">
        <v>0.05</v>
      </c>
    </row>
    <row r="202" spans="1:6" ht="24.75" thickBot="1">
      <c r="A202" s="840" t="s">
        <v>526</v>
      </c>
      <c r="B202" s="834" t="s">
        <v>937</v>
      </c>
      <c r="C202" s="1077"/>
      <c r="D202" s="1077"/>
      <c r="E202" s="1077"/>
      <c r="F202" s="1065">
        <v>0.05</v>
      </c>
    </row>
    <row r="203" spans="1:6" ht="24.75" thickBot="1">
      <c r="A203" s="840" t="s">
        <v>526</v>
      </c>
      <c r="B203" s="834" t="s">
        <v>938</v>
      </c>
      <c r="C203" s="1077"/>
      <c r="D203" s="1077"/>
      <c r="E203" s="1077"/>
      <c r="F203" s="1065">
        <v>0.05</v>
      </c>
    </row>
    <row r="204" spans="1:6" ht="14.25" thickBot="1">
      <c r="A204" s="840" t="s">
        <v>526</v>
      </c>
      <c r="B204" s="834" t="s">
        <v>939</v>
      </c>
      <c r="C204" s="1077"/>
      <c r="D204" s="1077"/>
      <c r="E204" s="1077"/>
      <c r="F204" s="1065">
        <v>0.05</v>
      </c>
    </row>
    <row r="205" spans="1:6" ht="14.25" thickBot="1">
      <c r="A205" s="850" t="s">
        <v>526</v>
      </c>
      <c r="B205" s="846" t="s">
        <v>940</v>
      </c>
      <c r="C205" s="1074"/>
      <c r="D205" s="1074"/>
      <c r="E205" s="1074"/>
      <c r="F205" s="1067">
        <v>0.05</v>
      </c>
    </row>
    <row r="206" spans="1:6" ht="14.25" thickBot="1">
      <c r="A206" s="840" t="s">
        <v>528</v>
      </c>
      <c r="B206" s="841" t="s">
        <v>941</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942</v>
      </c>
      <c r="C210" s="1064">
        <v>0.15</v>
      </c>
      <c r="D210" s="1064">
        <v>0.15</v>
      </c>
      <c r="E210" s="1064">
        <v>0.15</v>
      </c>
      <c r="F210" s="1065">
        <v>0.13800000000000001</v>
      </c>
    </row>
    <row r="211" spans="1:6" ht="14.25" thickBot="1">
      <c r="A211" s="840" t="s">
        <v>528</v>
      </c>
      <c r="B211" s="834" t="s">
        <v>943</v>
      </c>
      <c r="C211" s="1064">
        <v>0.13700000000000001</v>
      </c>
      <c r="D211" s="1064">
        <v>0.13500000000000001</v>
      </c>
      <c r="E211" s="1064">
        <v>0.13600000000000001</v>
      </c>
      <c r="F211" s="1065">
        <v>0.1</v>
      </c>
    </row>
    <row r="212" spans="1:6" ht="14.25" thickBot="1">
      <c r="A212" s="840" t="s">
        <v>528</v>
      </c>
      <c r="B212" s="834" t="s">
        <v>944</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945</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946</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947</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948</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949</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950</v>
      </c>
      <c r="C231" s="1064">
        <v>0.128</v>
      </c>
      <c r="D231" s="1064">
        <v>0.125</v>
      </c>
      <c r="E231" s="1064">
        <v>0.13200000000000001</v>
      </c>
      <c r="F231" s="1076"/>
    </row>
    <row r="232" spans="1:6" ht="14.25" thickBot="1">
      <c r="A232" s="840" t="s">
        <v>528</v>
      </c>
      <c r="B232" s="834" t="s">
        <v>951</v>
      </c>
      <c r="C232" s="1064">
        <v>0.14499999999999999</v>
      </c>
      <c r="D232" s="1064">
        <v>0.14399999999999999</v>
      </c>
      <c r="E232" s="1064">
        <v>0.14599999999999999</v>
      </c>
      <c r="F232" s="1065">
        <v>0.13800000000000001</v>
      </c>
    </row>
    <row r="233" spans="1:6" ht="14.25" thickBot="1">
      <c r="A233" s="840" t="s">
        <v>528</v>
      </c>
      <c r="B233" s="834" t="s">
        <v>952</v>
      </c>
      <c r="C233" s="1064">
        <v>0.14499999999999999</v>
      </c>
      <c r="D233" s="1064">
        <v>0.14299999999999999</v>
      </c>
      <c r="E233" s="1064">
        <v>0.14199999999999999</v>
      </c>
      <c r="F233" s="1076"/>
    </row>
    <row r="234" spans="1:6" ht="14.25" thickBot="1">
      <c r="A234" s="840" t="s">
        <v>528</v>
      </c>
      <c r="B234" s="834" t="s">
        <v>953</v>
      </c>
      <c r="C234" s="1064">
        <v>0.14000000000000001</v>
      </c>
      <c r="D234" s="1064">
        <v>0.14000000000000001</v>
      </c>
      <c r="E234" s="1064">
        <v>0.14399999999999999</v>
      </c>
      <c r="F234" s="1076"/>
    </row>
    <row r="235" spans="1:6" ht="14.25" thickBot="1">
      <c r="A235" s="840" t="s">
        <v>528</v>
      </c>
      <c r="B235" s="834" t="s">
        <v>954</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955</v>
      </c>
      <c r="C237" s="1077"/>
      <c r="D237" s="1077"/>
      <c r="E237" s="1077"/>
      <c r="F237" s="1065">
        <v>0.05</v>
      </c>
    </row>
    <row r="238" spans="1:6" ht="24.75" thickBot="1">
      <c r="A238" s="840" t="s">
        <v>528</v>
      </c>
      <c r="B238" s="834" t="s">
        <v>956</v>
      </c>
      <c r="C238" s="1077"/>
      <c r="D238" s="1077"/>
      <c r="E238" s="1077"/>
      <c r="F238" s="1065">
        <v>0.05</v>
      </c>
    </row>
    <row r="239" spans="1:6" ht="24.75" thickBot="1">
      <c r="A239" s="840" t="s">
        <v>528</v>
      </c>
      <c r="B239" s="834" t="s">
        <v>957</v>
      </c>
      <c r="C239" s="1077"/>
      <c r="D239" s="1077"/>
      <c r="E239" s="1077"/>
      <c r="F239" s="1065">
        <v>0.05</v>
      </c>
    </row>
    <row r="240" spans="1:6" ht="24.75" thickBot="1">
      <c r="A240" s="840" t="s">
        <v>528</v>
      </c>
      <c r="B240" s="834" t="s">
        <v>958</v>
      </c>
      <c r="C240" s="1077"/>
      <c r="D240" s="1077"/>
      <c r="E240" s="1077"/>
      <c r="F240" s="1065">
        <v>0.05</v>
      </c>
    </row>
    <row r="241" spans="1:6" ht="24.75" thickBot="1">
      <c r="A241" s="840" t="s">
        <v>528</v>
      </c>
      <c r="B241" s="834" t="s">
        <v>959</v>
      </c>
      <c r="C241" s="1077"/>
      <c r="D241" s="1077"/>
      <c r="E241" s="1077"/>
      <c r="F241" s="1065">
        <v>0.05</v>
      </c>
    </row>
    <row r="242" spans="1:6" ht="24.75" thickBot="1">
      <c r="A242" s="840" t="s">
        <v>528</v>
      </c>
      <c r="B242" s="834" t="s">
        <v>960</v>
      </c>
      <c r="C242" s="1077"/>
      <c r="D242" s="1077"/>
      <c r="E242" s="1077"/>
      <c r="F242" s="1065">
        <v>0.05</v>
      </c>
    </row>
    <row r="243" spans="1:6" ht="24.75" thickBot="1">
      <c r="A243" s="840" t="s">
        <v>528</v>
      </c>
      <c r="B243" s="834" t="s">
        <v>961</v>
      </c>
      <c r="C243" s="1077"/>
      <c r="D243" s="1077"/>
      <c r="E243" s="1077"/>
      <c r="F243" s="1065">
        <v>0.05</v>
      </c>
    </row>
    <row r="244" spans="1:6" ht="24.75" thickBot="1">
      <c r="A244" s="850" t="s">
        <v>528</v>
      </c>
      <c r="B244" s="846" t="s">
        <v>962</v>
      </c>
      <c r="C244" s="1074"/>
      <c r="D244" s="1074"/>
      <c r="E244" s="1074"/>
      <c r="F244" s="1067">
        <v>0.05</v>
      </c>
    </row>
    <row r="245" spans="1:6" ht="14.25" thickBot="1">
      <c r="A245" s="840" t="s">
        <v>530</v>
      </c>
      <c r="B245" s="841" t="s">
        <v>963</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964</v>
      </c>
      <c r="C247" s="1064">
        <v>0.15</v>
      </c>
      <c r="D247" s="1064">
        <v>0.15</v>
      </c>
      <c r="E247" s="1064">
        <v>0.15</v>
      </c>
      <c r="F247" s="1065">
        <v>0.15</v>
      </c>
    </row>
    <row r="248" spans="1:6" ht="14.25" thickBot="1">
      <c r="A248" s="840" t="s">
        <v>530</v>
      </c>
      <c r="B248" s="834" t="s">
        <v>965</v>
      </c>
      <c r="C248" s="1064">
        <v>0.15</v>
      </c>
      <c r="D248" s="1064">
        <v>0.15</v>
      </c>
      <c r="E248" s="1064">
        <v>0.15</v>
      </c>
      <c r="F248" s="1065">
        <v>0.14000000000000001</v>
      </c>
    </row>
    <row r="249" spans="1:6" ht="14.25" thickBot="1">
      <c r="A249" s="840" t="s">
        <v>530</v>
      </c>
      <c r="B249" s="834" t="s">
        <v>966</v>
      </c>
      <c r="C249" s="1064">
        <v>0.15</v>
      </c>
      <c r="D249" s="1064">
        <v>0.14899999999999999</v>
      </c>
      <c r="E249" s="1064">
        <v>0.15</v>
      </c>
      <c r="F249" s="1065">
        <v>0.1</v>
      </c>
    </row>
    <row r="250" spans="1:6" ht="14.25" thickBot="1">
      <c r="A250" s="840" t="s">
        <v>530</v>
      </c>
      <c r="B250" s="834" t="s">
        <v>967</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968</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969</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970</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971</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972</v>
      </c>
      <c r="C273" s="1064">
        <v>0.14199999999999999</v>
      </c>
      <c r="D273" s="1064">
        <v>0.14299999999999999</v>
      </c>
      <c r="E273" s="1064">
        <v>0.15</v>
      </c>
      <c r="F273" s="1065">
        <v>0.1</v>
      </c>
    </row>
    <row r="274" spans="1:6" ht="14.25" thickBot="1">
      <c r="A274" s="840" t="s">
        <v>530</v>
      </c>
      <c r="B274" s="834" t="s">
        <v>973</v>
      </c>
      <c r="C274" s="1064">
        <v>0.14799999999999999</v>
      </c>
      <c r="D274" s="1064">
        <v>0.14799999999999999</v>
      </c>
      <c r="E274" s="1064">
        <v>0.15</v>
      </c>
      <c r="F274" s="1065">
        <v>6.7000000000000004E-2</v>
      </c>
    </row>
    <row r="275" spans="1:6" ht="14.25" thickBot="1">
      <c r="A275" s="840" t="s">
        <v>530</v>
      </c>
      <c r="B275" s="834" t="s">
        <v>974</v>
      </c>
      <c r="C275" s="1064">
        <v>0.15</v>
      </c>
      <c r="D275" s="1064">
        <v>0.15</v>
      </c>
      <c r="E275" s="1064">
        <v>0.15</v>
      </c>
      <c r="F275" s="1065">
        <v>0.15</v>
      </c>
    </row>
    <row r="276" spans="1:6" ht="14.25" thickBot="1">
      <c r="A276" s="840" t="s">
        <v>530</v>
      </c>
      <c r="B276" s="834" t="s">
        <v>975</v>
      </c>
      <c r="C276" s="1064">
        <v>0.14499999999999999</v>
      </c>
      <c r="D276" s="1064">
        <v>0.14299999999999999</v>
      </c>
      <c r="E276" s="1064">
        <v>0.15</v>
      </c>
      <c r="F276" s="1065">
        <v>5.8999999999999997E-2</v>
      </c>
    </row>
    <row r="277" spans="1:6" ht="14.25" thickBot="1">
      <c r="A277" s="840" t="s">
        <v>530</v>
      </c>
      <c r="B277" s="834" t="s">
        <v>976</v>
      </c>
      <c r="C277" s="1064">
        <v>0.15</v>
      </c>
      <c r="D277" s="1064">
        <v>0.15</v>
      </c>
      <c r="E277" s="1064">
        <v>0.15</v>
      </c>
      <c r="F277" s="1065">
        <v>0.121</v>
      </c>
    </row>
    <row r="278" spans="1:6" ht="14.25" thickBot="1">
      <c r="A278" s="840" t="s">
        <v>530</v>
      </c>
      <c r="B278" s="834" t="s">
        <v>977</v>
      </c>
      <c r="C278" s="1064">
        <v>0.15</v>
      </c>
      <c r="D278" s="1064">
        <v>0.15</v>
      </c>
      <c r="E278" s="1064">
        <v>0.15</v>
      </c>
      <c r="F278" s="1065">
        <v>0.13800000000000001</v>
      </c>
    </row>
    <row r="279" spans="1:6" ht="24.75" thickBot="1">
      <c r="A279" s="840" t="s">
        <v>530</v>
      </c>
      <c r="B279" s="834" t="s">
        <v>978</v>
      </c>
      <c r="C279" s="1077"/>
      <c r="D279" s="1077"/>
      <c r="E279" s="1077"/>
      <c r="F279" s="1065">
        <v>0.05</v>
      </c>
    </row>
    <row r="280" spans="1:6" ht="24.75" thickBot="1">
      <c r="A280" s="840" t="s">
        <v>530</v>
      </c>
      <c r="B280" s="834" t="s">
        <v>979</v>
      </c>
      <c r="C280" s="1077"/>
      <c r="D280" s="1077"/>
      <c r="E280" s="1077"/>
      <c r="F280" s="1065">
        <v>0.05</v>
      </c>
    </row>
    <row r="281" spans="1:6" ht="24.75" thickBot="1">
      <c r="A281" s="840" t="s">
        <v>530</v>
      </c>
      <c r="B281" s="834" t="s">
        <v>980</v>
      </c>
      <c r="C281" s="1077"/>
      <c r="D281" s="1077"/>
      <c r="E281" s="1077"/>
      <c r="F281" s="1065">
        <v>0.05</v>
      </c>
    </row>
    <row r="282" spans="1:6" ht="24.75" thickBot="1">
      <c r="A282" s="840" t="s">
        <v>530</v>
      </c>
      <c r="B282" s="834" t="s">
        <v>981</v>
      </c>
      <c r="C282" s="1077"/>
      <c r="D282" s="1077"/>
      <c r="E282" s="1077"/>
      <c r="F282" s="1065">
        <v>0.05</v>
      </c>
    </row>
    <row r="283" spans="1:6" ht="24.75" thickBot="1">
      <c r="A283" s="840" t="s">
        <v>530</v>
      </c>
      <c r="B283" s="834" t="s">
        <v>982</v>
      </c>
      <c r="C283" s="1077"/>
      <c r="D283" s="1077"/>
      <c r="E283" s="1077"/>
      <c r="F283" s="1065">
        <v>0.05</v>
      </c>
    </row>
    <row r="284" spans="1:6" ht="24.75" thickBot="1">
      <c r="A284" s="840" t="s">
        <v>530</v>
      </c>
      <c r="B284" s="834" t="s">
        <v>983</v>
      </c>
      <c r="C284" s="1077"/>
      <c r="D284" s="1077"/>
      <c r="E284" s="1077"/>
      <c r="F284" s="1065">
        <v>0.05</v>
      </c>
    </row>
    <row r="285" spans="1:6" ht="24.75" thickBot="1">
      <c r="A285" s="840" t="s">
        <v>530</v>
      </c>
      <c r="B285" s="834" t="s">
        <v>984</v>
      </c>
      <c r="C285" s="1077"/>
      <c r="D285" s="1077"/>
      <c r="E285" s="1077"/>
      <c r="F285" s="1065">
        <v>0.05</v>
      </c>
    </row>
    <row r="286" spans="1:6" ht="24.75" thickBot="1">
      <c r="A286" s="840" t="s">
        <v>530</v>
      </c>
      <c r="B286" s="834" t="s">
        <v>985</v>
      </c>
      <c r="C286" s="1077"/>
      <c r="D286" s="1077"/>
      <c r="E286" s="1077"/>
      <c r="F286" s="1065">
        <v>0.05</v>
      </c>
    </row>
    <row r="287" spans="1:6" ht="24.75" thickBot="1">
      <c r="A287" s="840" t="s">
        <v>530</v>
      </c>
      <c r="B287" s="834" t="s">
        <v>986</v>
      </c>
      <c r="C287" s="1077"/>
      <c r="D287" s="1077"/>
      <c r="E287" s="1077"/>
      <c r="F287" s="1065">
        <v>0.05</v>
      </c>
    </row>
    <row r="288" spans="1:6" ht="24.75" thickBot="1">
      <c r="A288" s="840" t="s">
        <v>530</v>
      </c>
      <c r="B288" s="834" t="s">
        <v>987</v>
      </c>
      <c r="C288" s="1077"/>
      <c r="D288" s="1077"/>
      <c r="E288" s="1077"/>
      <c r="F288" s="1065">
        <v>0.05</v>
      </c>
    </row>
    <row r="289" spans="1:6" ht="24.75" thickBot="1">
      <c r="A289" s="850" t="s">
        <v>530</v>
      </c>
      <c r="B289" s="846" t="s">
        <v>988</v>
      </c>
      <c r="C289" s="1074"/>
      <c r="D289" s="1074"/>
      <c r="E289" s="1074"/>
      <c r="F289" s="1067">
        <v>0.05</v>
      </c>
    </row>
    <row r="290" spans="1:6" ht="14.25" thickBot="1">
      <c r="A290" s="840" t="s">
        <v>534</v>
      </c>
      <c r="B290" s="841" t="s">
        <v>989</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990</v>
      </c>
      <c r="C292" s="1064">
        <v>0.15</v>
      </c>
      <c r="D292" s="1064">
        <v>0.15</v>
      </c>
      <c r="E292" s="1064">
        <v>0.15</v>
      </c>
      <c r="F292" s="1065">
        <v>0.14699999999999999</v>
      </c>
    </row>
    <row r="293" spans="1:6" ht="14.25" thickBot="1">
      <c r="A293" s="840" t="s">
        <v>534</v>
      </c>
      <c r="B293" s="834" t="s">
        <v>991</v>
      </c>
      <c r="C293" s="1077"/>
      <c r="D293" s="1077"/>
      <c r="E293" s="1077"/>
      <c r="F293" s="1065">
        <v>0.1</v>
      </c>
    </row>
    <row r="294" spans="1:6" ht="14.25" thickBot="1">
      <c r="A294" s="840" t="s">
        <v>534</v>
      </c>
      <c r="B294" s="834" t="s">
        <v>992</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993</v>
      </c>
      <c r="C296" s="1064">
        <v>0.15</v>
      </c>
      <c r="D296" s="1064">
        <v>0.15</v>
      </c>
      <c r="E296" s="1064">
        <v>0.15</v>
      </c>
      <c r="F296" s="1065">
        <v>0.15</v>
      </c>
    </row>
    <row r="297" spans="1:6" ht="14.25" thickBot="1">
      <c r="A297" s="840" t="s">
        <v>534</v>
      </c>
      <c r="B297" s="834" t="s">
        <v>994</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995</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996</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997</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998</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999</v>
      </c>
      <c r="C310" s="1064">
        <v>0.15</v>
      </c>
      <c r="D310" s="1064">
        <v>0.15</v>
      </c>
      <c r="E310" s="1064">
        <v>0.15</v>
      </c>
      <c r="F310" s="1065">
        <v>0.13700000000000001</v>
      </c>
    </row>
    <row r="311" spans="1:6" ht="14.25" thickBot="1">
      <c r="A311" s="840" t="s">
        <v>534</v>
      </c>
      <c r="B311" s="834" t="s">
        <v>1000</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1001</v>
      </c>
      <c r="C313" s="1064">
        <v>0.15</v>
      </c>
      <c r="D313" s="1064">
        <v>0.15</v>
      </c>
      <c r="E313" s="1064">
        <v>0.15</v>
      </c>
      <c r="F313" s="1065">
        <v>0.15</v>
      </c>
    </row>
    <row r="314" spans="1:6" ht="24.75" thickBot="1">
      <c r="A314" s="840" t="s">
        <v>534</v>
      </c>
      <c r="B314" s="834" t="s">
        <v>1002</v>
      </c>
      <c r="C314" s="1077"/>
      <c r="D314" s="1077"/>
      <c r="E314" s="1077"/>
      <c r="F314" s="1065">
        <v>0.05</v>
      </c>
    </row>
    <row r="315" spans="1:6" ht="24.75" thickBot="1">
      <c r="A315" s="840" t="s">
        <v>534</v>
      </c>
      <c r="B315" s="834" t="s">
        <v>1003</v>
      </c>
      <c r="C315" s="1077"/>
      <c r="D315" s="1077"/>
      <c r="E315" s="1077"/>
      <c r="F315" s="1065">
        <v>0.05</v>
      </c>
    </row>
    <row r="316" spans="1:6" ht="24.75" thickBot="1">
      <c r="A316" s="850" t="s">
        <v>534</v>
      </c>
      <c r="B316" s="846" t="s">
        <v>1004</v>
      </c>
      <c r="C316" s="1074"/>
      <c r="D316" s="1074"/>
      <c r="E316" s="1074"/>
      <c r="F316" s="1067">
        <v>0.05</v>
      </c>
    </row>
    <row r="317" spans="1:6" ht="14.25" thickBot="1">
      <c r="A317" s="840" t="s">
        <v>1005</v>
      </c>
      <c r="B317" s="841" t="s">
        <v>1006</v>
      </c>
      <c r="C317" s="1062">
        <v>0.15</v>
      </c>
      <c r="D317" s="1062">
        <v>0.15</v>
      </c>
      <c r="E317" s="1062">
        <v>0.15</v>
      </c>
      <c r="F317" s="1063">
        <v>0.15</v>
      </c>
    </row>
    <row r="318" spans="1:6" ht="14.25" thickBot="1">
      <c r="A318" s="840" t="s">
        <v>1005</v>
      </c>
      <c r="B318" s="834" t="s">
        <v>1007</v>
      </c>
      <c r="C318" s="1064">
        <v>0.107</v>
      </c>
      <c r="D318" s="1064">
        <v>0.11</v>
      </c>
      <c r="E318" s="1064">
        <v>0.112</v>
      </c>
      <c r="F318" s="1076"/>
    </row>
    <row r="319" spans="1:6" ht="14.25" thickBot="1">
      <c r="A319" s="840" t="s">
        <v>1005</v>
      </c>
      <c r="B319" s="834" t="s">
        <v>1008</v>
      </c>
      <c r="C319" s="1064">
        <v>0.15</v>
      </c>
      <c r="D319" s="1064">
        <v>0.15</v>
      </c>
      <c r="E319" s="1064">
        <v>0.15</v>
      </c>
      <c r="F319" s="1065">
        <v>0.15</v>
      </c>
    </row>
    <row r="320" spans="1:6" ht="14.25" thickBot="1">
      <c r="A320" s="840" t="s">
        <v>1005</v>
      </c>
      <c r="B320" s="834" t="s">
        <v>223</v>
      </c>
      <c r="C320" s="1064">
        <v>0.15</v>
      </c>
      <c r="D320" s="1064">
        <v>0.15</v>
      </c>
      <c r="E320" s="1064">
        <v>0.15</v>
      </c>
      <c r="F320" s="1076"/>
    </row>
    <row r="321" spans="1:6" ht="14.25" thickBot="1">
      <c r="A321" s="840" t="s">
        <v>1005</v>
      </c>
      <c r="B321" s="834" t="s">
        <v>1009</v>
      </c>
      <c r="C321" s="1064">
        <v>0.15</v>
      </c>
      <c r="D321" s="1064">
        <v>0.15</v>
      </c>
      <c r="E321" s="1064">
        <v>0.15</v>
      </c>
      <c r="F321" s="1076"/>
    </row>
    <row r="322" spans="1:6" ht="14.25" thickBot="1">
      <c r="A322" s="840" t="s">
        <v>1005</v>
      </c>
      <c r="B322" s="834" t="s">
        <v>1010</v>
      </c>
      <c r="C322" s="1064">
        <v>0.15</v>
      </c>
      <c r="D322" s="1064">
        <v>0.15</v>
      </c>
      <c r="E322" s="1064">
        <v>0.15</v>
      </c>
      <c r="F322" s="1065">
        <v>0.15</v>
      </c>
    </row>
    <row r="323" spans="1:6" ht="14.25" thickBot="1">
      <c r="A323" s="840" t="s">
        <v>1005</v>
      </c>
      <c r="B323" s="834" t="s">
        <v>1011</v>
      </c>
      <c r="C323" s="1064">
        <v>0.15</v>
      </c>
      <c r="D323" s="1064">
        <v>0.15</v>
      </c>
      <c r="E323" s="1064">
        <v>0.15</v>
      </c>
      <c r="F323" s="1076"/>
    </row>
    <row r="324" spans="1:6" ht="14.25" thickBot="1">
      <c r="A324" s="840" t="s">
        <v>1005</v>
      </c>
      <c r="B324" s="834" t="s">
        <v>1012</v>
      </c>
      <c r="C324" s="1064">
        <v>0.15</v>
      </c>
      <c r="D324" s="1064">
        <v>0.15</v>
      </c>
      <c r="E324" s="1064">
        <v>0.15</v>
      </c>
      <c r="F324" s="1076"/>
    </row>
    <row r="325" spans="1:6" ht="14.25" thickBot="1">
      <c r="A325" s="840" t="s">
        <v>1005</v>
      </c>
      <c r="B325" s="834" t="s">
        <v>1013</v>
      </c>
      <c r="C325" s="1064">
        <v>0.15</v>
      </c>
      <c r="D325" s="1064">
        <v>0.15</v>
      </c>
      <c r="E325" s="1064">
        <v>0.15</v>
      </c>
      <c r="F325" s="1065">
        <v>0.14699999999999999</v>
      </c>
    </row>
    <row r="326" spans="1:6" ht="14.25" thickBot="1">
      <c r="A326" s="840" t="s">
        <v>1005</v>
      </c>
      <c r="B326" s="834" t="s">
        <v>290</v>
      </c>
      <c r="C326" s="1064">
        <v>0.15</v>
      </c>
      <c r="D326" s="1064">
        <v>0.15</v>
      </c>
      <c r="E326" s="1064">
        <v>0.15</v>
      </c>
      <c r="F326" s="1076"/>
    </row>
    <row r="327" spans="1:6" ht="14.25" thickBot="1">
      <c r="A327" s="840" t="s">
        <v>1005</v>
      </c>
      <c r="B327" s="834" t="s">
        <v>1014</v>
      </c>
      <c r="C327" s="1064">
        <v>0.15</v>
      </c>
      <c r="D327" s="1064">
        <v>0.15</v>
      </c>
      <c r="E327" s="1064">
        <v>0.15</v>
      </c>
      <c r="F327" s="1065">
        <v>0.15</v>
      </c>
    </row>
    <row r="328" spans="1:6" ht="14.25" thickBot="1">
      <c r="A328" s="840" t="s">
        <v>1005</v>
      </c>
      <c r="B328" s="834" t="s">
        <v>310</v>
      </c>
      <c r="C328" s="1064">
        <v>0.15</v>
      </c>
      <c r="D328" s="1064">
        <v>0.15</v>
      </c>
      <c r="E328" s="1064">
        <v>0.15</v>
      </c>
      <c r="F328" s="1065">
        <v>0.14099999999999999</v>
      </c>
    </row>
    <row r="329" spans="1:6" ht="14.25" thickBot="1">
      <c r="A329" s="840" t="s">
        <v>1005</v>
      </c>
      <c r="B329" s="834" t="s">
        <v>320</v>
      </c>
      <c r="C329" s="1064">
        <v>0.15</v>
      </c>
      <c r="D329" s="1064">
        <v>0.15</v>
      </c>
      <c r="E329" s="1064">
        <v>0.15</v>
      </c>
      <c r="F329" s="1065">
        <v>0.15</v>
      </c>
    </row>
    <row r="330" spans="1:6" ht="14.25" thickBot="1">
      <c r="A330" s="840" t="s">
        <v>1005</v>
      </c>
      <c r="B330" s="834" t="s">
        <v>331</v>
      </c>
      <c r="C330" s="1064">
        <v>0.15</v>
      </c>
      <c r="D330" s="1064">
        <v>0.15</v>
      </c>
      <c r="E330" s="1064">
        <v>0.15</v>
      </c>
      <c r="F330" s="1076"/>
    </row>
    <row r="331" spans="1:6" ht="14.25" thickBot="1">
      <c r="A331" s="840" t="s">
        <v>1005</v>
      </c>
      <c r="B331" s="834" t="s">
        <v>1015</v>
      </c>
      <c r="C331" s="1064">
        <v>0.15</v>
      </c>
      <c r="D331" s="1064">
        <v>0.15</v>
      </c>
      <c r="E331" s="1064">
        <v>0.15</v>
      </c>
      <c r="F331" s="1065">
        <v>0.15</v>
      </c>
    </row>
    <row r="332" spans="1:6" ht="14.25" thickBot="1">
      <c r="A332" s="840" t="s">
        <v>1005</v>
      </c>
      <c r="B332" s="834" t="s">
        <v>352</v>
      </c>
      <c r="C332" s="1064">
        <v>0.15</v>
      </c>
      <c r="D332" s="1064">
        <v>0.15</v>
      </c>
      <c r="E332" s="1064">
        <v>0.15</v>
      </c>
      <c r="F332" s="1065">
        <v>0.15</v>
      </c>
    </row>
    <row r="333" spans="1:6" ht="14.25" thickBot="1">
      <c r="A333" s="840" t="s">
        <v>1005</v>
      </c>
      <c r="B333" s="834" t="s">
        <v>1016</v>
      </c>
      <c r="C333" s="1064">
        <v>0.15</v>
      </c>
      <c r="D333" s="1064">
        <v>0.15</v>
      </c>
      <c r="E333" s="1064">
        <v>0.15</v>
      </c>
      <c r="F333" s="1065">
        <v>0.14099999999999999</v>
      </c>
    </row>
    <row r="334" spans="1:6" ht="14.25" thickBot="1">
      <c r="A334" s="840" t="s">
        <v>1005</v>
      </c>
      <c r="B334" s="834" t="s">
        <v>372</v>
      </c>
      <c r="C334" s="1064">
        <v>0.15</v>
      </c>
      <c r="D334" s="1064">
        <v>0.15</v>
      </c>
      <c r="E334" s="1064">
        <v>0.15</v>
      </c>
      <c r="F334" s="1065">
        <v>0.15</v>
      </c>
    </row>
    <row r="335" spans="1:6" ht="14.25" thickBot="1">
      <c r="A335" s="840" t="s">
        <v>1005</v>
      </c>
      <c r="B335" s="834" t="s">
        <v>382</v>
      </c>
      <c r="C335" s="1064">
        <v>0.15</v>
      </c>
      <c r="D335" s="1064">
        <v>0.15</v>
      </c>
      <c r="E335" s="1064">
        <v>0.15</v>
      </c>
      <c r="F335" s="1076"/>
    </row>
    <row r="336" spans="1:6" ht="14.25" thickBot="1">
      <c r="A336" s="840" t="s">
        <v>1005</v>
      </c>
      <c r="B336" s="834" t="s">
        <v>1017</v>
      </c>
      <c r="C336" s="1064">
        <v>0.15</v>
      </c>
      <c r="D336" s="1064">
        <v>0.15</v>
      </c>
      <c r="E336" s="1064">
        <v>0.15</v>
      </c>
      <c r="F336" s="1065">
        <v>0.11799999999999999</v>
      </c>
    </row>
    <row r="337" spans="1:6" ht="14.25" thickBot="1">
      <c r="A337" s="850" t="s">
        <v>1005</v>
      </c>
      <c r="B337" s="846" t="s">
        <v>400</v>
      </c>
      <c r="C337" s="1074"/>
      <c r="D337" s="1074"/>
      <c r="E337" s="1074"/>
      <c r="F337" s="1067">
        <v>0.14299999999999999</v>
      </c>
    </row>
    <row r="338" spans="1:6" ht="14.25" thickBot="1">
      <c r="A338" s="840" t="s">
        <v>1018</v>
      </c>
      <c r="B338" s="841" t="s">
        <v>1019</v>
      </c>
      <c r="C338" s="1062">
        <v>0.15</v>
      </c>
      <c r="D338" s="1062">
        <v>0.15</v>
      </c>
      <c r="E338" s="1062">
        <v>0.15</v>
      </c>
      <c r="F338" s="1079"/>
    </row>
    <row r="339" spans="1:6" ht="14.25" thickBot="1">
      <c r="A339" s="840" t="s">
        <v>1018</v>
      </c>
      <c r="B339" s="834" t="s">
        <v>1020</v>
      </c>
      <c r="C339" s="1064">
        <v>0.15</v>
      </c>
      <c r="D339" s="1064">
        <v>0.15</v>
      </c>
      <c r="E339" s="1064">
        <v>0.15</v>
      </c>
      <c r="F339" s="1076"/>
    </row>
    <row r="340" spans="1:6" ht="14.25" thickBot="1">
      <c r="A340" s="840" t="s">
        <v>1018</v>
      </c>
      <c r="B340" s="834" t="s">
        <v>1021</v>
      </c>
      <c r="C340" s="1064">
        <v>0.15</v>
      </c>
      <c r="D340" s="1064">
        <v>0.15</v>
      </c>
      <c r="E340" s="1064">
        <v>0.15</v>
      </c>
      <c r="F340" s="1076"/>
    </row>
    <row r="341" spans="1:6" ht="14.25" thickBot="1">
      <c r="A341" s="840" t="s">
        <v>1018</v>
      </c>
      <c r="B341" s="834" t="s">
        <v>1022</v>
      </c>
      <c r="C341" s="1064">
        <v>0.15</v>
      </c>
      <c r="D341" s="1064">
        <v>0.15</v>
      </c>
      <c r="E341" s="1064">
        <v>0.15</v>
      </c>
      <c r="F341" s="1065">
        <v>0.15</v>
      </c>
    </row>
    <row r="342" spans="1:6" ht="14.25" thickBot="1">
      <c r="A342" s="840" t="s">
        <v>1018</v>
      </c>
      <c r="B342" s="834" t="s">
        <v>1023</v>
      </c>
      <c r="C342" s="1064">
        <v>0.15</v>
      </c>
      <c r="D342" s="1064">
        <v>0.15</v>
      </c>
      <c r="E342" s="1064">
        <v>0.15</v>
      </c>
      <c r="F342" s="1065">
        <v>0.15</v>
      </c>
    </row>
    <row r="343" spans="1:6" ht="14.25" thickBot="1">
      <c r="A343" s="840" t="s">
        <v>1018</v>
      </c>
      <c r="B343" s="834" t="s">
        <v>1024</v>
      </c>
      <c r="C343" s="1064">
        <v>0.15</v>
      </c>
      <c r="D343" s="1064">
        <v>0.15</v>
      </c>
      <c r="E343" s="1064">
        <v>0.15</v>
      </c>
      <c r="F343" s="1065">
        <v>0.15</v>
      </c>
    </row>
    <row r="344" spans="1:6" ht="14.25" thickBot="1">
      <c r="A344" s="850" t="s">
        <v>1018</v>
      </c>
      <c r="B344" s="846" t="s">
        <v>1025</v>
      </c>
      <c r="C344" s="1066">
        <v>0.15</v>
      </c>
      <c r="D344" s="1066">
        <v>0.15</v>
      </c>
      <c r="E344" s="1066">
        <v>0.15</v>
      </c>
      <c r="F344" s="1067">
        <v>0.15</v>
      </c>
    </row>
  </sheetData>
  <sheetProtection password="C66D" sheet="1" objects="1" scenarios="1"/>
  <mergeCells count="1">
    <mergeCell ref="A1:B1"/>
  </mergeCells>
  <phoneticPr fontId="99"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1296</v>
      </c>
      <c r="C1" s="1694">
        <f>项目基本情况!D3</f>
        <v>43592</v>
      </c>
      <c r="D1" s="1700" t="s">
        <v>1297</v>
      </c>
      <c r="E1" s="1695">
        <f>'数据-取费表'!B22</f>
        <v>1.5</v>
      </c>
      <c r="F1" s="1700" t="s">
        <v>1298</v>
      </c>
      <c r="G1" s="1696">
        <f ca="1">INDIRECT("d"&amp;$K$1)/100</f>
        <v>4.7500000000000001E-2</v>
      </c>
      <c r="H1" s="1700" t="s">
        <v>1328</v>
      </c>
      <c r="I1" s="1696">
        <f ca="1">F4/100</f>
        <v>1.4999999999999999E-2</v>
      </c>
      <c r="J1" s="1701">
        <f>IF(C1&gt;C13,0,MATCH(C1,C$13:C$100,-1))+IF(SUMIF(C13:C100,C1,D13:D100)=0,13,12)</f>
        <v>13</v>
      </c>
      <c r="K1" s="1701">
        <f>MATCH(E1,C3:C7,1)+IF(SUMIF(C3:C7,E1,D3:D7)=0,2,1)</f>
        <v>5</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1299</v>
      </c>
      <c r="E2" s="1636"/>
      <c r="F2" s="1636" t="s">
        <v>1300</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1301</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1302</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1303</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1304</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1305</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1306</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1307</v>
      </c>
      <c r="C10" s="1664"/>
      <c r="D10" s="1664"/>
      <c r="E10" s="1664"/>
      <c r="F10" s="1664"/>
      <c r="G10" s="1664"/>
      <c r="H10" s="1664"/>
      <c r="I10" s="1638"/>
      <c r="J10" s="1638"/>
      <c r="K10" s="1664"/>
      <c r="L10" s="1665" t="s">
        <v>1308</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1309</v>
      </c>
      <c r="C11" s="1669" t="s">
        <v>1310</v>
      </c>
      <c r="D11" s="1670" t="s">
        <v>1311</v>
      </c>
      <c r="E11" s="1671"/>
      <c r="F11" s="1670" t="s">
        <v>1312</v>
      </c>
      <c r="G11" s="1672"/>
      <c r="H11" s="1671"/>
      <c r="I11" s="1670" t="s">
        <v>1313</v>
      </c>
      <c r="J11" s="1671"/>
      <c r="K11" s="1667"/>
      <c r="L11" s="1668" t="s">
        <v>1309</v>
      </c>
      <c r="M11" s="1669" t="s">
        <v>1310</v>
      </c>
      <c r="N11" s="1668" t="s">
        <v>1314</v>
      </c>
      <c r="O11" s="1670" t="s">
        <v>1315</v>
      </c>
      <c r="P11" s="1672"/>
      <c r="Q11" s="1672"/>
      <c r="R11" s="1672"/>
      <c r="S11" s="1672"/>
      <c r="T11" s="1671"/>
      <c r="U11" s="1670" t="s">
        <v>1316</v>
      </c>
      <c r="V11" s="1672"/>
      <c r="W11" s="1671"/>
      <c r="X11" s="1668" t="s">
        <v>1317</v>
      </c>
      <c r="Y11" s="1668" t="s">
        <v>1318</v>
      </c>
      <c r="Z11" s="1668" t="s">
        <v>1319</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1320</v>
      </c>
      <c r="E12" s="1677" t="s">
        <v>1321</v>
      </c>
      <c r="F12" s="1677" t="s">
        <v>1322</v>
      </c>
      <c r="G12" s="1677" t="s">
        <v>1323</v>
      </c>
      <c r="H12" s="1677" t="s">
        <v>1305</v>
      </c>
      <c r="I12" s="1678" t="s">
        <v>1324</v>
      </c>
      <c r="J12" s="1678" t="s">
        <v>1324</v>
      </c>
      <c r="K12" s="1674"/>
      <c r="L12" s="1675"/>
      <c r="M12" s="1676"/>
      <c r="N12" s="1675"/>
      <c r="O12" s="1678" t="s">
        <v>1325</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1326</v>
      </c>
      <c r="C13" s="1682">
        <v>42301</v>
      </c>
      <c r="D13" s="1683">
        <v>4.3499999999999996</v>
      </c>
      <c r="E13" s="1683">
        <v>4.3499999999999996</v>
      </c>
      <c r="F13" s="1683">
        <v>4.75</v>
      </c>
      <c r="G13" s="1683">
        <v>4.75</v>
      </c>
      <c r="H13" s="1683">
        <v>4.9000000000000004</v>
      </c>
      <c r="I13" s="1683">
        <v>2.75</v>
      </c>
      <c r="J13" s="1683">
        <v>3.25</v>
      </c>
      <c r="K13" s="1680"/>
      <c r="L13" s="1681" t="s">
        <v>1326</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1327</v>
      </c>
      <c r="Y42" s="1687" t="s">
        <v>1327</v>
      </c>
      <c r="Z42" s="1687" t="s">
        <v>1327</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1327</v>
      </c>
      <c r="Y43" s="1687" t="s">
        <v>1327</v>
      </c>
      <c r="Z43" s="1687" t="s">
        <v>1327</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1327</v>
      </c>
      <c r="Y44" s="1687" t="s">
        <v>1327</v>
      </c>
      <c r="Z44" s="1687" t="s">
        <v>1327</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1327</v>
      </c>
      <c r="Y45" s="1687" t="s">
        <v>1327</v>
      </c>
      <c r="Z45" s="1687" t="s">
        <v>1327</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1327</v>
      </c>
      <c r="Y46" s="1687" t="s">
        <v>1327</v>
      </c>
      <c r="Z46" s="1687" t="s">
        <v>1327</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1327</v>
      </c>
      <c r="Y47" s="1687" t="s">
        <v>1327</v>
      </c>
      <c r="Z47" s="1687" t="s">
        <v>1327</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1327</v>
      </c>
      <c r="Y48" s="1687" t="s">
        <v>1327</v>
      </c>
      <c r="Z48" s="1687" t="s">
        <v>1327</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1327</v>
      </c>
      <c r="Y49" s="1687" t="s">
        <v>1327</v>
      </c>
      <c r="Z49" s="1687" t="s">
        <v>1327</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1327</v>
      </c>
      <c r="Y50" s="1687" t="s">
        <v>1327</v>
      </c>
      <c r="Z50" s="1687" t="s">
        <v>1327</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1327</v>
      </c>
      <c r="V51" s="1687" t="s">
        <v>1327</v>
      </c>
      <c r="W51" s="1687" t="s">
        <v>1327</v>
      </c>
      <c r="X51" s="1687" t="s">
        <v>1327</v>
      </c>
      <c r="Y51" s="1687" t="s">
        <v>1327</v>
      </c>
      <c r="Z51" s="1687" t="s">
        <v>1327</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1327</v>
      </c>
      <c r="J55" s="1687" t="s">
        <v>1327</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5"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2" t="s">
        <v>1368</v>
      </c>
      <c r="E1" s="1776" t="s">
        <v>1372</v>
      </c>
      <c r="F1" s="1777" t="s">
        <v>1376</v>
      </c>
    </row>
    <row r="2" spans="1:13" ht="20.25">
      <c r="A2" s="1783" t="s">
        <v>1369</v>
      </c>
    </row>
    <row r="3" spans="1:13" ht="16.5">
      <c r="A3" s="1784" t="s">
        <v>1370</v>
      </c>
    </row>
    <row r="4" spans="1:13" ht="14.25">
      <c r="A4" s="1774" t="s">
        <v>1371</v>
      </c>
      <c r="B4" s="1779" t="s">
        <v>1373</v>
      </c>
      <c r="C4" s="1780"/>
      <c r="D4" s="1781"/>
      <c r="E4" s="1779" t="s">
        <v>27</v>
      </c>
      <c r="F4" s="1780"/>
      <c r="G4" s="1781"/>
      <c r="H4" s="1779" t="s">
        <v>1374</v>
      </c>
      <c r="I4" s="1780"/>
      <c r="J4" s="1781"/>
      <c r="K4" s="1779" t="s">
        <v>6</v>
      </c>
      <c r="L4" s="1780"/>
      <c r="M4" s="1781"/>
    </row>
    <row r="5" spans="1:13" ht="14.25">
      <c r="A5" s="1775" t="s">
        <v>1375</v>
      </c>
      <c r="B5" s="1774" t="s">
        <v>1377</v>
      </c>
      <c r="C5" s="1774" t="s">
        <v>1378</v>
      </c>
      <c r="D5" s="1774" t="s">
        <v>1379</v>
      </c>
      <c r="E5" s="1774" t="s">
        <v>1377</v>
      </c>
      <c r="F5" s="1774" t="s">
        <v>1378</v>
      </c>
      <c r="G5" s="1774" t="s">
        <v>1379</v>
      </c>
      <c r="H5" s="1774" t="s">
        <v>1377</v>
      </c>
      <c r="I5" s="1774" t="s">
        <v>1378</v>
      </c>
      <c r="J5" s="1774" t="s">
        <v>1379</v>
      </c>
      <c r="K5" s="1774" t="s">
        <v>1377</v>
      </c>
      <c r="L5" s="1774" t="s">
        <v>1378</v>
      </c>
      <c r="M5" s="1774" t="s">
        <v>1379</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5" customWidth="1"/>
    <col min="2" max="9" width="12.125" style="1945" customWidth="1"/>
    <col min="10" max="16384" width="9" style="1945"/>
  </cols>
  <sheetData>
    <row r="1" spans="1:9" ht="18.75" thickBot="1">
      <c r="A1" s="3018" t="str">
        <f>IF(项目基本情况!B9="房地产市场价值","估价结果一览表","结果表-2")</f>
        <v>结果表-2</v>
      </c>
      <c r="B1" s="3018"/>
      <c r="C1" s="3018"/>
      <c r="D1" s="3018"/>
      <c r="E1" s="3018"/>
      <c r="F1" s="3018"/>
      <c r="G1" s="3018"/>
      <c r="H1" s="3018"/>
      <c r="I1" s="3018"/>
    </row>
    <row r="2" spans="1:9" ht="30" customHeight="1" thickTop="1">
      <c r="A2" s="3019" t="s">
        <v>1636</v>
      </c>
      <c r="B2" s="3019" t="s">
        <v>1637</v>
      </c>
      <c r="C2" s="3019" t="s">
        <v>1638</v>
      </c>
      <c r="D2" s="3019" t="str">
        <f>结果表!D116</f>
        <v>出让国有建设用地使用权价值</v>
      </c>
      <c r="E2" s="3019"/>
      <c r="F2" s="3019" t="str">
        <f>结果表!F116</f>
        <v>建筑物价值</v>
      </c>
      <c r="G2" s="3019"/>
      <c r="H2" s="3019" t="str">
        <f>IF(项目基本情况!B9="房地产市场价值","房地产市场价值","房地产价值")</f>
        <v>房地产价值</v>
      </c>
      <c r="I2" s="3019"/>
    </row>
    <row r="3" spans="1:9" ht="15">
      <c r="A3" s="3013"/>
      <c r="B3" s="3013"/>
      <c r="C3" s="3013"/>
      <c r="D3" s="1044" t="s">
        <v>1633</v>
      </c>
      <c r="E3" s="1044" t="s">
        <v>1639</v>
      </c>
      <c r="F3" s="1044" t="s">
        <v>1633</v>
      </c>
      <c r="G3" s="1044" t="s">
        <v>1634</v>
      </c>
      <c r="H3" s="1044" t="s">
        <v>1633</v>
      </c>
      <c r="I3" s="1044" t="s">
        <v>1634</v>
      </c>
    </row>
    <row r="4" spans="1:9" ht="30">
      <c r="A4" s="1973" t="str">
        <f>项目基本情况!S2</f>
        <v>北京市朝阳区建国门外郎家园6号“郎园Vintage”项目房地产</v>
      </c>
      <c r="B4" s="1044">
        <f>项目基本情况!C17</f>
        <v>27202.3</v>
      </c>
      <c r="C4" s="1044">
        <f>项目基本情况!C18</f>
        <v>18455.759999999998</v>
      </c>
      <c r="D4" s="1044">
        <f ca="1">结果表!D118</f>
        <v>58810</v>
      </c>
      <c r="E4" s="1044">
        <f ca="1">结果表!E118</f>
        <v>21620</v>
      </c>
      <c r="F4" s="1044">
        <f ca="1">结果表!F118</f>
        <v>14703</v>
      </c>
      <c r="G4" s="1044">
        <f ca="1">结果表!G118</f>
        <v>5405</v>
      </c>
      <c r="H4" s="1044">
        <f ca="1">结果表!H118</f>
        <v>73513</v>
      </c>
      <c r="I4" s="1044">
        <f ca="1">结果表!I118</f>
        <v>27025</v>
      </c>
    </row>
    <row r="5" spans="1:9" ht="30" customHeight="1">
      <c r="A5" s="3013" t="s">
        <v>1635</v>
      </c>
      <c r="B5" s="3013"/>
      <c r="C5" s="3013"/>
      <c r="D5" s="3014" t="str">
        <f ca="1">结果表!D119</f>
        <v>伍亿捌仟捌佰壹拾万元整</v>
      </c>
      <c r="E5" s="3014"/>
      <c r="F5" s="3014" t="str">
        <f ca="1">结果表!F119</f>
        <v>壹亿肆仟柒佰零叁万元整</v>
      </c>
      <c r="G5" s="3014"/>
      <c r="H5" s="3014" t="str">
        <f ca="1">结果表!H119</f>
        <v>柒亿叁仟伍佰壹拾叁万元整</v>
      </c>
      <c r="I5" s="3014"/>
    </row>
    <row r="6" spans="1:9" ht="15.75">
      <c r="A6" s="3012" t="str">
        <f>结果表!A120</f>
        <v>估价师知悉的法定优先受偿款</v>
      </c>
      <c r="B6" s="3012"/>
      <c r="C6" s="3012"/>
      <c r="D6" s="3012">
        <f>结果表!D120</f>
        <v>0</v>
      </c>
      <c r="E6" s="3012"/>
      <c r="F6" s="3012"/>
      <c r="G6" s="3012"/>
      <c r="H6" s="3012"/>
      <c r="I6" s="3012"/>
    </row>
    <row r="7" spans="1:9" ht="15">
      <c r="A7" s="3013" t="s">
        <v>1635</v>
      </c>
      <c r="B7" s="3013"/>
      <c r="C7" s="3013"/>
      <c r="D7" s="3015" t="str">
        <f>结果表!D121</f>
        <v>零元整</v>
      </c>
      <c r="E7" s="3016"/>
      <c r="F7" s="3016"/>
      <c r="G7" s="3016"/>
      <c r="H7" s="3016"/>
      <c r="I7" s="3017"/>
    </row>
    <row r="8" spans="1:9" ht="15.75">
      <c r="A8" s="3012" t="str">
        <f>结果表!A122</f>
        <v>房地产抵押价值</v>
      </c>
      <c r="B8" s="3012"/>
      <c r="C8" s="3012"/>
      <c r="D8" s="3012">
        <f ca="1">结果表!D122</f>
        <v>73513</v>
      </c>
      <c r="E8" s="3012"/>
      <c r="F8" s="3012"/>
      <c r="G8" s="3012"/>
      <c r="H8" s="3012"/>
      <c r="I8" s="3012"/>
    </row>
    <row r="9" spans="1:9" ht="15">
      <c r="A9" s="3013" t="s">
        <v>1635</v>
      </c>
      <c r="B9" s="3013"/>
      <c r="C9" s="3013"/>
      <c r="D9" s="3014" t="str">
        <f ca="1">结果表!D123</f>
        <v>柒亿叁仟伍佰壹拾叁万元整</v>
      </c>
      <c r="E9" s="3014"/>
      <c r="F9" s="3014"/>
      <c r="G9" s="3014"/>
      <c r="H9" s="3014"/>
      <c r="I9" s="3014"/>
    </row>
    <row r="10" spans="1:9" ht="15.75">
      <c r="A10" s="3012" t="str">
        <f>结果表!A124</f>
        <v/>
      </c>
      <c r="B10" s="3012"/>
      <c r="C10" s="3012"/>
      <c r="D10" s="3012" t="str">
        <f>结果表!D124</f>
        <v>——</v>
      </c>
      <c r="E10" s="3012"/>
      <c r="F10" s="3012"/>
      <c r="G10" s="3012"/>
      <c r="H10" s="3012"/>
      <c r="I10" s="3012"/>
    </row>
    <row r="11" spans="1:9" ht="15">
      <c r="A11" s="3013" t="s">
        <v>1635</v>
      </c>
      <c r="B11" s="3013"/>
      <c r="C11" s="3013"/>
      <c r="D11" s="3014" t="e">
        <f>结果表!D125</f>
        <v>#VALUE!</v>
      </c>
      <c r="E11" s="3014"/>
      <c r="F11" s="3014"/>
      <c r="G11" s="3014"/>
      <c r="H11" s="3014"/>
      <c r="I11" s="3014"/>
    </row>
    <row r="12" spans="1:9" ht="15.75">
      <c r="A12" s="3012" t="str">
        <f>结果表!A126</f>
        <v/>
      </c>
      <c r="B12" s="3012"/>
      <c r="C12" s="3012"/>
      <c r="D12" s="3012" t="str">
        <f>结果表!D126</f>
        <v>——</v>
      </c>
      <c r="E12" s="3012"/>
      <c r="F12" s="3012"/>
      <c r="G12" s="3012"/>
      <c r="H12" s="3012"/>
      <c r="I12" s="3012"/>
    </row>
    <row r="13" spans="1:9" ht="15.75" thickBot="1">
      <c r="A13" s="3009" t="s">
        <v>1635</v>
      </c>
      <c r="B13" s="3009"/>
      <c r="C13" s="3009"/>
      <c r="D13" s="3010" t="e">
        <f>结果表!D127</f>
        <v>#VALUE!</v>
      </c>
      <c r="E13" s="3010"/>
      <c r="F13" s="3010"/>
      <c r="G13" s="3010"/>
      <c r="H13" s="3010"/>
      <c r="I13" s="3010"/>
    </row>
    <row r="14" spans="1:9" ht="15" thickTop="1">
      <c r="A14" s="3011" t="s">
        <v>1640</v>
      </c>
      <c r="B14" s="3011"/>
      <c r="C14" s="3011"/>
      <c r="D14" s="3011"/>
      <c r="E14" s="3011"/>
      <c r="F14" s="3011"/>
      <c r="G14" s="3011"/>
      <c r="H14" s="3011"/>
      <c r="I14" s="3011"/>
    </row>
    <row r="16" spans="1:9" ht="18.75">
      <c r="A16" s="1974" t="s">
        <v>1623</v>
      </c>
      <c r="B16" s="1957"/>
      <c r="C16" s="1957"/>
      <c r="D16" s="1957"/>
      <c r="E16" s="1957"/>
      <c r="F16" s="1957"/>
      <c r="G16" s="1957"/>
      <c r="H16" s="1957"/>
      <c r="I16" s="1957"/>
    </row>
    <row r="17" spans="1:9">
      <c r="A17" s="1957"/>
      <c r="B17" s="1957"/>
      <c r="C17" s="1957"/>
      <c r="D17" s="1957"/>
      <c r="E17" s="1957"/>
      <c r="F17" s="1957"/>
      <c r="G17" s="1957"/>
      <c r="H17" s="1957"/>
      <c r="I17" s="1957"/>
    </row>
    <row r="18" spans="1:9">
      <c r="A18" s="1957"/>
      <c r="B18" s="1957"/>
      <c r="C18" s="1957"/>
      <c r="D18" s="1957"/>
      <c r="E18" s="1957"/>
      <c r="F18" s="1957"/>
      <c r="G18" s="1957"/>
      <c r="H18" s="1957"/>
      <c r="I18" s="1957"/>
    </row>
    <row r="19" spans="1:9">
      <c r="A19" s="1957"/>
      <c r="B19" s="1957"/>
      <c r="C19" s="1957"/>
      <c r="D19" s="1957"/>
      <c r="E19" s="1957"/>
      <c r="F19" s="1957"/>
      <c r="G19" s="1957"/>
      <c r="H19" s="1957"/>
      <c r="I19" s="1957"/>
    </row>
    <row r="20" spans="1:9">
      <c r="A20" s="1957"/>
      <c r="B20" s="1957"/>
      <c r="C20" s="1957"/>
      <c r="D20" s="1957"/>
      <c r="E20" s="1957"/>
      <c r="F20" s="1957"/>
      <c r="G20" s="1957"/>
      <c r="H20" s="1957"/>
      <c r="I20" s="1957"/>
    </row>
    <row r="21" spans="1:9">
      <c r="A21" s="1957"/>
      <c r="B21" s="1957"/>
      <c r="C21" s="1957"/>
      <c r="D21" s="1957"/>
      <c r="E21" s="1957"/>
      <c r="F21" s="1957"/>
      <c r="G21" s="1957"/>
      <c r="H21" s="1957"/>
      <c r="I21" s="1957"/>
    </row>
    <row r="22" spans="1:9">
      <c r="A22" s="1957"/>
      <c r="B22" s="1957"/>
      <c r="C22" s="1957"/>
      <c r="D22" s="1957"/>
      <c r="E22" s="1957"/>
      <c r="F22" s="1957"/>
      <c r="G22" s="1957"/>
      <c r="H22" s="1957"/>
      <c r="I22" s="1957"/>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5" customWidth="1"/>
    <col min="2" max="3" width="22.375" style="1945" customWidth="1"/>
    <col min="4" max="4" width="23" style="1945" customWidth="1"/>
    <col min="5" max="16384" width="9" style="1945"/>
  </cols>
  <sheetData>
    <row r="1" spans="1:4" ht="18.75">
      <c r="A1" s="3026" t="s">
        <v>1657</v>
      </c>
      <c r="B1" s="3026"/>
      <c r="C1" s="3026"/>
      <c r="D1" s="3026"/>
    </row>
    <row r="2" spans="1:4" ht="18">
      <c r="A2" s="3027" t="s">
        <v>1641</v>
      </c>
      <c r="B2" s="3027"/>
      <c r="C2" s="3027"/>
      <c r="D2" s="3027"/>
    </row>
    <row r="3" spans="1:4" ht="18.75">
      <c r="A3" s="1977" t="s">
        <v>1642</v>
      </c>
      <c r="B3" s="1977" t="s">
        <v>1643</v>
      </c>
      <c r="C3" s="1977" t="s">
        <v>1644</v>
      </c>
      <c r="D3" s="1977" t="s">
        <v>1645</v>
      </c>
    </row>
    <row r="4" spans="1:4" ht="56.25" customHeight="1">
      <c r="A4" s="1978" t="str">
        <f>项目基本情况!B4</f>
        <v>郑燚</v>
      </c>
      <c r="B4" s="1979">
        <f ca="1">项目基本情况!C4</f>
        <v>1120070131</v>
      </c>
      <c r="C4" s="1980"/>
      <c r="D4" s="1981" t="s">
        <v>1646</v>
      </c>
    </row>
    <row r="5" spans="1:4" ht="56.25" customHeight="1">
      <c r="A5" s="1978" t="str">
        <f>项目基本情况!D4</f>
        <v>王鹏</v>
      </c>
      <c r="B5" s="1979">
        <f ca="1">项目基本情况!E4</f>
        <v>1120050019</v>
      </c>
      <c r="C5" s="1982"/>
      <c r="D5" s="1981" t="s">
        <v>1646</v>
      </c>
    </row>
    <row r="6" spans="1:4" ht="18">
      <c r="A6" s="3027" t="s">
        <v>1647</v>
      </c>
      <c r="B6" s="3027"/>
      <c r="C6" s="3027"/>
      <c r="D6" s="3027"/>
    </row>
    <row r="7" spans="1:4" ht="18.75">
      <c r="A7" s="1977" t="s">
        <v>1642</v>
      </c>
      <c r="B7" s="1979" t="s">
        <v>1648</v>
      </c>
      <c r="C7" s="1977" t="s">
        <v>1644</v>
      </c>
      <c r="D7" s="1977" t="s">
        <v>1645</v>
      </c>
    </row>
    <row r="8" spans="1:4" ht="56.25" customHeight="1">
      <c r="A8" s="1983" t="s">
        <v>866</v>
      </c>
      <c r="B8" s="1983" t="s">
        <v>1</v>
      </c>
      <c r="C8" s="1980"/>
      <c r="D8" s="1981" t="s">
        <v>1646</v>
      </c>
    </row>
    <row r="9" spans="1:4">
      <c r="A9" s="728"/>
      <c r="B9" s="728"/>
      <c r="C9" s="728"/>
      <c r="D9" s="728"/>
    </row>
    <row r="10" spans="1:4" ht="18.75">
      <c r="A10" s="1984" t="s">
        <v>1649</v>
      </c>
      <c r="B10" s="728"/>
      <c r="C10" s="728"/>
      <c r="D10" s="728"/>
    </row>
    <row r="11" spans="1:4" ht="30" customHeight="1">
      <c r="A11" s="3028" t="s">
        <v>1650</v>
      </c>
      <c r="B11" s="3020"/>
      <c r="C11" s="3020"/>
      <c r="D11" s="3020"/>
    </row>
    <row r="12" spans="1:4" ht="15.75">
      <c r="A12" s="302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25"/>
      <c r="C12" s="3025"/>
      <c r="D12" s="3025"/>
    </row>
    <row r="13" spans="1:4" ht="30" customHeight="1">
      <c r="A13" s="302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25"/>
      <c r="C13" s="3025"/>
      <c r="D13" s="3025"/>
    </row>
    <row r="14" spans="1:4" ht="15.75" customHeight="1">
      <c r="A14" s="3020" t="str">
        <f>IF(项目基本情况!B8="抵押","4.本次评估估价师所知悉的法定优先受偿款情况说明如下：","——")</f>
        <v>4.本次评估估价师所知悉的法定优先受偿款情况说明如下：</v>
      </c>
      <c r="B14" s="3025"/>
      <c r="C14" s="3025"/>
      <c r="D14" s="3025"/>
    </row>
    <row r="15" spans="1:4" ht="42" customHeight="1">
      <c r="A15" s="302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20"/>
      <c r="C15" s="3020"/>
      <c r="D15" s="3020"/>
    </row>
    <row r="16" spans="1:4" ht="30" customHeight="1">
      <c r="A16" s="3022" t="s">
        <v>1651</v>
      </c>
      <c r="B16" s="3022"/>
      <c r="C16" s="3022"/>
      <c r="D16" s="3022"/>
    </row>
    <row r="17" spans="1:4" ht="144" customHeight="1">
      <c r="A17" s="3022" t="s">
        <v>1652</v>
      </c>
      <c r="B17" s="3022"/>
      <c r="C17" s="3022"/>
      <c r="D17" s="3022"/>
    </row>
    <row r="18" spans="1:4" ht="15.75" customHeight="1">
      <c r="A18" s="3020" t="str">
        <f>IF(项目基本情况!B8="抵押",结果表!K120,"——")</f>
        <v>故，本次评估不存在估价师知悉的法定优先受偿款</v>
      </c>
      <c r="B18" s="3020"/>
      <c r="C18" s="3020"/>
      <c r="D18" s="3020"/>
    </row>
    <row r="19" spans="1:4" ht="46.5" customHeight="1">
      <c r="A19" s="302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20"/>
      <c r="C19" s="3020"/>
      <c r="D19" s="3020"/>
    </row>
    <row r="20" spans="1:4" ht="57.75" customHeight="1">
      <c r="A20" s="302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20"/>
      <c r="C20" s="3020"/>
      <c r="D20" s="3020"/>
    </row>
    <row r="21" spans="1:4" ht="57.75" customHeight="1">
      <c r="A21" s="302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23"/>
      <c r="C21" s="3023"/>
      <c r="D21" s="3023"/>
    </row>
    <row r="22" spans="1:4" ht="18.75" customHeight="1">
      <c r="A22" s="3024" t="s">
        <v>1653</v>
      </c>
      <c r="B22" s="3024"/>
      <c r="C22" s="3024"/>
      <c r="D22" s="3024"/>
    </row>
    <row r="23" spans="1:4">
      <c r="A23" s="1985"/>
      <c r="B23" s="1957"/>
      <c r="C23" s="1957"/>
      <c r="D23" s="1957"/>
    </row>
    <row r="24" spans="1:4">
      <c r="A24" s="1985"/>
      <c r="B24" s="1957"/>
      <c r="C24" s="1957"/>
      <c r="D24" s="1957"/>
    </row>
    <row r="25" spans="1:4" ht="18.75">
      <c r="A25" s="1986" t="s">
        <v>1654</v>
      </c>
    </row>
    <row r="26" spans="1:4" ht="18">
      <c r="A26" s="1955"/>
    </row>
    <row r="27" spans="1:4" ht="18.75">
      <c r="A27" s="1955" t="s">
        <v>1655</v>
      </c>
    </row>
    <row r="30" spans="1:4" ht="18.75">
      <c r="D30" s="1986" t="s">
        <v>1656</v>
      </c>
    </row>
    <row r="31" spans="1:4" ht="13.5" customHeight="1">
      <c r="C31" s="3021">
        <v>42551</v>
      </c>
      <c r="D31" s="3021"/>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6"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3" customWidth="1"/>
    <col min="3" max="10" width="12.5" style="1943" customWidth="1"/>
    <col min="11" max="16384" width="9" style="1943"/>
  </cols>
  <sheetData>
    <row r="1" spans="1:10" ht="18.75">
      <c r="A1" s="1976" t="s">
        <v>867</v>
      </c>
      <c r="B1" s="1987"/>
      <c r="C1" s="1987"/>
      <c r="D1" s="1987"/>
      <c r="E1" s="1987"/>
      <c r="F1" s="1987"/>
      <c r="G1" s="1987"/>
      <c r="H1" s="1987"/>
      <c r="I1" s="1987"/>
      <c r="J1" s="1987"/>
    </row>
    <row r="2" spans="1:10" ht="18.75">
      <c r="A2" s="1988"/>
      <c r="B2" s="1987"/>
      <c r="C2" s="1987"/>
      <c r="D2" s="1987"/>
      <c r="E2" s="1987"/>
      <c r="F2" s="1987"/>
      <c r="G2" s="1987"/>
      <c r="H2" s="1987"/>
      <c r="I2" s="1987"/>
      <c r="J2" s="1987"/>
    </row>
    <row r="3" spans="1:10">
      <c r="A3" s="1987"/>
      <c r="B3" s="1987"/>
      <c r="C3" s="1987"/>
      <c r="D3" s="1987"/>
      <c r="E3" s="1987"/>
      <c r="F3" s="1987"/>
      <c r="G3" s="1987"/>
      <c r="H3" s="1987"/>
      <c r="I3" s="1987"/>
      <c r="J3" s="1987"/>
    </row>
    <row r="4" spans="1:10">
      <c r="A4" s="1987"/>
      <c r="B4" s="1987"/>
      <c r="C4" s="1987"/>
      <c r="D4" s="1987"/>
      <c r="E4" s="1987"/>
      <c r="F4" s="1987"/>
      <c r="G4" s="1987"/>
      <c r="H4" s="1987"/>
      <c r="I4" s="1987"/>
      <c r="J4" s="1987"/>
    </row>
    <row r="5" spans="1:10">
      <c r="A5" s="1987"/>
      <c r="B5" s="1987"/>
      <c r="C5" s="1987"/>
      <c r="D5" s="1987"/>
      <c r="E5" s="1987"/>
      <c r="F5" s="1987"/>
      <c r="G5" s="1987"/>
      <c r="H5" s="1987"/>
      <c r="I5" s="1987"/>
      <c r="J5" s="1987"/>
    </row>
    <row r="6" spans="1:10">
      <c r="A6" s="1987"/>
      <c r="B6" s="1987"/>
      <c r="C6" s="1987"/>
      <c r="D6" s="1987"/>
      <c r="E6" s="1987"/>
      <c r="F6" s="1987"/>
      <c r="G6" s="1987"/>
      <c r="H6" s="1987"/>
      <c r="I6" s="1987"/>
      <c r="J6" s="1987"/>
    </row>
    <row r="7" spans="1:10">
      <c r="A7" s="1987"/>
      <c r="B7" s="1987"/>
      <c r="C7" s="1987"/>
      <c r="D7" s="1987"/>
      <c r="E7" s="1987"/>
      <c r="F7" s="1987"/>
      <c r="G7" s="1987"/>
      <c r="H7" s="1987"/>
      <c r="I7" s="1987"/>
      <c r="J7" s="1987"/>
    </row>
    <row r="8" spans="1:10">
      <c r="A8" s="1987"/>
      <c r="B8" s="1987"/>
      <c r="C8" s="1987"/>
      <c r="D8" s="1987"/>
      <c r="E8" s="1987"/>
      <c r="F8" s="1987"/>
      <c r="G8" s="1987"/>
      <c r="H8" s="1987"/>
      <c r="I8" s="1987"/>
      <c r="J8" s="1987"/>
    </row>
    <row r="9" spans="1:10">
      <c r="A9" s="1987"/>
      <c r="B9" s="1987"/>
      <c r="C9" s="1987"/>
      <c r="D9" s="1987"/>
      <c r="E9" s="1987"/>
      <c r="F9" s="1987"/>
      <c r="G9" s="1987"/>
      <c r="H9" s="1987"/>
      <c r="I9" s="1987"/>
      <c r="J9" s="1987"/>
    </row>
    <row r="10" spans="1:10">
      <c r="A10" s="1987"/>
      <c r="B10" s="1987"/>
      <c r="C10" s="1987"/>
      <c r="D10" s="1987"/>
      <c r="E10" s="1987"/>
      <c r="F10" s="1987"/>
      <c r="G10" s="1987"/>
      <c r="H10" s="1987"/>
      <c r="I10" s="1987"/>
      <c r="J10" s="1987"/>
    </row>
    <row r="11" spans="1:10">
      <c r="A11" s="1987"/>
      <c r="B11" s="1987"/>
      <c r="C11" s="1987"/>
      <c r="D11" s="1987"/>
      <c r="E11" s="1987"/>
      <c r="F11" s="1987"/>
      <c r="G11" s="1987"/>
      <c r="H11" s="1987"/>
      <c r="I11" s="1987"/>
      <c r="J11" s="1987"/>
    </row>
    <row r="12" spans="1:10">
      <c r="A12" s="1987"/>
      <c r="B12" s="1987"/>
      <c r="C12" s="1987"/>
      <c r="D12" s="1987"/>
      <c r="E12" s="1987"/>
      <c r="F12" s="1987"/>
      <c r="G12" s="1987"/>
      <c r="H12" s="1987"/>
      <c r="I12" s="1987"/>
      <c r="J12" s="1987"/>
    </row>
    <row r="13" spans="1:10">
      <c r="A13" s="1987"/>
      <c r="B13" s="1987"/>
      <c r="C13" s="1987"/>
      <c r="D13" s="1987"/>
      <c r="E13" s="1987"/>
      <c r="F13" s="1987"/>
      <c r="G13" s="1987"/>
      <c r="H13" s="1987"/>
      <c r="I13" s="1987"/>
      <c r="J13" s="1987"/>
    </row>
    <row r="14" spans="1:10">
      <c r="A14" s="1987"/>
      <c r="B14" s="1987"/>
      <c r="C14" s="1987"/>
      <c r="D14" s="1987"/>
      <c r="E14" s="1987"/>
      <c r="F14" s="1987"/>
      <c r="G14" s="1987"/>
      <c r="H14" s="1987"/>
      <c r="I14" s="1987"/>
      <c r="J14" s="1987"/>
    </row>
    <row r="15" spans="1:10">
      <c r="A15" s="1987"/>
      <c r="B15" s="1987"/>
      <c r="C15" s="1987"/>
      <c r="D15" s="1987"/>
      <c r="E15" s="1987"/>
      <c r="F15" s="1987"/>
      <c r="G15" s="1987"/>
      <c r="H15" s="1987"/>
      <c r="I15" s="1987"/>
      <c r="J15" s="1987"/>
    </row>
    <row r="16" spans="1:10">
      <c r="A16" s="1987"/>
      <c r="B16" s="1987"/>
      <c r="C16" s="1987"/>
      <c r="D16" s="1987"/>
      <c r="E16" s="1987"/>
      <c r="F16" s="1987"/>
      <c r="G16" s="1987"/>
      <c r="H16" s="1987"/>
      <c r="I16" s="1987"/>
      <c r="J16" s="1987"/>
    </row>
    <row r="17" spans="1:10">
      <c r="A17" s="1987"/>
      <c r="B17" s="1987"/>
      <c r="C17" s="1987"/>
      <c r="D17" s="1987"/>
      <c r="E17" s="1987"/>
      <c r="F17" s="1987"/>
      <c r="G17" s="1987"/>
      <c r="H17" s="1987"/>
      <c r="I17" s="1987"/>
      <c r="J17" s="1987"/>
    </row>
    <row r="18" spans="1:10">
      <c r="A18" s="1987"/>
      <c r="B18" s="1987"/>
      <c r="C18" s="1987"/>
      <c r="D18" s="1987"/>
      <c r="E18" s="1987"/>
      <c r="F18" s="1987"/>
      <c r="G18" s="1987"/>
      <c r="H18" s="1987"/>
      <c r="I18" s="1987"/>
      <c r="J18" s="1987"/>
    </row>
    <row r="19" spans="1:10">
      <c r="A19" s="1987"/>
      <c r="B19" s="1987"/>
      <c r="C19" s="1987"/>
      <c r="D19" s="1987"/>
      <c r="E19" s="1987"/>
      <c r="F19" s="1987"/>
      <c r="G19" s="1987"/>
      <c r="H19" s="1987"/>
      <c r="I19" s="1987"/>
      <c r="J19" s="1987"/>
    </row>
    <row r="20" spans="1:10">
      <c r="A20" s="1987"/>
      <c r="B20" s="1987"/>
      <c r="C20" s="1987"/>
      <c r="D20" s="1987"/>
      <c r="E20" s="1987"/>
      <c r="F20" s="1987"/>
      <c r="G20" s="1987"/>
      <c r="H20" s="1987"/>
      <c r="I20" s="1987"/>
      <c r="J20" s="1987"/>
    </row>
    <row r="21" spans="1:10">
      <c r="A21" s="1987"/>
      <c r="B21" s="1987"/>
      <c r="C21" s="1987"/>
      <c r="D21" s="1987"/>
      <c r="E21" s="1987"/>
      <c r="F21" s="1987"/>
      <c r="G21" s="1987"/>
      <c r="H21" s="1987"/>
      <c r="I21" s="1987"/>
      <c r="J21" s="1987"/>
    </row>
    <row r="22" spans="1:10">
      <c r="A22" s="1987"/>
      <c r="B22" s="1987"/>
      <c r="C22" s="1987"/>
      <c r="D22" s="1987"/>
      <c r="E22" s="1987"/>
      <c r="F22" s="1987"/>
      <c r="G22" s="1987"/>
      <c r="H22" s="1987"/>
      <c r="I22" s="1987"/>
      <c r="J22" s="1987"/>
    </row>
    <row r="23" spans="1:10">
      <c r="A23" s="1987"/>
      <c r="B23" s="1987"/>
      <c r="C23" s="1987"/>
      <c r="D23" s="1987"/>
      <c r="E23" s="1987"/>
      <c r="F23" s="1987"/>
      <c r="G23" s="1987"/>
      <c r="H23" s="1987"/>
      <c r="I23" s="1987"/>
      <c r="J23" s="1987"/>
    </row>
    <row r="24" spans="1:10">
      <c r="A24" s="1987"/>
      <c r="B24" s="1987"/>
      <c r="C24" s="1987"/>
      <c r="D24" s="1987"/>
      <c r="E24" s="1987"/>
      <c r="F24" s="1987"/>
      <c r="G24" s="1987"/>
      <c r="H24" s="1987"/>
      <c r="I24" s="1987"/>
      <c r="J24" s="1987"/>
    </row>
    <row r="25" spans="1:10">
      <c r="A25" s="1987"/>
      <c r="B25" s="1987"/>
      <c r="C25" s="1987"/>
      <c r="D25" s="1987"/>
      <c r="E25" s="1987"/>
      <c r="F25" s="1987"/>
      <c r="G25" s="1987"/>
      <c r="H25" s="1987"/>
      <c r="I25" s="1987"/>
      <c r="J25" s="1987"/>
    </row>
    <row r="26" spans="1:10">
      <c r="A26" s="1987"/>
      <c r="B26" s="1987"/>
      <c r="C26" s="1987"/>
      <c r="D26" s="1987"/>
      <c r="E26" s="1987"/>
      <c r="F26" s="1987"/>
      <c r="G26" s="1987"/>
      <c r="H26" s="1987"/>
      <c r="I26" s="1987"/>
      <c r="J26" s="1987"/>
    </row>
    <row r="27" spans="1:10">
      <c r="A27" s="1987"/>
      <c r="B27" s="1987"/>
      <c r="C27" s="1987"/>
      <c r="D27" s="1987"/>
      <c r="E27" s="1987"/>
      <c r="F27" s="1987"/>
      <c r="G27" s="1987"/>
      <c r="H27" s="1987"/>
      <c r="I27" s="1987"/>
      <c r="J27" s="1987"/>
    </row>
    <row r="28" spans="1:10">
      <c r="A28" s="1987"/>
      <c r="B28" s="1987"/>
      <c r="C28" s="1987"/>
      <c r="D28" s="1987"/>
      <c r="E28" s="1987"/>
      <c r="F28" s="1987"/>
      <c r="G28" s="1987"/>
      <c r="H28" s="1987"/>
      <c r="I28" s="1987"/>
      <c r="J28" s="1987"/>
    </row>
    <row r="29" spans="1:10">
      <c r="A29" s="1987"/>
      <c r="B29" s="1987"/>
      <c r="C29" s="1987"/>
      <c r="D29" s="1987"/>
      <c r="E29" s="1987"/>
      <c r="F29" s="1987"/>
      <c r="G29" s="1987"/>
      <c r="H29" s="1987"/>
      <c r="I29" s="1987"/>
      <c r="J29" s="1987"/>
    </row>
    <row r="30" spans="1:10">
      <c r="A30" s="1987"/>
      <c r="B30" s="1987"/>
      <c r="C30" s="1987"/>
      <c r="D30" s="1987"/>
      <c r="E30" s="1987"/>
      <c r="F30" s="1987"/>
      <c r="G30" s="1987"/>
      <c r="H30" s="1987"/>
      <c r="I30" s="1987"/>
      <c r="J30" s="1987"/>
    </row>
    <row r="31" spans="1:10">
      <c r="A31" s="1987"/>
      <c r="B31" s="1987"/>
      <c r="C31" s="1987"/>
      <c r="D31" s="1987"/>
      <c r="E31" s="1987"/>
      <c r="F31" s="1987"/>
      <c r="G31" s="1987"/>
      <c r="H31" s="1987"/>
      <c r="I31" s="1987"/>
      <c r="J31" s="1987"/>
    </row>
  </sheetData>
  <sheetProtection password="C66D" sheet="1" objects="1" scenarios="1" formatCells="0" formatColumns="0" formatRows="0" insertColumns="0" insertRows="0" deleteColumns="0" deleteRows="0"/>
  <phoneticPr fontId="97"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3" customWidth="1"/>
    <col min="2" max="16384" width="14.5" style="1975"/>
  </cols>
  <sheetData>
    <row r="1" spans="1:7" s="1990" customFormat="1" ht="18.75">
      <c r="A1" s="1989" t="s">
        <v>1658</v>
      </c>
    </row>
    <row r="3" spans="1:7">
      <c r="A3" s="1991" t="s">
        <v>82</v>
      </c>
      <c r="B3" s="1975" t="s">
        <v>1659</v>
      </c>
      <c r="G3" s="1992"/>
    </row>
    <row r="4" spans="1:7">
      <c r="G4" s="1992"/>
    </row>
    <row r="5" spans="1:7">
      <c r="A5" s="1994" t="s">
        <v>73</v>
      </c>
      <c r="B5" s="1975" t="s">
        <v>1660</v>
      </c>
      <c r="G5" s="1992"/>
    </row>
    <row r="6" spans="1:7">
      <c r="G6" s="1992"/>
    </row>
    <row r="7" spans="1:7">
      <c r="A7" s="1995" t="s">
        <v>135</v>
      </c>
      <c r="B7" s="1975" t="s">
        <v>1661</v>
      </c>
      <c r="G7" s="1992"/>
    </row>
    <row r="8" spans="1:7">
      <c r="G8" s="1992"/>
    </row>
    <row r="9" spans="1:7">
      <c r="A9" s="1996" t="s">
        <v>74</v>
      </c>
      <c r="B9" s="1975" t="s">
        <v>1662</v>
      </c>
    </row>
    <row r="11" spans="1:7">
      <c r="A11" s="1997" t="s">
        <v>75</v>
      </c>
      <c r="B11" s="1998" t="s">
        <v>72</v>
      </c>
    </row>
    <row r="13" spans="1:7">
      <c r="A13" s="1999" t="s">
        <v>1663</v>
      </c>
    </row>
    <row r="15" spans="1:7" ht="13.5">
      <c r="A15" s="3034" t="s">
        <v>1664</v>
      </c>
      <c r="B15" s="3029" t="s">
        <v>136</v>
      </c>
      <c r="C15" s="3030"/>
    </row>
    <row r="16" spans="1:7" ht="13.5">
      <c r="A16" s="3035"/>
      <c r="B16" s="3029" t="s">
        <v>69</v>
      </c>
      <c r="C16" s="3030"/>
    </row>
    <row r="17" spans="1:3" ht="13.5">
      <c r="A17" s="3035"/>
      <c r="B17" s="3032" t="s">
        <v>1665</v>
      </c>
      <c r="C17" s="2000" t="s">
        <v>1664</v>
      </c>
    </row>
    <row r="18" spans="1:3" ht="13.5">
      <c r="A18" s="3035"/>
      <c r="B18" s="3032"/>
      <c r="C18" s="2000" t="s">
        <v>1666</v>
      </c>
    </row>
    <row r="19" spans="1:3" ht="13.5">
      <c r="A19" s="3035"/>
      <c r="B19" s="3032"/>
      <c r="C19" s="2000" t="s">
        <v>1667</v>
      </c>
    </row>
    <row r="20" spans="1:3" ht="13.5">
      <c r="A20" s="3036"/>
      <c r="B20" s="3031" t="s">
        <v>1668</v>
      </c>
      <c r="C20" s="3030"/>
    </row>
    <row r="21" spans="1:3" ht="13.5">
      <c r="A21" s="2001" t="s">
        <v>1669</v>
      </c>
      <c r="B21" s="2002"/>
      <c r="C21" s="2003"/>
    </row>
    <row r="22" spans="1:3" ht="13.5">
      <c r="A22" s="3033" t="s">
        <v>1670</v>
      </c>
      <c r="B22" s="3031" t="s">
        <v>1671</v>
      </c>
      <c r="C22" s="3030"/>
    </row>
    <row r="23" spans="1:3" ht="13.5">
      <c r="A23" s="3033"/>
      <c r="B23" s="3031" t="s">
        <v>1672</v>
      </c>
      <c r="C23" s="3030"/>
    </row>
    <row r="24" spans="1:3" ht="13.5">
      <c r="A24" s="3033"/>
      <c r="B24" s="3031" t="s">
        <v>1673</v>
      </c>
      <c r="C24" s="3030"/>
    </row>
    <row r="25" spans="1:3" ht="13.5">
      <c r="A25" s="3033"/>
      <c r="B25" s="3032" t="s">
        <v>1674</v>
      </c>
      <c r="C25" s="2000" t="s">
        <v>1675</v>
      </c>
    </row>
    <row r="26" spans="1:3" ht="13.5">
      <c r="A26" s="3033"/>
      <c r="B26" s="3032"/>
      <c r="C26" s="2000" t="s">
        <v>1676</v>
      </c>
    </row>
    <row r="27" spans="1:3" ht="13.5">
      <c r="A27" s="3033"/>
      <c r="B27" s="3032"/>
      <c r="C27" s="2000" t="s">
        <v>1677</v>
      </c>
    </row>
    <row r="28" spans="1:3" ht="13.5">
      <c r="A28" s="3033"/>
      <c r="B28" s="3032"/>
      <c r="C28" s="2000" t="s">
        <v>1678</v>
      </c>
    </row>
    <row r="29" spans="1:3" ht="13.5">
      <c r="A29" s="3033"/>
      <c r="B29" s="3032"/>
      <c r="C29" s="2000" t="s">
        <v>1679</v>
      </c>
    </row>
    <row r="30" spans="1:3" ht="13.5">
      <c r="A30" s="3033"/>
      <c r="B30" s="3032"/>
      <c r="C30" s="2000" t="s">
        <v>1680</v>
      </c>
    </row>
    <row r="31" spans="1:3" ht="13.5">
      <c r="A31" s="3033"/>
      <c r="B31" s="3032"/>
      <c r="C31" s="2000" t="s">
        <v>1681</v>
      </c>
    </row>
    <row r="32" spans="1:3" ht="13.5">
      <c r="A32" s="3033"/>
      <c r="B32" s="3032"/>
      <c r="C32" s="2000" t="s">
        <v>1682</v>
      </c>
    </row>
    <row r="33" spans="1:3" ht="13.5">
      <c r="A33" s="3033"/>
      <c r="B33" s="3032"/>
      <c r="C33" s="2000" t="s">
        <v>1683</v>
      </c>
    </row>
    <row r="34" spans="1:3">
      <c r="A34" s="2004" t="s">
        <v>76</v>
      </c>
    </row>
    <row r="37" spans="1:3">
      <c r="A37" s="2004" t="s">
        <v>1684</v>
      </c>
    </row>
    <row r="38" spans="1:3" ht="13.5">
      <c r="A38" s="2005" t="s">
        <v>77</v>
      </c>
    </row>
    <row r="39" spans="1:3" ht="13.5">
      <c r="A39" s="2005" t="s">
        <v>78</v>
      </c>
    </row>
    <row r="40" spans="1:3" ht="13.5">
      <c r="A40" s="2005" t="s">
        <v>79</v>
      </c>
    </row>
    <row r="41" spans="1:3" ht="13.5">
      <c r="A41" s="2006" t="s">
        <v>80</v>
      </c>
    </row>
    <row r="42" spans="1:3" ht="13.5">
      <c r="A42" s="2005"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6"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1015"/>
    <col min="3" max="3" width="23.625" style="1015" bestFit="1" customWidth="1"/>
    <col min="4" max="5" width="22.625" style="1015"/>
    <col min="6" max="6" width="25.625" style="1015" customWidth="1"/>
    <col min="7" max="16384" width="22.625" style="1015"/>
  </cols>
  <sheetData>
    <row r="2" spans="1:6" ht="24" customHeight="1">
      <c r="A2" s="1017" t="s">
        <v>825</v>
      </c>
      <c r="B2" s="1018">
        <f ca="1">TODAY()</f>
        <v>43593</v>
      </c>
      <c r="C2" s="1019" t="s">
        <v>826</v>
      </c>
      <c r="D2" s="1019"/>
    </row>
    <row r="3" spans="1:6" ht="24" customHeight="1">
      <c r="A3" s="1020" t="s">
        <v>827</v>
      </c>
      <c r="B3" s="1021" t="s">
        <v>828</v>
      </c>
      <c r="C3" s="2347" t="s">
        <v>829</v>
      </c>
      <c r="D3" s="2350" t="s">
        <v>830</v>
      </c>
      <c r="E3" s="1022" t="s">
        <v>831</v>
      </c>
      <c r="F3" s="1021" t="s">
        <v>829</v>
      </c>
    </row>
    <row r="4" spans="1:6" ht="24" customHeight="1">
      <c r="A4" s="1702" t="s">
        <v>832</v>
      </c>
      <c r="B4" s="1022">
        <f ca="1">IF(C4&lt;B2,"已过期",1119970066)</f>
        <v>1119970066</v>
      </c>
      <c r="C4" s="2348">
        <v>43849</v>
      </c>
      <c r="D4" s="2351" t="s">
        <v>832</v>
      </c>
      <c r="E4" s="1022">
        <f ca="1">IF(F4&lt;B2,"已过期",96010014)</f>
        <v>96010014</v>
      </c>
      <c r="F4" s="1030">
        <v>47118</v>
      </c>
    </row>
    <row r="5" spans="1:6" ht="24" customHeight="1">
      <c r="A5" s="1702" t="s">
        <v>833</v>
      </c>
      <c r="B5" s="1022">
        <f ca="1">IF(C5&lt;B2,"已过期",1119970074)</f>
        <v>1119970074</v>
      </c>
      <c r="C5" s="2348">
        <v>43849</v>
      </c>
      <c r="D5" s="2351" t="s">
        <v>833</v>
      </c>
      <c r="E5" s="1022">
        <f ca="1">IF(F5&lt;B2,"已过期",2002110027)</f>
        <v>2002110027</v>
      </c>
      <c r="F5" s="1030">
        <v>46752</v>
      </c>
    </row>
    <row r="6" spans="1:6" ht="24" customHeight="1">
      <c r="A6" s="1702" t="s">
        <v>834</v>
      </c>
      <c r="B6" s="1022">
        <f ca="1">IF(C6&lt;B2,"已过期",1119970111)</f>
        <v>1119970111</v>
      </c>
      <c r="C6" s="2348">
        <v>43849</v>
      </c>
      <c r="D6" s="2351" t="s">
        <v>834</v>
      </c>
      <c r="E6" s="1022">
        <f ca="1">IF(F6&lt;B2,"已过期",94010078)</f>
        <v>94010078</v>
      </c>
      <c r="F6" s="1030">
        <v>46387</v>
      </c>
    </row>
    <row r="7" spans="1:6" ht="24" customHeight="1">
      <c r="A7" s="1702" t="s">
        <v>835</v>
      </c>
      <c r="B7" s="1022">
        <f ca="1">IF(C7&lt;B2,"已过期",1120050019)</f>
        <v>1120050019</v>
      </c>
      <c r="C7" s="2348">
        <v>44395</v>
      </c>
      <c r="D7" s="2351" t="s">
        <v>835</v>
      </c>
      <c r="E7" s="1022">
        <f ca="1">IF(F7&lt;B2,"已过期",2002110030)</f>
        <v>2002110030</v>
      </c>
      <c r="F7" s="1030">
        <v>46387</v>
      </c>
    </row>
    <row r="8" spans="1:6" ht="24" customHeight="1">
      <c r="A8" s="1702" t="s">
        <v>836</v>
      </c>
      <c r="B8" s="1022">
        <f ca="1">IF(C8&lt;B2,"已过期",1120000080)</f>
        <v>1120000080</v>
      </c>
      <c r="C8" s="2348">
        <v>43849</v>
      </c>
      <c r="D8" s="2351" t="s">
        <v>836</v>
      </c>
      <c r="E8" s="1022">
        <f ca="1">IF(F8&lt;B2,"已过期",2000110082)</f>
        <v>2000110082</v>
      </c>
      <c r="F8" s="1030">
        <v>46387</v>
      </c>
    </row>
    <row r="9" spans="1:6" ht="24" customHeight="1">
      <c r="A9" s="1702" t="s">
        <v>837</v>
      </c>
      <c r="B9" s="1022">
        <f ca="1">IF(C9&lt;B2,"已过期",1419970001)</f>
        <v>1419970001</v>
      </c>
      <c r="C9" s="2348">
        <v>43867</v>
      </c>
      <c r="D9" s="2351" t="s">
        <v>837</v>
      </c>
      <c r="E9" s="1022">
        <f ca="1">IF(F9&lt;B2,"已过期",2002110125)</f>
        <v>2002110125</v>
      </c>
      <c r="F9" s="1030">
        <v>47118</v>
      </c>
    </row>
    <row r="10" spans="1:6" ht="24" customHeight="1">
      <c r="A10" s="1702" t="s">
        <v>838</v>
      </c>
      <c r="B10" s="1022" t="str">
        <f ca="1">IF(C10&lt;B2,"已过期",1120060040)</f>
        <v>已过期</v>
      </c>
      <c r="C10" s="2348">
        <v>43483</v>
      </c>
      <c r="D10" s="2351" t="s">
        <v>838</v>
      </c>
      <c r="E10" s="1022">
        <f ca="1">IF(F10&lt;B2,"已过期",2004110096)</f>
        <v>2004110096</v>
      </c>
      <c r="F10" s="1030">
        <v>47118</v>
      </c>
    </row>
    <row r="11" spans="1:6" ht="24" customHeight="1">
      <c r="A11" s="1702" t="s">
        <v>839</v>
      </c>
      <c r="B11" s="1022">
        <f ca="1">IF(C11&lt;B2,"已过期",1120100036)</f>
        <v>1120100036</v>
      </c>
      <c r="C11" s="2348">
        <v>43622</v>
      </c>
      <c r="D11" s="2351" t="s">
        <v>839</v>
      </c>
      <c r="E11" s="1022">
        <f ca="1">IF(F11&lt;B2,"已过期",2010110070)</f>
        <v>2010110070</v>
      </c>
      <c r="F11" s="1030">
        <v>47907</v>
      </c>
    </row>
    <row r="12" spans="1:6" ht="24" customHeight="1">
      <c r="A12" s="1702"/>
      <c r="B12" s="1022"/>
      <c r="C12" s="2931"/>
      <c r="D12" s="1702"/>
      <c r="E12" s="1022"/>
      <c r="F12" s="1030"/>
    </row>
    <row r="13" spans="1:6" ht="24" customHeight="1">
      <c r="A13" s="1702" t="s">
        <v>840</v>
      </c>
      <c r="B13" s="1022">
        <f ca="1">IF(C13&lt;B2,"已过期",1120070131)</f>
        <v>1120070131</v>
      </c>
      <c r="C13" s="2348">
        <v>43814</v>
      </c>
      <c r="D13" s="2351" t="s">
        <v>840</v>
      </c>
      <c r="E13" s="1022">
        <f ca="1">IF(F13&lt;B2,"已过期",2014110011)</f>
        <v>2014110011</v>
      </c>
      <c r="F13" s="1030">
        <v>49302</v>
      </c>
    </row>
    <row r="14" spans="1:6" ht="24" customHeight="1">
      <c r="A14" s="1702" t="s">
        <v>3041</v>
      </c>
      <c r="B14" s="1022">
        <f ca="1">IF(C14&lt;B2,"已过期",1120040230)</f>
        <v>1120040230</v>
      </c>
      <c r="C14" s="2348">
        <v>43835</v>
      </c>
      <c r="D14" s="2351" t="s">
        <v>3041</v>
      </c>
      <c r="E14" s="1022">
        <f ca="1">IF(F14&lt;B2,"已过期",98030020)</f>
        <v>98030020</v>
      </c>
      <c r="F14" s="1030">
        <v>47118</v>
      </c>
    </row>
    <row r="15" spans="1:6" ht="24" customHeight="1">
      <c r="A15" s="1703" t="s">
        <v>3042</v>
      </c>
      <c r="B15" s="1022">
        <f ca="1">IF(C15&lt;B2,"已过期",1120070085)</f>
        <v>1120070085</v>
      </c>
      <c r="C15" s="2348">
        <v>43814</v>
      </c>
      <c r="D15" s="2352" t="s">
        <v>3042</v>
      </c>
      <c r="E15" s="1022">
        <f ca="1">IF(F15&lt;B2,"已过期",2004110128)</f>
        <v>2004110128</v>
      </c>
      <c r="F15" s="1023">
        <v>47118</v>
      </c>
    </row>
    <row r="16" spans="1:6" ht="24" customHeight="1">
      <c r="A16" s="1702" t="s">
        <v>3043</v>
      </c>
      <c r="B16" s="1022">
        <f ca="1">IF(C16&lt;B2,"已过期",1120140022)</f>
        <v>1120140022</v>
      </c>
      <c r="C16" s="2931">
        <v>44029</v>
      </c>
      <c r="D16" s="2351" t="s">
        <v>3043</v>
      </c>
      <c r="E16" s="1022">
        <f ca="1">IF(F16&lt;B2,"已过期",2008110059)</f>
        <v>2008110059</v>
      </c>
      <c r="F16" s="1030">
        <v>47177</v>
      </c>
    </row>
    <row r="17" spans="1:7" ht="24" customHeight="1">
      <c r="A17" s="1702"/>
      <c r="B17" s="1022"/>
      <c r="C17" s="2348"/>
      <c r="D17" s="2351" t="s">
        <v>3044</v>
      </c>
      <c r="E17" s="1022">
        <f ca="1">IF(F17&lt;B2,"已过期",2014110076)</f>
        <v>2014110076</v>
      </c>
      <c r="F17" s="1030">
        <v>49302</v>
      </c>
    </row>
    <row r="18" spans="1:7" ht="24" customHeight="1">
      <c r="A18" s="1702"/>
      <c r="B18" s="1022"/>
      <c r="C18" s="2348"/>
      <c r="D18" s="2351"/>
      <c r="E18" s="1022"/>
      <c r="F18" s="1030"/>
    </row>
    <row r="19" spans="1:7" ht="24" customHeight="1">
      <c r="A19" s="1702"/>
      <c r="B19" s="1022"/>
      <c r="C19" s="2348"/>
      <c r="D19" s="2351"/>
      <c r="E19" s="1022"/>
      <c r="F19" s="1022"/>
    </row>
    <row r="20" spans="1:7" ht="24" customHeight="1">
      <c r="A20" s="1702"/>
      <c r="B20" s="1022"/>
      <c r="C20" s="2348"/>
      <c r="D20" s="2351"/>
      <c r="E20" s="1022"/>
      <c r="F20" s="1022"/>
    </row>
    <row r="21" spans="1:7" ht="24" customHeight="1">
      <c r="A21" s="1702"/>
      <c r="B21" s="1022"/>
      <c r="C21" s="2348"/>
      <c r="D21" s="2351" t="s">
        <v>841</v>
      </c>
      <c r="E21" s="1022">
        <f ca="1">IF(F21&lt;B2,"已过期",2011110090)</f>
        <v>2011110090</v>
      </c>
      <c r="F21" s="1030">
        <v>48302</v>
      </c>
    </row>
    <row r="22" spans="1:7" ht="24" customHeight="1">
      <c r="A22" s="1702" t="s">
        <v>842</v>
      </c>
      <c r="B22" s="1022">
        <f ca="1">IF(C22&lt;B2,"已过期",1120020033)</f>
        <v>1120020033</v>
      </c>
      <c r="C22" s="2931">
        <v>44339</v>
      </c>
      <c r="D22" s="2351" t="s">
        <v>842</v>
      </c>
      <c r="E22" s="1022">
        <f ca="1">IF(F22&lt;B2,"已过期",2000110137)</f>
        <v>2000110137</v>
      </c>
      <c r="F22" s="1030">
        <v>46387</v>
      </c>
    </row>
    <row r="23" spans="1:7" ht="24" customHeight="1">
      <c r="A23" s="1702"/>
      <c r="B23" s="1022"/>
      <c r="C23" s="2348"/>
      <c r="D23" s="2351"/>
      <c r="E23" s="1022"/>
      <c r="F23" s="1022"/>
    </row>
    <row r="24" spans="1:7" s="1024" customFormat="1" ht="24" customHeight="1">
      <c r="A24" s="1703" t="s">
        <v>1329</v>
      </c>
      <c r="B24" s="1703" t="s">
        <v>1329</v>
      </c>
      <c r="C24" s="2349" t="s">
        <v>1329</v>
      </c>
      <c r="D24" s="2352" t="s">
        <v>1329</v>
      </c>
      <c r="E24" s="1703" t="s">
        <v>1329</v>
      </c>
      <c r="F24" s="1703" t="s">
        <v>1329</v>
      </c>
    </row>
    <row r="25" spans="1:7" ht="24" customHeight="1">
      <c r="A25" s="3037" t="s">
        <v>843</v>
      </c>
      <c r="B25" s="3037"/>
      <c r="C25" s="3037"/>
      <c r="D25" s="3037"/>
      <c r="E25" s="3037"/>
      <c r="F25" s="3037"/>
      <c r="G25" s="3037"/>
    </row>
    <row r="26" spans="1:7" s="1025" customFormat="1" ht="24" customHeight="1">
      <c r="A26" s="3038" t="s">
        <v>844</v>
      </c>
      <c r="B26" s="3038"/>
      <c r="C26" s="3039"/>
      <c r="D26" s="3040" t="s">
        <v>845</v>
      </c>
      <c r="E26" s="3038"/>
      <c r="F26" s="3038"/>
    </row>
    <row r="27" spans="1:7" s="1027" customFormat="1" ht="24" customHeight="1">
      <c r="A27" s="1026" t="s">
        <v>846</v>
      </c>
      <c r="B27" s="1021" t="s">
        <v>847</v>
      </c>
      <c r="C27" s="2347" t="s">
        <v>848</v>
      </c>
      <c r="D27" s="2355" t="s">
        <v>846</v>
      </c>
      <c r="E27" s="1021" t="s">
        <v>847</v>
      </c>
      <c r="F27" s="1021" t="s">
        <v>848</v>
      </c>
    </row>
    <row r="28" spans="1:7" s="1027" customFormat="1" ht="24" customHeight="1">
      <c r="A28" s="1028" t="s">
        <v>849</v>
      </c>
      <c r="B28" s="1029" t="s">
        <v>850</v>
      </c>
      <c r="C28" s="2353">
        <v>43725</v>
      </c>
      <c r="D28" s="2356" t="s">
        <v>851</v>
      </c>
      <c r="E28" s="1028" t="s">
        <v>852</v>
      </c>
      <c r="F28" s="1058">
        <v>44377</v>
      </c>
    </row>
    <row r="29" spans="1:7" s="1027" customFormat="1" ht="24" customHeight="1">
      <c r="A29" s="1028"/>
      <c r="B29" s="1028"/>
      <c r="C29" s="2354"/>
      <c r="D29" s="2356" t="s">
        <v>853</v>
      </c>
      <c r="E29" s="1202" t="s">
        <v>1380</v>
      </c>
      <c r="F29" s="1203">
        <v>43281</v>
      </c>
    </row>
    <row r="30" spans="1:7" ht="24" customHeight="1">
      <c r="C30" s="1031"/>
      <c r="D30" s="1031"/>
    </row>
  </sheetData>
  <sheetProtection password="C66D" sheet="1" objects="1" scenarios="1"/>
  <mergeCells count="3">
    <mergeCell ref="A25:G25"/>
    <mergeCell ref="A26:C26"/>
    <mergeCell ref="D26:F26"/>
  </mergeCells>
  <phoneticPr fontId="88" type="noConversion"/>
  <conditionalFormatting sqref="C28">
    <cfRule type="expression" dxfId="207" priority="88">
      <formula>AND($C28-TODAY()&lt;30,TODAY()&lt;$C28)</formula>
    </cfRule>
  </conditionalFormatting>
  <conditionalFormatting sqref="C28 F4">
    <cfRule type="cellIs" dxfId="206" priority="90" stopIfTrue="1" operator="lessThan">
      <formula>$B$2</formula>
    </cfRule>
  </conditionalFormatting>
  <conditionalFormatting sqref="C5">
    <cfRule type="expression" dxfId="205" priority="85">
      <formula>AND($C5-TODAY()&lt;30,TODAY()&lt;$C5)</formula>
    </cfRule>
  </conditionalFormatting>
  <conditionalFormatting sqref="C5 F5">
    <cfRule type="cellIs" dxfId="204" priority="86" stopIfTrue="1" operator="lessThan">
      <formula>$B$2</formula>
    </cfRule>
  </conditionalFormatting>
  <conditionalFormatting sqref="F6 F8 F10">
    <cfRule type="cellIs" dxfId="203" priority="84" stopIfTrue="1" operator="lessThan">
      <formula>$B$2</formula>
    </cfRule>
  </conditionalFormatting>
  <conditionalFormatting sqref="C4:C11 C13 C23 C17:C21">
    <cfRule type="expression" dxfId="202" priority="82">
      <formula>AND($C4-TODAY()&lt;30,TODAY()&lt;$C4)</formula>
    </cfRule>
  </conditionalFormatting>
  <conditionalFormatting sqref="F7 F9 F11 C4:C11 C13 C23 C17:C21">
    <cfRule type="cellIs" dxfId="201" priority="83" stopIfTrue="1" operator="lessThan">
      <formula>$B$2</formula>
    </cfRule>
  </conditionalFormatting>
  <conditionalFormatting sqref="C18">
    <cfRule type="expression" dxfId="200" priority="72">
      <formula>AND($C18-TODAY()&lt;30,TODAY()&lt;$C18)</formula>
    </cfRule>
  </conditionalFormatting>
  <conditionalFormatting sqref="C18">
    <cfRule type="cellIs" dxfId="199" priority="73" stopIfTrue="1" operator="lessThan">
      <formula>$B$2</formula>
    </cfRule>
  </conditionalFormatting>
  <conditionalFormatting sqref="C20">
    <cfRule type="expression" dxfId="198" priority="70">
      <formula>AND($C20-TODAY()&lt;30,TODAY()&lt;$C20)</formula>
    </cfRule>
  </conditionalFormatting>
  <conditionalFormatting sqref="C20">
    <cfRule type="cellIs" dxfId="197" priority="71" stopIfTrue="1" operator="lessThan">
      <formula>$B$2</formula>
    </cfRule>
  </conditionalFormatting>
  <conditionalFormatting sqref="C17">
    <cfRule type="expression" dxfId="196" priority="64">
      <formula>AND($C17-TODAY()&lt;30,TODAY()&lt;$C17)</formula>
    </cfRule>
  </conditionalFormatting>
  <conditionalFormatting sqref="C17">
    <cfRule type="cellIs" dxfId="195" priority="65" stopIfTrue="1" operator="lessThan">
      <formula>$B$2</formula>
    </cfRule>
  </conditionalFormatting>
  <conditionalFormatting sqref="C19">
    <cfRule type="expression" dxfId="194" priority="62">
      <formula>AND($C19-TODAY()&lt;30,TODAY()&lt;$C19)</formula>
    </cfRule>
  </conditionalFormatting>
  <conditionalFormatting sqref="C19">
    <cfRule type="cellIs" dxfId="193" priority="63" stopIfTrue="1" operator="lessThan">
      <formula>$B$2</formula>
    </cfRule>
  </conditionalFormatting>
  <conditionalFormatting sqref="C21">
    <cfRule type="expression" dxfId="192" priority="60">
      <formula>AND($C21-TODAY()&lt;30,TODAY()&lt;$C21)</formula>
    </cfRule>
  </conditionalFormatting>
  <conditionalFormatting sqref="C21">
    <cfRule type="cellIs" dxfId="191" priority="61" stopIfTrue="1" operator="lessThan">
      <formula>$B$2</formula>
    </cfRule>
  </conditionalFormatting>
  <conditionalFormatting sqref="C23">
    <cfRule type="expression" dxfId="190" priority="58">
      <formula>AND($C23-TODAY()&lt;30,TODAY()&lt;$C23)</formula>
    </cfRule>
  </conditionalFormatting>
  <conditionalFormatting sqref="C23">
    <cfRule type="cellIs" dxfId="189" priority="59" stopIfTrue="1" operator="lessThan">
      <formula>$B$2</formula>
    </cfRule>
  </conditionalFormatting>
  <conditionalFormatting sqref="F18">
    <cfRule type="cellIs" dxfId="188" priority="55" stopIfTrue="1" operator="lessThan">
      <formula>$B$2</formula>
    </cfRule>
  </conditionalFormatting>
  <conditionalFormatting sqref="F22">
    <cfRule type="cellIs" dxfId="187" priority="54" stopIfTrue="1" operator="lessThan">
      <formula>$B$2</formula>
    </cfRule>
  </conditionalFormatting>
  <conditionalFormatting sqref="F21">
    <cfRule type="cellIs" dxfId="186" priority="53" stopIfTrue="1" operator="lessThan">
      <formula>$B$2</formula>
    </cfRule>
  </conditionalFormatting>
  <conditionalFormatting sqref="B4:B11 E4:E11 B17:B23 E18:E23 B13 E13">
    <cfRule type="cellIs" dxfId="185" priority="51" stopIfTrue="1" operator="equal">
      <formula>"已过期"</formula>
    </cfRule>
  </conditionalFormatting>
  <conditionalFormatting sqref="A24:F24">
    <cfRule type="cellIs" dxfId="184" priority="47" stopIfTrue="1" operator="equal">
      <formula>"已过期"</formula>
    </cfRule>
  </conditionalFormatting>
  <conditionalFormatting sqref="F28">
    <cfRule type="expression" dxfId="183" priority="45">
      <formula>AND($E28-TODAY()&lt;30,TODAY()&lt;$E28)</formula>
    </cfRule>
  </conditionalFormatting>
  <conditionalFormatting sqref="F28">
    <cfRule type="cellIs" dxfId="182" priority="46" stopIfTrue="1" operator="lessThan">
      <formula>$B$2</formula>
    </cfRule>
  </conditionalFormatting>
  <conditionalFormatting sqref="F29">
    <cfRule type="expression" dxfId="181" priority="41" stopIfTrue="1">
      <formula>AND($E29-TODAY()&lt;30,TODAY()&lt;$E29)</formula>
    </cfRule>
  </conditionalFormatting>
  <conditionalFormatting sqref="F29">
    <cfRule type="cellIs" dxfId="180" priority="42" stopIfTrue="1" operator="lessThan">
      <formula>$B$2</formula>
    </cfRule>
  </conditionalFormatting>
  <conditionalFormatting sqref="F13">
    <cfRule type="cellIs" dxfId="179" priority="34" stopIfTrue="1" operator="lessThan">
      <formula>$B$2</formula>
    </cfRule>
  </conditionalFormatting>
  <conditionalFormatting sqref="C12">
    <cfRule type="expression" dxfId="178" priority="32">
      <formula>AND($C12-TODAY()&lt;30,TODAY()&lt;$C12)</formula>
    </cfRule>
  </conditionalFormatting>
  <conditionalFormatting sqref="C12">
    <cfRule type="cellIs" dxfId="177" priority="33" stopIfTrue="1" operator="lessThan">
      <formula>$B$2</formula>
    </cfRule>
  </conditionalFormatting>
  <conditionalFormatting sqref="C12">
    <cfRule type="expression" dxfId="176" priority="30">
      <formula>AND($C12-TODAY()&lt;30,TODAY()&lt;$C12)</formula>
    </cfRule>
  </conditionalFormatting>
  <conditionalFormatting sqref="C12">
    <cfRule type="cellIs" dxfId="175" priority="31" stopIfTrue="1" operator="lessThan">
      <formula>$B$2</formula>
    </cfRule>
  </conditionalFormatting>
  <conditionalFormatting sqref="B12">
    <cfRule type="cellIs" dxfId="174" priority="29" stopIfTrue="1" operator="equal">
      <formula>"已过期"</formula>
    </cfRule>
  </conditionalFormatting>
  <conditionalFormatting sqref="E12">
    <cfRule type="cellIs" dxfId="173" priority="28" stopIfTrue="1" operator="equal">
      <formula>"已过期"</formula>
    </cfRule>
  </conditionalFormatting>
  <conditionalFormatting sqref="F12">
    <cfRule type="cellIs" dxfId="172" priority="27" stopIfTrue="1" operator="lessThan">
      <formula>$B$2</formula>
    </cfRule>
  </conditionalFormatting>
  <conditionalFormatting sqref="C22">
    <cfRule type="expression" dxfId="171" priority="25">
      <formula>AND($C22-TODAY()&lt;30,TODAY()&lt;$C22)</formula>
    </cfRule>
  </conditionalFormatting>
  <conditionalFormatting sqref="C22">
    <cfRule type="cellIs" dxfId="170" priority="26" stopIfTrue="1" operator="lessThan">
      <formula>$B$2</formula>
    </cfRule>
  </conditionalFormatting>
  <conditionalFormatting sqref="C22">
    <cfRule type="expression" dxfId="169" priority="23">
      <formula>AND($C22-TODAY()&lt;30,TODAY()&lt;$C22)</formula>
    </cfRule>
  </conditionalFormatting>
  <conditionalFormatting sqref="C22">
    <cfRule type="cellIs" dxfId="168" priority="24" stopIfTrue="1" operator="lessThan">
      <formula>$B$2</formula>
    </cfRule>
  </conditionalFormatting>
  <conditionalFormatting sqref="C16">
    <cfRule type="expression" dxfId="167" priority="21">
      <formula>AND($C16-TODAY()&lt;30,TODAY()&lt;$C16)</formula>
    </cfRule>
  </conditionalFormatting>
  <conditionalFormatting sqref="C16">
    <cfRule type="cellIs" dxfId="166" priority="22" stopIfTrue="1" operator="lessThan">
      <formula>$B$2</formula>
    </cfRule>
  </conditionalFormatting>
  <conditionalFormatting sqref="C16">
    <cfRule type="expression" dxfId="165" priority="19">
      <formula>AND($C16-TODAY()&lt;30,TODAY()&lt;$C16)</formula>
    </cfRule>
  </conditionalFormatting>
  <conditionalFormatting sqref="C16">
    <cfRule type="cellIs" dxfId="164" priority="20" stopIfTrue="1" operator="lessThan">
      <formula>$B$2</formula>
    </cfRule>
  </conditionalFormatting>
  <conditionalFormatting sqref="B16">
    <cfRule type="cellIs" dxfId="163" priority="18" stopIfTrue="1" operator="equal">
      <formula>"已过期"</formula>
    </cfRule>
  </conditionalFormatting>
  <conditionalFormatting sqref="C14:C15">
    <cfRule type="expression" dxfId="162" priority="16">
      <formula>AND($C14-TODAY()&lt;30,TODAY()&lt;$C14)</formula>
    </cfRule>
  </conditionalFormatting>
  <conditionalFormatting sqref="C14:C15">
    <cfRule type="cellIs" dxfId="161" priority="17" stopIfTrue="1" operator="lessThan">
      <formula>$B$2</formula>
    </cfRule>
  </conditionalFormatting>
  <conditionalFormatting sqref="C14">
    <cfRule type="expression" dxfId="160" priority="14">
      <formula>AND($C14-TODAY()&lt;30,TODAY()&lt;$C14)</formula>
    </cfRule>
  </conditionalFormatting>
  <conditionalFormatting sqref="C14">
    <cfRule type="cellIs" dxfId="159" priority="15" stopIfTrue="1" operator="lessThan">
      <formula>$B$2</formula>
    </cfRule>
  </conditionalFormatting>
  <conditionalFormatting sqref="C15">
    <cfRule type="expression" dxfId="158" priority="12">
      <formula>AND($C15-TODAY()&lt;30,TODAY()&lt;$C15)</formula>
    </cfRule>
  </conditionalFormatting>
  <conditionalFormatting sqref="C15">
    <cfRule type="cellIs" dxfId="157" priority="13" stopIfTrue="1" operator="lessThan">
      <formula>$B$2</formula>
    </cfRule>
  </conditionalFormatting>
  <conditionalFormatting sqref="B14">
    <cfRule type="cellIs" dxfId="156" priority="11" stopIfTrue="1" operator="equal">
      <formula>"已过期"</formula>
    </cfRule>
  </conditionalFormatting>
  <conditionalFormatting sqref="B15">
    <cfRule type="cellIs" dxfId="155" priority="10" stopIfTrue="1" operator="equal">
      <formula>"已过期"</formula>
    </cfRule>
  </conditionalFormatting>
  <conditionalFormatting sqref="A15">
    <cfRule type="cellIs" dxfId="154" priority="9" stopIfTrue="1" operator="equal">
      <formula>"已过期"</formula>
    </cfRule>
  </conditionalFormatting>
  <conditionalFormatting sqref="C15">
    <cfRule type="expression" dxfId="153" priority="8">
      <formula>AND($C15-TODAY()&lt;30,TODAY()&lt;$C15)</formula>
    </cfRule>
  </conditionalFormatting>
  <conditionalFormatting sqref="F16">
    <cfRule type="cellIs" dxfId="152" priority="7" stopIfTrue="1" operator="lessThan">
      <formula>$B$2</formula>
    </cfRule>
  </conditionalFormatting>
  <conditionalFormatting sqref="E16 E14">
    <cfRule type="cellIs" dxfId="151" priority="6" stopIfTrue="1" operator="equal">
      <formula>"已过期"</formula>
    </cfRule>
  </conditionalFormatting>
  <conditionalFormatting sqref="E15">
    <cfRule type="cellIs" dxfId="150" priority="5" stopIfTrue="1" operator="equal">
      <formula>"已过期"</formula>
    </cfRule>
  </conditionalFormatting>
  <conditionalFormatting sqref="D15">
    <cfRule type="cellIs" dxfId="149" priority="4" stopIfTrue="1" operator="equal">
      <formula>"已过期"</formula>
    </cfRule>
  </conditionalFormatting>
  <conditionalFormatting sqref="F17">
    <cfRule type="cellIs" dxfId="148" priority="3" stopIfTrue="1" operator="lessThan">
      <formula>$B$2</formula>
    </cfRule>
  </conditionalFormatting>
  <conditionalFormatting sqref="E17">
    <cfRule type="cellIs" dxfId="147" priority="2" stopIfTrue="1" operator="equal">
      <formula>"已过期"</formula>
    </cfRule>
  </conditionalFormatting>
  <conditionalFormatting sqref="F14">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134</vt:i4>
      </vt:variant>
    </vt:vector>
  </HeadingPairs>
  <TitlesOfParts>
    <vt:vector size="18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东</vt:lpstr>
      <vt:lpstr>西</vt:lpstr>
      <vt:lpstr>数据-汇总表</vt:lpstr>
      <vt:lpstr>数据-取费表</vt:lpstr>
      <vt:lpstr>估价对象房地状况</vt:lpstr>
      <vt:lpstr>租金表</vt:lpstr>
      <vt:lpstr>系统读取表</vt:lpstr>
      <vt:lpstr>结果表</vt:lpstr>
      <vt:lpstr>成本法</vt:lpstr>
      <vt:lpstr>成本法 (元)</vt:lpstr>
      <vt:lpstr>假设开发法</vt:lpstr>
      <vt:lpstr>基准地价修正</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2019-05-08T03:08:19Z</dcterms:modified>
</cp:coreProperties>
</file>