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95" windowWidth="11625" windowHeight="10680" tabRatio="899"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租金结果表" sheetId="85" r:id="rId26"/>
    <sheet name="租金案例" sheetId="82" r:id="rId27"/>
    <sheet name="比较法-商业" sheetId="33" r:id="rId28"/>
    <sheet name="收益法倒推租金"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商业售价" sheetId="84" r:id="rId41"/>
    <sheet name="收益法倒推租金 (2)" sheetId="86" r:id="rId42"/>
    <sheet name="收益法 (元)" sheetId="67" r:id="rId43"/>
    <sheet name="典型户型修正" sheetId="31" state="hidden" r:id="rId44"/>
    <sheet name="区片价" sheetId="44" state="hidden" r:id="rId45"/>
    <sheet name="因素修正幅度" sheetId="65" state="hidden" r:id="rId46"/>
    <sheet name="区片价（范围）" sheetId="75" state="hidden" r:id="rId47"/>
    <sheet name="地价-分区" sheetId="79" state="hidden" r:id="rId48"/>
    <sheet name="地价" sheetId="71" r:id="rId49"/>
    <sheet name="存贷款利率" sheetId="73" state="hidden" r:id="rId50"/>
  </sheets>
  <externalReferences>
    <externalReference r:id="rId51"/>
    <externalReference r:id="rId52"/>
    <externalReference r:id="rId53"/>
    <externalReference r:id="rId54"/>
    <externalReference r:id="rId55"/>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40" hidden="1">'比较法-商业售价'!$A$1:$L$49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40">'比较法-商业售价'!$A$1:$K$54,'比较法-商业售价'!$A$57:$M$131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2">'收益法 (元)'!$A$1:$F$43,'收益法 (元)'!$H$3:$M$29,'收益法 (元)'!$A$45:$F$71,'收益法 (元)'!$I$46:$N$65</definedName>
    <definedName name="_xlnm.Print_Area" localSheetId="23">'收益法（汇总）'!$A$1:$F$13</definedName>
    <definedName name="_xlnm.Print_Area" localSheetId="28">收益法倒推租金!$A$1:$I$53</definedName>
    <definedName name="_xlnm.Print_Area" localSheetId="41">'收益法倒推租金 (2)'!$A$1:$I$53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 localSheetId="28">[1]区片价!$O$1:$O$40</definedName>
    <definedName name="八级" localSheetId="41">[1]区片价!$O$1:$O$40</definedName>
    <definedName name="八级">区片价!$P$1:$P$44</definedName>
    <definedName name="办公层高" localSheetId="28">'[1]比较法-办公'!$B$119:$M$119</definedName>
    <definedName name="办公层高" localSheetId="41">'[1]比较法-办公'!$B$119:$M$119</definedName>
    <definedName name="办公层高">'比较法-办公'!$B$119:$M$119</definedName>
    <definedName name="办公朝向" localSheetId="28">'[1]比较法-办公'!$B$91:$M$91</definedName>
    <definedName name="办公朝向" localSheetId="41">'[1]比较法-办公'!$B$91:$M$91</definedName>
    <definedName name="办公朝向">'比较法-办公'!$B$91:$M$91</definedName>
    <definedName name="办公道路级别" localSheetId="28">'[1]比较法-办公'!$B$87:$M$87</definedName>
    <definedName name="办公道路级别" localSheetId="41">'[1]比较法-办公'!$B$87:$M$87</definedName>
    <definedName name="办公道路级别">'比较法-办公'!$B$87:$M$87</definedName>
    <definedName name="办公公共部分装修" localSheetId="28">'[1]比较法-办公'!$B$108:$M$108</definedName>
    <definedName name="办公公共部分装修" localSheetId="41">'[1]比较法-办公'!$B$108:$M$108</definedName>
    <definedName name="办公公共部分装修">'比较法-办公'!$B$108:$M$108</definedName>
    <definedName name="办公基础设施水平" localSheetId="28">'[1]比较法-办公'!$B$117:$M$117</definedName>
    <definedName name="办公基础设施水平" localSheetId="41">'[1]比较法-办公'!$B$117:$M$117</definedName>
    <definedName name="办公基础设施水平">'比较法-办公'!$B$117:$M$117</definedName>
    <definedName name="办公集聚程度" localSheetId="28">[1]定义!$M$1:$M$6</definedName>
    <definedName name="办公集聚程度" localSheetId="41">[1]定义!$M$1:$M$6</definedName>
    <definedName name="办公集聚程度">定义!$M$1:$M$6</definedName>
    <definedName name="办公建筑结构" localSheetId="28">'[1]比较法-办公'!$B$106:$M$106</definedName>
    <definedName name="办公建筑结构" localSheetId="41">'[1]比较法-办公'!$B$106:$M$106</definedName>
    <definedName name="办公建筑结构">'比较法-办公'!$B$106:$M$106</definedName>
    <definedName name="办公建筑类型" localSheetId="28">'[1]比较法-办公'!$B$101:$M$101</definedName>
    <definedName name="办公建筑类型" localSheetId="41">'[1]比较法-办公'!$B$101:$M$101</definedName>
    <definedName name="办公建筑类型">'比较法-办公'!$B$101:$M$101</definedName>
    <definedName name="办公交易情况" localSheetId="28">'[1]比较法-办公'!$A$62:$M$62</definedName>
    <definedName name="办公交易情况" localSheetId="41">'[1]比较法-办公'!$A$62:$M$62</definedName>
    <definedName name="办公交易情况">'比较法-办公'!$A$62:$M$62</definedName>
    <definedName name="办公楼层" localSheetId="28">'[1]比较法-办公'!$B$89:$M$89</definedName>
    <definedName name="办公楼层" localSheetId="41">'[1]比较法-办公'!$B$89:$M$89</definedName>
    <definedName name="办公楼层">'比较法-办公'!$B$89:$M$89</definedName>
    <definedName name="办公内部装修" localSheetId="28">'[1]比较法-办公'!$B$123:$M$123</definedName>
    <definedName name="办公内部装修" localSheetId="41">'[1]比较法-办公'!$B$123:$M$123</definedName>
    <definedName name="办公内部装修">'比较法-办公'!$B$123:$M$123</definedName>
    <definedName name="办公物业管理" localSheetId="28">'[1]比较法-办公'!$B$115:$M$115</definedName>
    <definedName name="办公物业管理" localSheetId="41">'[1]比较法-办公'!$B$115:$M$115</definedName>
    <definedName name="办公物业管理">'比较法-办公'!$B$115:$M$115</definedName>
    <definedName name="办公用途" localSheetId="28">'[1]比较法-办公'!$B$64:$M$64</definedName>
    <definedName name="办公用途" localSheetId="41">'[1]比较法-办公'!$B$64:$M$64</definedName>
    <definedName name="办公用途">'比较法-办公'!$B$64:$M$64</definedName>
    <definedName name="仓储公共部分装修" localSheetId="28">'[1]比较法-仓储'!$B$77:$M$77</definedName>
    <definedName name="仓储公共部分装修" localSheetId="41">'[1]比较法-仓储'!$B$77:$M$77</definedName>
    <definedName name="仓储公共部分装修">'比较法-仓储'!$B$77:$M$77</definedName>
    <definedName name="仓储交易情况" localSheetId="28">'[1]比较法-仓储'!$A$49:$M$49</definedName>
    <definedName name="仓储交易情况" localSheetId="41">'[1]比较法-仓储'!$A$49:$M$49</definedName>
    <definedName name="仓储交易情况">'比较法-仓储'!$A$49:$M$49</definedName>
    <definedName name="仓储楼层" localSheetId="28">'[1]比较法-仓储'!$B$69:$M$69</definedName>
    <definedName name="仓储楼层" localSheetId="41">'[1]比较法-仓储'!$B$69:$M$69</definedName>
    <definedName name="仓储楼层">'比较法-仓储'!$B$69:$M$69</definedName>
    <definedName name="仓储物业等级" localSheetId="28">'[1]比较法-仓储'!$B$82:$M$82</definedName>
    <definedName name="仓储物业等级" localSheetId="41">'[1]比较法-仓储'!$B$82:$M$82</definedName>
    <definedName name="仓储物业等级">'比较法-仓储'!$B$82:$M$82</definedName>
    <definedName name="仓储用途" localSheetId="28">'[1]比较法-仓储'!$B$51:$M$51</definedName>
    <definedName name="仓储用途" localSheetId="41">'[1]比较法-仓储'!$B$51:$M$51</definedName>
    <definedName name="仓储用途">'比较法-仓储'!$B$51:$M$51</definedName>
    <definedName name="产业集聚程度" localSheetId="28">[1]定义!$N$1:$N$6</definedName>
    <definedName name="产业集聚程度" localSheetId="41">[1]定义!$N$1:$N$6</definedName>
    <definedName name="产业集聚程度">定义!$N$1:$N$6</definedName>
    <definedName name="车位公共部分装修" localSheetId="28">'[1]比较法-车位'!$B$83:$M$83</definedName>
    <definedName name="车位公共部分装修" localSheetId="41">'[1]比较法-车位'!$B$83:$M$83</definedName>
    <definedName name="车位公共部分装修">'比较法-车位'!$B$83:$M$83</definedName>
    <definedName name="车位交易情况" localSheetId="28">'[1]比较法-车位'!$A$51:$M$51</definedName>
    <definedName name="车位交易情况" localSheetId="41">'[1]比较法-车位'!$A$51:$M$51</definedName>
    <definedName name="车位交易情况">'比较法-车位'!$A$51:$M$51</definedName>
    <definedName name="车位类型" localSheetId="28">'[1]比较法-车位'!$B$93:$M$93</definedName>
    <definedName name="车位类型" localSheetId="41">'[1]比较法-车位'!$B$93:$M$93</definedName>
    <definedName name="车位类型">'比较法-车位'!$B$93:$M$93</definedName>
    <definedName name="车位楼层" localSheetId="28">'[1]比较法-车位'!$B$71:$M$71</definedName>
    <definedName name="车位楼层" localSheetId="41">'[1]比较法-车位'!$B$71:$M$71</definedName>
    <definedName name="车位楼层">'比较法-车位'!$B$71:$M$71</definedName>
    <definedName name="车位配套类型" localSheetId="28">'[1]比较法-车位'!$B$79:$M$79</definedName>
    <definedName name="车位配套类型" localSheetId="41">'[1]比较法-车位'!$B$79:$M$79</definedName>
    <definedName name="车位配套类型">'比较法-车位'!$B$79:$M$79</definedName>
    <definedName name="车位物业等级" localSheetId="28">'[1]比较法-车位'!$B$88:$M$88</definedName>
    <definedName name="车位物业等级" localSheetId="41">'[1]比较法-车位'!$B$88:$M$88</definedName>
    <definedName name="车位物业等级">'比较法-车位'!$B$88:$M$88</definedName>
    <definedName name="车位用途" localSheetId="28">'[1]比较法-车位'!$B$53:$M$53</definedName>
    <definedName name="车位用途" localSheetId="41">'[1]比较法-车位'!$B$53:$M$53</definedName>
    <definedName name="车位用途">'比较法-车位'!$B$53:$M$53</definedName>
    <definedName name="城镇土地纳税等级分级范围" localSheetId="28">'[1]数据-取费表'!$A$53:$A$63</definedName>
    <definedName name="城镇土地纳税等级分级范围" localSheetId="41">'[1]数据-取费表'!$A$53:$A$63</definedName>
    <definedName name="城镇土地纳税等级分级范围">'数据-取费表'!$A$53:$A$63</definedName>
    <definedName name="单价内涵" localSheetId="28">[1]定义!$V$1:$V$3</definedName>
    <definedName name="单价内涵" localSheetId="41">[1]定义!$V$1:$V$3</definedName>
    <definedName name="单价内涵">定义!$V$1:$V$3</definedName>
    <definedName name="地类判定" localSheetId="28">[1]定义!$H$1:$H$9</definedName>
    <definedName name="地类判定" localSheetId="41">[1]定义!$H$1:$H$9</definedName>
    <definedName name="地类判定">定义!$H$1:$H$9</definedName>
    <definedName name="二级" localSheetId="28">[1]区片价!$I$1:$I$20</definedName>
    <definedName name="二级" localSheetId="41">[1]区片价!$I$1:$I$20</definedName>
    <definedName name="二级">区片价!$J$1:$J$21</definedName>
    <definedName name="二级分类" localSheetId="28">[1]修正!$C$17:$C$39</definedName>
    <definedName name="二级分类" localSheetId="41">[1]修正!$C$17:$C$39</definedName>
    <definedName name="二级分类">修正!$C$19:$C$51</definedName>
    <definedName name="法定最高年限" localSheetId="28">[1]定义!$G$1:$G$4</definedName>
    <definedName name="法定最高年限" localSheetId="41">[1]定义!$G$1:$G$4</definedName>
    <definedName name="法定最高年限">定义!$G$1:$G$6</definedName>
    <definedName name="工业公共部分装修" localSheetId="28">'[1]比较法-工业'!$B$95:$M$95</definedName>
    <definedName name="工业公共部分装修" localSheetId="41">'[1]比较法-工业'!$B$95:$M$95</definedName>
    <definedName name="工业公共部分装修">'比较法-工业'!$B$95:$M$95</definedName>
    <definedName name="工业基础设施水平" localSheetId="28">'[1]比较法-工业'!$B$102:$M$102</definedName>
    <definedName name="工业基础设施水平" localSheetId="41">'[1]比较法-工业'!$B$102:$M$102</definedName>
    <definedName name="工业基础设施水平">'比较法-工业'!$B$102:$M$102</definedName>
    <definedName name="工业建筑结构" localSheetId="28">'[1]比较法-工业'!$B$93:$M$93</definedName>
    <definedName name="工业建筑结构" localSheetId="41">'[1]比较法-工业'!$B$93:$M$93</definedName>
    <definedName name="工业建筑结构">'比较法-工业'!$B$93:$M$93</definedName>
    <definedName name="工业建筑类型" localSheetId="28">'[1]比较法-工业'!$B$88:$M$88</definedName>
    <definedName name="工业建筑类型" localSheetId="41">'[1]比较法-工业'!$B$88:$M$88</definedName>
    <definedName name="工业建筑类型">'比较法-工业'!$B$88:$M$88</definedName>
    <definedName name="工业交易情况" localSheetId="28">'[1]比较法-工业'!$A$55:$M$55</definedName>
    <definedName name="工业交易情况" localSheetId="41">'[1]比较法-工业'!$A$55:$M$55</definedName>
    <definedName name="工业交易情况">'比较法-工业'!$A$55:$M$55</definedName>
    <definedName name="工业内部装修" localSheetId="28">'[1]比较法-工业'!$B$104:$M$104</definedName>
    <definedName name="工业内部装修" localSheetId="41">'[1]比较法-工业'!$B$104:$M$104</definedName>
    <definedName name="工业内部装修">'比较法-工业'!$B$104:$M$104</definedName>
    <definedName name="工业物业管理" localSheetId="28">'[1]比较法-工业'!$B$100:$M$100</definedName>
    <definedName name="工业物业管理" localSheetId="41">'[1]比较法-工业'!$B$100:$M$100</definedName>
    <definedName name="工业物业管理">'比较法-工业'!$B$100:$M$100</definedName>
    <definedName name="工业用途" localSheetId="28">'[1]比较法-工业'!$B$57:$M$57</definedName>
    <definedName name="工业用途" localSheetId="41">'[1]比较法-工业'!$B$57:$M$57</definedName>
    <definedName name="工业用途">'比较法-工业'!$B$57:$M$57</definedName>
    <definedName name="公共配套设施" localSheetId="28">[1]定义!$Q$1:$Q$6</definedName>
    <definedName name="公共配套设施" localSheetId="41">[1]定义!$Q$1:$Q$6</definedName>
    <definedName name="公共配套设施">定义!$Q$1:$Q$6</definedName>
    <definedName name="估价范围判定">定义!$D$1:$D$4</definedName>
    <definedName name="估价方法" localSheetId="28">[1]定义!$B$1:$B$50</definedName>
    <definedName name="估价方法" localSheetId="41">[1]定义!$B$1:$B$50</definedName>
    <definedName name="估价方法">定义!$B$1:$B$50</definedName>
    <definedName name="环境" localSheetId="28">[1]定义!$S$1:$S$6</definedName>
    <definedName name="环境" localSheetId="41">[1]定义!$S$1:$S$6</definedName>
    <definedName name="环境">定义!$S$1:$S$6</definedName>
    <definedName name="基础设施水平" localSheetId="28">[1]定义!$R$1:$R$6</definedName>
    <definedName name="基础设施水平" localSheetId="41">[1]定义!$R$1:$R$6</definedName>
    <definedName name="基础设施水平">定义!$R$1:$R$6</definedName>
    <definedName name="季度" localSheetId="28">[1]基准地价修正!$Q$19:$AD$19</definedName>
    <definedName name="季度" localSheetId="41">[1]基准地价修正!$Q$19:$AD$19</definedName>
    <definedName name="季度">基准地价修正!$Q$19:$AD$19</definedName>
    <definedName name="价值类型2" localSheetId="28">[1]定义!$B$54:$B$56</definedName>
    <definedName name="价值类型2" localSheetId="41">[1]定义!$B$54:$B$56</definedName>
    <definedName name="价值类型2">定义!$B$54:$B$56</definedName>
    <definedName name="交通便捷度" localSheetId="28">[1]定义!$O$1:$O$6</definedName>
    <definedName name="交通便捷度" localSheetId="41">[1]定义!$O$1:$O$6</definedName>
    <definedName name="交通便捷度">定义!$O$1:$O$6</definedName>
    <definedName name="九级" localSheetId="28">[1]区片价!$P$1:$P$46</definedName>
    <definedName name="九级" localSheetId="41">[1]区片价!$P$1:$P$46</definedName>
    <definedName name="九级">区片价!$Q$1:$Q$51</definedName>
    <definedName name="居住社区成熟度" localSheetId="28">[1]定义!$K$1:$K$6</definedName>
    <definedName name="居住社区成熟度" localSheetId="41">[1]定义!$K$1:$K$6</definedName>
    <definedName name="居住社区成熟度">定义!$K$1:$K$6</definedName>
    <definedName name="类别" localSheetId="28">[1]定义!$J$1:$J$3</definedName>
    <definedName name="类别" localSheetId="41">[1]定义!$J$1:$J$3</definedName>
    <definedName name="类别">定义!$J$1:$J$3</definedName>
    <definedName name="临街状况" localSheetId="28">[1]定义!$T$1:$T$5</definedName>
    <definedName name="临街状况" localSheetId="41">[1]定义!$T$1:$T$5</definedName>
    <definedName name="临街状况">定义!$T$1:$T$5</definedName>
    <definedName name="六级" localSheetId="28">[1]区片价!$M$1:$M$49</definedName>
    <definedName name="六级" localSheetId="41">[1]区片价!$M$1:$M$49</definedName>
    <definedName name="六级">区片价!$N$1:$N$64</definedName>
    <definedName name="内部装修维护情况" localSheetId="28">[1]定义!$U$1:$U$6</definedName>
    <definedName name="内部装修维护情况" localSheetId="41">[1]定义!$U$1:$U$6</definedName>
    <definedName name="内部装修维护情况">定义!$U$1:$U$6</definedName>
    <definedName name="判定" localSheetId="28">[1]定义!$D$1:$D$4</definedName>
    <definedName name="判定" localSheetId="41">[1]定义!$D$1:$D$4</definedName>
    <definedName name="判定">[2]定义!$D$1:$D$4</definedName>
    <definedName name="七级" localSheetId="28">[1]区片价!$N$1:$N$49</definedName>
    <definedName name="七级" localSheetId="41">[1]区片价!$N$1:$N$49</definedName>
    <definedName name="七级">区片价!$O$1:$O$45</definedName>
    <definedName name="七通一平" localSheetId="28">[1]修正!$A$6:$A$14</definedName>
    <definedName name="七通一平" localSheetId="41">[1]修正!$A$6:$A$14</definedName>
    <definedName name="七通一平">修正!$A$8:$A$16</definedName>
    <definedName name="区域土地利用方向" localSheetId="28">[1]定义!$P$1:$P$6</definedName>
    <definedName name="区域土地利用方向" localSheetId="41">[1]定义!$P$1:$P$6</definedName>
    <definedName name="区域土地利用方向">定义!$P$1:$P$6</definedName>
    <definedName name="三级" localSheetId="28">[1]区片价!$J$1:$J$21</definedName>
    <definedName name="三级" localSheetId="41">[1]区片价!$J$1:$J$21</definedName>
    <definedName name="三级">区片价!$K$1:$K$26</definedName>
    <definedName name="商业层高" localSheetId="40">'比较法-商业售价'!$B$116:$M$116</definedName>
    <definedName name="商业层高" localSheetId="28">'[1]比较法-商业'!$B$116:$M$116</definedName>
    <definedName name="商业层高" localSheetId="41">'[1]比较法-商业'!$B$116:$M$116</definedName>
    <definedName name="商业层高">'比较法-商业'!$B$116:$M$116</definedName>
    <definedName name="商业成新度" localSheetId="40">'比较法-商业售价'!$B$109:$M$109</definedName>
    <definedName name="商业成新度" localSheetId="28">'[1]比较法-商业'!$B$109:$M$109</definedName>
    <definedName name="商业成新度" localSheetId="41">'[1]比较法-商业'!$B$109:$M$109</definedName>
    <definedName name="商业成新度">'比较法-商业'!$B$109:$M$109</definedName>
    <definedName name="商业繁华度" localSheetId="28">[1]定义!$L$1:$L$6</definedName>
    <definedName name="商业繁华度" localSheetId="41">[1]定义!$L$1:$L$6</definedName>
    <definedName name="商业繁华度">定义!$L$1:$L$6</definedName>
    <definedName name="商业公共部分装修" localSheetId="40">'比较法-商业售价'!$B$107:$M$107</definedName>
    <definedName name="商业公共部分装修" localSheetId="28">'[1]比较法-商业'!$B$107:$M$107</definedName>
    <definedName name="商业公共部分装修" localSheetId="41">'[1]比较法-商业'!$B$107:$M$107</definedName>
    <definedName name="商业公共部分装修">'比较法-商业'!$B$107:$M$107</definedName>
    <definedName name="商业基础设施水平" localSheetId="40">'比较法-商业售价'!$B$112:$M$112</definedName>
    <definedName name="商业基础设施水平" localSheetId="28">'[1]比较法-商业'!$B$112:$M$112</definedName>
    <definedName name="商业基础设施水平" localSheetId="41">'[1]比较法-商业'!$B$112:$M$112</definedName>
    <definedName name="商业基础设施水平">'比较法-商业'!$B$112:$M$112</definedName>
    <definedName name="商业建筑结构" localSheetId="40">'比较法-商业售价'!$B$105:$M$105</definedName>
    <definedName name="商业建筑结构" localSheetId="28">'[1]比较法-商业'!$B$105:$M$105</definedName>
    <definedName name="商业建筑结构" localSheetId="41">'[1]比较法-商业'!$B$105:$M$105</definedName>
    <definedName name="商业建筑结构">'比较法-商业'!$B$105:$M$105</definedName>
    <definedName name="商业交易情况" localSheetId="40">'比较法-商业售价'!$A$61:$M$61</definedName>
    <definedName name="商业交易情况" localSheetId="28">'[1]比较法-商业'!$A$61:$M$61</definedName>
    <definedName name="商业交易情况" localSheetId="41">'[1]比较法-商业'!$A$61:$M$61</definedName>
    <definedName name="商业交易情况">'比较法-商业'!$A$61:$M$61</definedName>
    <definedName name="商业街名称" localSheetId="28">[1]修正!$C$59:$C$119</definedName>
    <definedName name="商业街名称" localSheetId="41">[1]修正!$C$59:$C$119</definedName>
    <definedName name="商业街名称">修正!$C$71:$C$138</definedName>
    <definedName name="商业进深比" localSheetId="40">'比较法-商业售价'!$B$120:$M$120</definedName>
    <definedName name="商业进深比" localSheetId="28">'[1]比较法-商业'!$B$120:$M$120</definedName>
    <definedName name="商业进深比" localSheetId="41">'[1]比较法-商业'!$B$120:$M$120</definedName>
    <definedName name="商业进深比">'比较法-商业'!$B$120:$M$120</definedName>
    <definedName name="商业类型" localSheetId="40">'比较法-商业售价'!$B$100:$M$100</definedName>
    <definedName name="商业类型" localSheetId="28">'[1]比较法-商业'!$B$100:$M$100</definedName>
    <definedName name="商业类型" localSheetId="41">'[1]比较法-商业'!$B$100:$M$100</definedName>
    <definedName name="商业类型">'比较法-商业'!$B$100:$M$100</definedName>
    <definedName name="商业临街状况" localSheetId="40">'比较法-商业售价'!$B$86:$M$86</definedName>
    <definedName name="商业临街状况" localSheetId="28">'[1]比较法-商业'!$B$86:$M$86</definedName>
    <definedName name="商业临街状况" localSheetId="41">'[1]比较法-商业'!$B$86:$M$86</definedName>
    <definedName name="商业临街状况">'比较法-商业'!$B$86:$M$86</definedName>
    <definedName name="商业楼层" localSheetId="40">'比较法-商业售价'!$B$92:$M$92</definedName>
    <definedName name="商业楼层" localSheetId="28">'[1]比较法-商业'!$B$92:$M$92</definedName>
    <definedName name="商业楼层" localSheetId="41">'[1]比较法-商业'!$B$92:$M$92</definedName>
    <definedName name="商业楼层">'比较法-商业'!$B$92:$M$92</definedName>
    <definedName name="商业内部装修" localSheetId="40">'比较法-商业售价'!$B$122:$M$122</definedName>
    <definedName name="商业内部装修" localSheetId="28">'[1]比较法-商业'!$B$122:$M$122</definedName>
    <definedName name="商业内部装修" localSheetId="41">'[1]比较法-商业'!$B$122:$M$122</definedName>
    <definedName name="商业内部装修">'比较法-商业'!$B$122:$M$122</definedName>
    <definedName name="商业人流量" localSheetId="40">'比较法-商业售价'!$B$90:$M$90</definedName>
    <definedName name="商业人流量" localSheetId="28">'[1]比较法-商业'!$B$90:$M$90</definedName>
    <definedName name="商业人流量" localSheetId="41">'[1]比较法-商业'!$B$90:$M$90</definedName>
    <definedName name="商业人流量">'比较法-商业'!$B$90:$M$90</definedName>
    <definedName name="商业业态" localSheetId="40">'比较法-商业售价'!$B$114:$M$114</definedName>
    <definedName name="商业业态" localSheetId="28">'[1]比较法-商业'!$B$114:$M$114</definedName>
    <definedName name="商业业态" localSheetId="41">'[1]比较法-商业'!$B$114:$M$114</definedName>
    <definedName name="商业业态">'比较法-商业'!$B$114:$M$114</definedName>
    <definedName name="商业用途" localSheetId="40">'比较法-商业售价'!$B$63:$M$63</definedName>
    <definedName name="商业用途" localSheetId="28">'[1]比较法-商业'!$B$63:$M$63</definedName>
    <definedName name="商业用途" localSheetId="41">'[1]比较法-商业'!$B$63:$M$63</definedName>
    <definedName name="商业用途">'比较法-商业'!$B$63:$M$63</definedName>
    <definedName name="十二级" localSheetId="28">[1]区片价!$S$1:$S$8</definedName>
    <definedName name="十二级" localSheetId="41">[1]区片价!$S$1:$S$8</definedName>
    <definedName name="十二级">区片价!$T$1:$T$8</definedName>
    <definedName name="十级" localSheetId="28">[1]区片价!$Q$1:$Q$27</definedName>
    <definedName name="十级" localSheetId="41">[1]区片价!$Q$1:$Q$27</definedName>
    <definedName name="十级">区片价!$R$1:$R$32</definedName>
    <definedName name="十一级" localSheetId="28">[1]区片价!$R$1:$R$22</definedName>
    <definedName name="十一级" localSheetId="41">[1]区片价!$R$1:$R$22</definedName>
    <definedName name="十一级">区片价!$S$1:$S$21</definedName>
    <definedName name="是否封闭" localSheetId="28">'[1]比较法-仓储'!$B$89:$M$89</definedName>
    <definedName name="是否封闭" localSheetId="41">'[1]比较法-仓储'!$B$89:$M$89</definedName>
    <definedName name="是否封闭">'比较法-仓储'!$B$89:$M$89</definedName>
    <definedName name="是否直接入户" localSheetId="28">'[1]比较法-车位'!$B$95:$M$95</definedName>
    <definedName name="是否直接入户" localSheetId="41">'[1]比较法-车位'!$B$95:$M$95</definedName>
    <definedName name="是否直接入户">'比较法-车位'!$B$95:$M$95</definedName>
    <definedName name="四级" localSheetId="28">[1]区片价!$K$1:$K$28</definedName>
    <definedName name="四级" localSheetId="41">[1]区片价!$K$1:$K$28</definedName>
    <definedName name="四级">区片价!$L$1:$L$33</definedName>
    <definedName name="套工道路等级" localSheetId="28">'[1]土地比较法-工业'!$B$97:$M$97</definedName>
    <definedName name="套工道路等级" localSheetId="41">'[1]土地比较法-工业'!$B$97:$M$97</definedName>
    <definedName name="套工道路等级">'土地比较法-工业'!$B$97:$M$97</definedName>
    <definedName name="套工地质条件" localSheetId="28">'[1]土地比较法-工业'!$B$114:$M$114</definedName>
    <definedName name="套工地质条件" localSheetId="41">'[1]土地比较法-工业'!$B$114:$M$114</definedName>
    <definedName name="套工地质条件">'土地比较法-工业'!$B$114:$M$114</definedName>
    <definedName name="套工交易情况" localSheetId="28">'[1]土地比较法-住宅、综合'!$A$73:$M$73</definedName>
    <definedName name="套工交易情况" localSheetId="41">'[1]土地比较法-住宅、综合'!$A$73:$M$73</definedName>
    <definedName name="套工交易情况">'土地比较法-住宅、综合'!$A$72:$M$72</definedName>
    <definedName name="套工土地级别" localSheetId="28">'[1]土地比较法-工业'!$B$99:$M$99</definedName>
    <definedName name="套工土地级别" localSheetId="41">'[1]土地比较法-工业'!$B$99:$M$99</definedName>
    <definedName name="套工土地级别">'土地比较法-工业'!$B$99:$M$99</definedName>
    <definedName name="套工用途" localSheetId="28">'[1]土地比较法-工业'!$B$70:$M$70</definedName>
    <definedName name="套工用途" localSheetId="41">'[1]土地比较法-工业'!$B$70:$M$70</definedName>
    <definedName name="套工用途">'土地比较法-工业'!$B$70:$M$70</definedName>
    <definedName name="套工宗地开发程度" localSheetId="28">'[1]土地比较法-工业'!$B$112:$M$112</definedName>
    <definedName name="套工宗地开发程度" localSheetId="41">'[1]土地比较法-工业'!$B$112:$M$112</definedName>
    <definedName name="套工宗地开发程度">'土地比较法-工业'!$B$112:$M$112</definedName>
    <definedName name="套工宗地形状" localSheetId="28">'[1]土地比较法-工业'!$B$110:$M$110</definedName>
    <definedName name="套工宗地形状" localSheetId="41">'[1]土地比较法-工业'!$B$110:$M$110</definedName>
    <definedName name="套工宗地形状">'土地比较法-工业'!$B$110:$M$110</definedName>
    <definedName name="套综道路等级" localSheetId="28">'[1]土地比较法-住宅、综合'!$B$106:$M$106</definedName>
    <definedName name="套综道路等级" localSheetId="41">'[1]土地比较法-住宅、综合'!$B$106:$M$106</definedName>
    <definedName name="套综道路等级">'土地比较法-住宅、综合'!$B$105:$M$105</definedName>
    <definedName name="套综工程地质条件" localSheetId="28">'[1]土地比较法-住宅、综合'!$B$125:$M$125</definedName>
    <definedName name="套综工程地质条件" localSheetId="41">'[1]土地比较法-住宅、综合'!$B$125:$M$125</definedName>
    <definedName name="套综工程地质条件">'土地比较法-住宅、综合'!$B$124:$M$124</definedName>
    <definedName name="套综交易情况" localSheetId="28">'[1]土地比较法-住宅、综合'!$A$73:$M$73</definedName>
    <definedName name="套综交易情况" localSheetId="41">'[1]土地比较法-住宅、综合'!$A$73:$M$73</definedName>
    <definedName name="套综交易情况">'土地比较法-住宅、综合'!$A$72:$M$72</definedName>
    <definedName name="套综临街宽度及深度" localSheetId="28">'[1]土地比较法-住宅、综合'!$B$121:$M$121</definedName>
    <definedName name="套综临街宽度及深度" localSheetId="41">'[1]土地比较法-住宅、综合'!$B$121:$M$121</definedName>
    <definedName name="套综临街宽度及深度">'土地比较法-住宅、综合'!$B$120:$M$120</definedName>
    <definedName name="套综土地级别" localSheetId="28">'[1]土地比较法-住宅、综合'!$B$108:$M$108</definedName>
    <definedName name="套综土地级别" localSheetId="41">'[1]土地比较法-住宅、综合'!$B$108:$M$108</definedName>
    <definedName name="套综土地级别">'土地比较法-住宅、综合'!$B$107:$M$107</definedName>
    <definedName name="套综用途" localSheetId="28">'[1]土地比较法-住宅、综合'!$B$75:$M$75</definedName>
    <definedName name="套综用途" localSheetId="41">'[1]土地比较法-住宅、综合'!$B$75:$M$75</definedName>
    <definedName name="套综用途">'土地比较法-住宅、综合'!$B$74:$M$74</definedName>
    <definedName name="套综宗地内开发程度" localSheetId="28">'[1]土地比较法-住宅、综合'!$B$123:$M$123</definedName>
    <definedName name="套综宗地内开发程度" localSheetId="41">'[1]土地比较法-住宅、综合'!$B$123:$M$123</definedName>
    <definedName name="套综宗地内开发程度">'土地比较法-住宅、综合'!$B$122:$M$122</definedName>
    <definedName name="套综宗地形状" localSheetId="28">'[1]土地比较法-住宅、综合'!$B$119:$M$119</definedName>
    <definedName name="套综宗地形状" localSheetId="41">'[1]土地比较法-住宅、综合'!$B$119:$M$119</definedName>
    <definedName name="套综宗地形状">'土地比较法-住宅、综合'!$B$118:$M$118</definedName>
    <definedName name="土地估价师" localSheetId="28">[1]估价师及机构信息!$D$3:$D$24</definedName>
    <definedName name="土地估价师" localSheetId="41">[1]估价师及机构信息!$D$3:$D$24</definedName>
    <definedName name="土地估价师">估价师及机构信息!$D$3:$D$24</definedName>
    <definedName name="土地级别" localSheetId="28">[1]定义!$C$1:$C$14</definedName>
    <definedName name="土地级别" localSheetId="41">[1]定义!$C$1:$C$14</definedName>
    <definedName name="土地级别">定义!$C$1:$C$14</definedName>
    <definedName name="土地利用方向" localSheetId="28">[1]定义!$P$1:$P$6</definedName>
    <definedName name="土地利用方向" localSheetId="41">[1]定义!$P$1:$P$6</definedName>
    <definedName name="土地利用方向">定义!$P$1:$P$6</definedName>
    <definedName name="土地年限区间" localSheetId="28">[1]定义!$I$1:$I$8</definedName>
    <definedName name="土地年限区间" localSheetId="41">[1]定义!$I$1:$I$8</definedName>
    <definedName name="土地年限区间">定义!$I$1:$I$16</definedName>
    <definedName name="位置" localSheetId="28">[1]定义!$E$2:$E$4</definedName>
    <definedName name="位置" localSheetId="41">[1]定义!$E$2:$E$4</definedName>
    <definedName name="位置">定义!$E$2:$E$4</definedName>
    <definedName name="五等判定" localSheetId="28">[1]定义!$W$1:$W$6</definedName>
    <definedName name="五等判定" localSheetId="41">[1]定义!$W$1:$W$6</definedName>
    <definedName name="五等判定">定义!$W$1:$W$6</definedName>
    <definedName name="五级" localSheetId="28">[1]区片价!$L$1:$L$35</definedName>
    <definedName name="五级" localSheetId="41">[1]区片价!$L$1:$L$35</definedName>
    <definedName name="五级">区片价!$M$1:$M$41</definedName>
    <definedName name="项目类型" localSheetId="28">'[1]数据-汇总表'!$C$17:$C$26</definedName>
    <definedName name="项目类型" localSheetId="41">'[1]数据-汇总表'!$C$17:$C$26</definedName>
    <definedName name="项目类型" localSheetId="22">'[3]数据-汇总表'!$C$17:$C$26</definedName>
    <definedName name="项目类型">'数据-汇总表'!$C$17:$C$26</definedName>
    <definedName name="写字楼等级" localSheetId="28">'[1]比较法-办公'!$B$113:$M$113</definedName>
    <definedName name="写字楼等级" localSheetId="41">'[1]比较法-办公'!$B$113:$M$113</definedName>
    <definedName name="写字楼等级">'比较法-办公'!$B$113:$M$113</definedName>
    <definedName name="一级" localSheetId="28">[1]区片价!$H$1:$H$6</definedName>
    <definedName name="一级" localSheetId="41">[1]区片价!$H$1:$H$6</definedName>
    <definedName name="一级">区片价!$I$1:$I$6</definedName>
    <definedName name="一修多修正项2" localSheetId="28">[1]典型户型修正!$5:$5</definedName>
    <definedName name="一修多修正项2" localSheetId="41">[1]典型户型修正!$5:$5</definedName>
    <definedName name="一修多修正项2">典型户型修正!$5:$5</definedName>
    <definedName name="一修多修正项3" localSheetId="28">[1]典型户型修正!$7:$7</definedName>
    <definedName name="一修多修正项3" localSheetId="41">[1]典型户型修正!$7:$7</definedName>
    <definedName name="一修多修正项3">典型户型修正!$7:$7</definedName>
    <definedName name="一修多修正项4" localSheetId="28">[1]典型户型修正!$9:$9</definedName>
    <definedName name="一修多修正项4" localSheetId="41">[1]典型户型修正!$9:$9</definedName>
    <definedName name="一修多修正项4">典型户型修正!$9:$9</definedName>
    <definedName name="一修多修正项5" localSheetId="28">[1]典型户型修正!$11:$11</definedName>
    <definedName name="一修多修正项5" localSheetId="41">[1]典型户型修正!$11:$11</definedName>
    <definedName name="一修多修正项5">典型户型修正!$11:$11</definedName>
    <definedName name="一修多修正项6" localSheetId="28">[1]典型户型修正!$13:$13</definedName>
    <definedName name="一修多修正项6" localSheetId="41">[1]典型户型修正!$13:$13</definedName>
    <definedName name="一修多修正项6">典型户型修正!$13:$13</definedName>
    <definedName name="一修多修正项7" localSheetId="28">[1]典型户型修正!$15:$15</definedName>
    <definedName name="一修多修正项7" localSheetId="41">[1]典型户型修正!$15:$15</definedName>
    <definedName name="一修多修正项7">典型户型修正!$15:$15</definedName>
    <definedName name="一修多修正项8" localSheetId="28">[1]典型户型修正!$17:$17</definedName>
    <definedName name="一修多修正项8" localSheetId="41">[1]典型户型修正!$17:$17</definedName>
    <definedName name="一修多修正项8">典型户型修正!$17:$17</definedName>
    <definedName name="用途明细" localSheetId="28">[1]定义!$A$1:$A$50</definedName>
    <definedName name="用途明细" localSheetId="41">[1]定义!$A$1:$A$50</definedName>
    <definedName name="用途明细">定义!$A$1:$A$50</definedName>
    <definedName name="有无电梯" localSheetId="28">'[1]比较法-仓储'!$B$84:$M$84</definedName>
    <definedName name="有无电梯" localSheetId="41">'[1]比较法-仓储'!$B$84:$M$84</definedName>
    <definedName name="有无电梯">'比较法-仓储'!$B$84:$M$84</definedName>
    <definedName name="主用途" localSheetId="28">[1]定义!$F$1:$F$10</definedName>
    <definedName name="主用途" localSheetId="41">[1]定义!$F$1:$F$10</definedName>
    <definedName name="主用途">定义!$F$1:$F$12</definedName>
    <definedName name="住宅朝向" localSheetId="28">'[1]比较法-住宅'!$B$88:$M$88</definedName>
    <definedName name="住宅朝向" localSheetId="41">'[1]比较法-住宅'!$B$88:$M$88</definedName>
    <definedName name="住宅朝向">'比较法-住宅'!$B$88:$M$88</definedName>
    <definedName name="住宅房型" localSheetId="28">'[1]比较法-住宅'!$B$118:$M$118</definedName>
    <definedName name="住宅房型" localSheetId="41">'[1]比较法-住宅'!$B$118:$M$118</definedName>
    <definedName name="住宅房型">'比较法-住宅'!$B$118:$M$118</definedName>
    <definedName name="住宅公共部分装修" localSheetId="28">'[1]比较法-住宅'!$B$109:$M$109</definedName>
    <definedName name="住宅公共部分装修" localSheetId="41">'[1]比较法-住宅'!$B$109:$M$109</definedName>
    <definedName name="住宅公共部分装修">'比较法-住宅'!$B$109:$M$109</definedName>
    <definedName name="住宅基础设施水平" localSheetId="28">'[1]比较法-住宅'!$B$116:$M$116</definedName>
    <definedName name="住宅基础设施水平" localSheetId="41">'[1]比较法-住宅'!$B$116:$M$116</definedName>
    <definedName name="住宅基础设施水平">'比较法-住宅'!$B$116:$M$116</definedName>
    <definedName name="住宅建筑结构" localSheetId="28">'[1]比较法-住宅'!$B$105:$M$105</definedName>
    <definedName name="住宅建筑结构" localSheetId="41">'[1]比较法-住宅'!$B$105:$M$105</definedName>
    <definedName name="住宅建筑结构">'比较法-住宅'!$B$105:$M$105</definedName>
    <definedName name="住宅建筑类型" localSheetId="28">'[1]比较法-住宅'!$B$100:$M$100</definedName>
    <definedName name="住宅建筑类型" localSheetId="41">'[1]比较法-住宅'!$B$100:$M$100</definedName>
    <definedName name="住宅建筑类型">'比较法-住宅'!$B$100:$M$100</definedName>
    <definedName name="住宅建筑品质" localSheetId="28">'[1]比较法-住宅'!$B$107:$M$107</definedName>
    <definedName name="住宅建筑品质" localSheetId="41">'[1]比较法-住宅'!$B$107:$M$107</definedName>
    <definedName name="住宅建筑品质">'比较法-住宅'!$B$107:$M$107</definedName>
    <definedName name="住宅交易情况" localSheetId="28">'[1]比较法-住宅'!$A$61:$M$61</definedName>
    <definedName name="住宅交易情况" localSheetId="41">'[1]比较法-住宅'!$A$61:$M$61</definedName>
    <definedName name="住宅交易情况">'比较法-住宅'!$A$61:$M$61</definedName>
    <definedName name="住宅楼层" localSheetId="28">'[1]比较法-住宅'!$B$86:$M$86</definedName>
    <definedName name="住宅楼层" localSheetId="41">'[1]比较法-住宅'!$B$86:$M$86</definedName>
    <definedName name="住宅楼层">'比较法-住宅'!$B$86:$M$86</definedName>
    <definedName name="住宅内部装修" localSheetId="28">'[1]比较法-住宅'!$B$122:$M$122</definedName>
    <definedName name="住宅内部装修" localSheetId="41">'[1]比较法-住宅'!$B$122:$M$122</definedName>
    <definedName name="住宅内部装修">'比较法-住宅'!$B$122:$M$122</definedName>
    <definedName name="住宅物业管理" localSheetId="28">'[1]比较法-住宅'!$B$114:$M$114</definedName>
    <definedName name="住宅物业管理" localSheetId="41">'[1]比较法-住宅'!$B$114:$M$114</definedName>
    <definedName name="住宅物业管理">'比较法-住宅'!$B$114:$M$114</definedName>
    <definedName name="住宅用途" localSheetId="28">'[1]比较法-住宅'!$B$63:$M$63</definedName>
    <definedName name="住宅用途" localSheetId="41">'[1]比较法-住宅'!$B$63:$M$63</definedName>
    <definedName name="住宅用途">'比较法-住宅'!$B$63:$M$63</definedName>
    <definedName name="住宅主力户型面积" localSheetId="28">'[1]比较法-住宅'!$B$120:$M$120</definedName>
    <definedName name="住宅主力户型面积" localSheetId="41">'[1]比较法-住宅'!$B$120:$M$120</definedName>
    <definedName name="住宅主力户型面积">'比较法-住宅'!$B$120:$M$120</definedName>
    <definedName name="注册房地产估价师" localSheetId="28">[1]估价师及机构信息!$A$3:$A$24</definedName>
    <definedName name="注册房地产估价师" localSheetId="41">[1]估价师及机构信息!$A$3:$A$24</definedName>
    <definedName name="注册房地产估价师">估价师及机构信息!$A$3:$A$16</definedName>
  </definedNames>
  <calcPr calcId="144525" concurrentCalc="0"/>
</workbook>
</file>

<file path=xl/calcChain.xml><?xml version="1.0" encoding="utf-8"?>
<calcChain xmlns="http://schemas.openxmlformats.org/spreadsheetml/2006/main">
  <c r="D91" i="33" l="1"/>
  <c r="E91" i="33"/>
  <c r="F91" i="33"/>
  <c r="G91" i="33"/>
  <c r="H27" i="33"/>
  <c r="AB27" i="33"/>
  <c r="H29" i="33"/>
  <c r="AB29" i="33"/>
  <c r="T48" i="33"/>
  <c r="F27" i="33"/>
  <c r="AA27" i="33"/>
  <c r="F29" i="33"/>
  <c r="AA29" i="33"/>
  <c r="R48" i="33"/>
  <c r="J27" i="33"/>
  <c r="AC27" i="33"/>
  <c r="J29" i="33"/>
  <c r="AC29" i="33"/>
  <c r="V48" i="33"/>
  <c r="R49" i="33"/>
  <c r="C48" i="33"/>
  <c r="D4" i="85"/>
  <c r="K27" i="84"/>
  <c r="D91" i="84"/>
  <c r="E91" i="84"/>
  <c r="F91" i="84"/>
  <c r="G91" i="84"/>
  <c r="F27" i="84"/>
  <c r="AA27" i="84"/>
  <c r="R48" i="84"/>
  <c r="H27" i="84"/>
  <c r="AB27" i="84"/>
  <c r="T48" i="84"/>
  <c r="J27" i="84"/>
  <c r="AC27" i="84"/>
  <c r="V48" i="84"/>
  <c r="R49" i="84"/>
  <c r="C48" i="84"/>
  <c r="C3" i="86"/>
  <c r="C4" i="86"/>
  <c r="C30" i="86"/>
  <c r="C31" i="86"/>
  <c r="D5" i="85"/>
  <c r="D6" i="85"/>
  <c r="E10" i="74"/>
  <c r="B10" i="74"/>
  <c r="D14" i="74"/>
  <c r="E14" i="74"/>
  <c r="F47" i="86"/>
  <c r="F46" i="86"/>
  <c r="I3" i="86"/>
  <c r="C8" i="86"/>
  <c r="C9" i="86"/>
  <c r="C10" i="86"/>
  <c r="C11" i="86"/>
  <c r="C12" i="86"/>
  <c r="C13" i="86"/>
  <c r="C14" i="86"/>
  <c r="C17" i="86"/>
  <c r="C20" i="86"/>
  <c r="C18" i="86"/>
  <c r="C21" i="86"/>
  <c r="C22" i="86"/>
  <c r="C23" i="86"/>
  <c r="C27" i="86"/>
  <c r="C7" i="86"/>
  <c r="C28" i="86"/>
  <c r="C24" i="86"/>
  <c r="E24" i="86"/>
  <c r="K42" i="86"/>
  <c r="L42" i="86"/>
  <c r="O42" i="86"/>
  <c r="M42" i="86"/>
  <c r="N42" i="86"/>
  <c r="D36" i="86"/>
  <c r="C37" i="86"/>
  <c r="D37" i="86"/>
  <c r="D38" i="86"/>
  <c r="E39" i="86"/>
  <c r="E40" i="86"/>
  <c r="C39" i="86"/>
  <c r="C40" i="86"/>
  <c r="G36" i="86"/>
  <c r="J35" i="86"/>
  <c r="J34" i="86"/>
  <c r="E29" i="86"/>
  <c r="E25" i="86"/>
  <c r="F19" i="86"/>
  <c r="E19" i="86"/>
  <c r="C19" i="86"/>
  <c r="F16" i="86"/>
  <c r="E16" i="86"/>
  <c r="C16" i="86"/>
  <c r="E15" i="86"/>
  <c r="C15" i="86"/>
  <c r="P9" i="86"/>
  <c r="O10" i="86"/>
  <c r="M10" i="86"/>
  <c r="J10" i="86"/>
  <c r="J9" i="86"/>
  <c r="J8" i="86"/>
  <c r="M4" i="86"/>
  <c r="E7" i="82"/>
  <c r="L5" i="82"/>
  <c r="M31" i="82"/>
  <c r="M30" i="82"/>
  <c r="M29" i="82"/>
  <c r="M28" i="82"/>
  <c r="M27" i="82"/>
  <c r="M26" i="82"/>
  <c r="M25" i="82"/>
  <c r="M24" i="82"/>
  <c r="M23" i="82"/>
  <c r="M22" i="82"/>
  <c r="M18" i="82"/>
  <c r="M21" i="82"/>
  <c r="M20" i="82"/>
  <c r="M19" i="82"/>
  <c r="M17" i="82"/>
  <c r="K42" i="84"/>
  <c r="G59" i="84"/>
  <c r="H59" i="84"/>
  <c r="I59" i="84"/>
  <c r="J59" i="84"/>
  <c r="K59" i="84"/>
  <c r="L59" i="84"/>
  <c r="M59" i="84"/>
  <c r="F59" i="84"/>
  <c r="E59" i="84"/>
  <c r="I5" i="84"/>
  <c r="G5" i="84"/>
  <c r="M13" i="82"/>
  <c r="M14" i="82"/>
  <c r="M15" i="82"/>
  <c r="M12" i="82"/>
  <c r="B130" i="84"/>
  <c r="B128" i="84"/>
  <c r="B126" i="84"/>
  <c r="D125" i="84"/>
  <c r="E125" i="84"/>
  <c r="F125" i="84"/>
  <c r="G125" i="84"/>
  <c r="D123" i="84"/>
  <c r="E123" i="84"/>
  <c r="F123" i="84"/>
  <c r="G123" i="84"/>
  <c r="H123" i="84"/>
  <c r="I123" i="84"/>
  <c r="J123" i="84"/>
  <c r="K123" i="84"/>
  <c r="L123" i="84"/>
  <c r="M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E113" i="84"/>
  <c r="F113" i="84"/>
  <c r="G113" i="84"/>
  <c r="H113" i="84"/>
  <c r="I113" i="84"/>
  <c r="J113" i="84"/>
  <c r="K113" i="84"/>
  <c r="L113" i="84"/>
  <c r="M113" i="84"/>
  <c r="D111" i="84"/>
  <c r="E111" i="84"/>
  <c r="F111" i="84"/>
  <c r="G111" i="84"/>
  <c r="H111" i="84"/>
  <c r="I111" i="84"/>
  <c r="J111" i="84"/>
  <c r="K111" i="84"/>
  <c r="L111" i="84"/>
  <c r="M111" i="84"/>
  <c r="G109" i="84"/>
  <c r="F109" i="84"/>
  <c r="E109" i="84"/>
  <c r="D109" i="84"/>
  <c r="C109" i="84"/>
  <c r="E108" i="84"/>
  <c r="F108" i="84"/>
  <c r="G108" i="84"/>
  <c r="H108" i="84"/>
  <c r="I108" i="84"/>
  <c r="J108" i="84"/>
  <c r="K108" i="84"/>
  <c r="L108" i="84"/>
  <c r="M108" i="84"/>
  <c r="D108" i="84"/>
  <c r="E106" i="84"/>
  <c r="F106" i="84"/>
  <c r="G106" i="84"/>
  <c r="H106" i="84"/>
  <c r="I106" i="84"/>
  <c r="J106" i="84"/>
  <c r="K106" i="84"/>
  <c r="L106" i="84"/>
  <c r="M106" i="84"/>
  <c r="D106" i="84"/>
  <c r="D104" i="84"/>
  <c r="E104" i="84"/>
  <c r="F104" i="84"/>
  <c r="G104" i="84"/>
  <c r="H104" i="84"/>
  <c r="M102" i="84"/>
  <c r="L102" i="84"/>
  <c r="K102" i="84"/>
  <c r="J102" i="84"/>
  <c r="I102" i="84"/>
  <c r="H102" i="84"/>
  <c r="G102" i="84"/>
  <c r="F102" i="84"/>
  <c r="E102" i="84"/>
  <c r="D102" i="84"/>
  <c r="C102" i="84"/>
  <c r="E101" i="84"/>
  <c r="F101" i="84"/>
  <c r="G101" i="84"/>
  <c r="H101" i="84"/>
  <c r="I101" i="84"/>
  <c r="J101" i="84"/>
  <c r="K101" i="84"/>
  <c r="L101" i="84"/>
  <c r="M101" i="84"/>
  <c r="D101" i="84"/>
  <c r="B98" i="84"/>
  <c r="B96" i="84"/>
  <c r="B94" i="84"/>
  <c r="B92" i="84"/>
  <c r="B90" i="84"/>
  <c r="D89" i="84"/>
  <c r="E89" i="84"/>
  <c r="F89" i="84"/>
  <c r="G89" i="84"/>
  <c r="B88" i="84"/>
  <c r="E87" i="84"/>
  <c r="F87" i="84"/>
  <c r="G87" i="84"/>
  <c r="H87" i="84"/>
  <c r="I87" i="84"/>
  <c r="J87" i="84"/>
  <c r="K87" i="84"/>
  <c r="L87" i="84"/>
  <c r="M87" i="84"/>
  <c r="D87" i="84"/>
  <c r="E85" i="84"/>
  <c r="F85" i="84"/>
  <c r="G85" i="84"/>
  <c r="D85" i="84"/>
  <c r="E83" i="84"/>
  <c r="F83" i="84"/>
  <c r="G83" i="84"/>
  <c r="D83" i="84"/>
  <c r="E81" i="84"/>
  <c r="F81" i="84"/>
  <c r="G81" i="84"/>
  <c r="D81" i="84"/>
  <c r="E79" i="84"/>
  <c r="F79" i="84"/>
  <c r="G79" i="84"/>
  <c r="D79" i="84"/>
  <c r="E77" i="84"/>
  <c r="F77" i="84"/>
  <c r="G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C63" i="84"/>
  <c r="P49" i="84"/>
  <c r="P48" i="84"/>
  <c r="K48" i="84"/>
  <c r="P47" i="84"/>
  <c r="Q46" i="84"/>
  <c r="Z46" i="84"/>
  <c r="J46" i="84"/>
  <c r="AC46" i="84"/>
  <c r="H46" i="84"/>
  <c r="AB46" i="84"/>
  <c r="F46" i="84"/>
  <c r="AA46" i="84"/>
  <c r="Q45" i="84"/>
  <c r="Z45" i="84"/>
  <c r="J45" i="84"/>
  <c r="AC45" i="84"/>
  <c r="H45" i="84"/>
  <c r="AB45" i="84"/>
  <c r="F45" i="84"/>
  <c r="AA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Q38" i="84"/>
  <c r="Z38" i="84"/>
  <c r="J38" i="84"/>
  <c r="AC38" i="84"/>
  <c r="H38" i="84"/>
  <c r="AB38" i="84"/>
  <c r="F38" i="84"/>
  <c r="AA38" i="84"/>
  <c r="Q37" i="84"/>
  <c r="Z37" i="84"/>
  <c r="J37" i="84"/>
  <c r="AC37" i="84"/>
  <c r="H37" i="84"/>
  <c r="AB37" i="84"/>
  <c r="F37" i="84"/>
  <c r="AA37" i="84"/>
  <c r="Q36" i="84"/>
  <c r="Z36" i="84"/>
  <c r="J36" i="84"/>
  <c r="AC36" i="84"/>
  <c r="H36" i="84"/>
  <c r="AB36" i="84"/>
  <c r="F36" i="84"/>
  <c r="AA36" i="84"/>
  <c r="Q35" i="84"/>
  <c r="Z35" i="84"/>
  <c r="J35" i="84"/>
  <c r="AC35" i="84"/>
  <c r="H35" i="84"/>
  <c r="AB35" i="84"/>
  <c r="F35" i="84"/>
  <c r="AA35" i="84"/>
  <c r="Q34" i="84"/>
  <c r="Z34" i="84"/>
  <c r="J34" i="84"/>
  <c r="AC34" i="84"/>
  <c r="H34" i="84"/>
  <c r="AB34" i="84"/>
  <c r="F34" i="84"/>
  <c r="AA34" i="84"/>
  <c r="Q33" i="84"/>
  <c r="Z33" i="84"/>
  <c r="C33" i="84"/>
  <c r="Q32" i="84"/>
  <c r="Z32" i="84"/>
  <c r="J32" i="84"/>
  <c r="AC32" i="84"/>
  <c r="H32" i="84"/>
  <c r="AB32" i="84"/>
  <c r="F32" i="84"/>
  <c r="AA32" i="84"/>
  <c r="Q31" i="84"/>
  <c r="Z31" i="84"/>
  <c r="J31" i="84"/>
  <c r="AC31" i="84"/>
  <c r="H31" i="84"/>
  <c r="AB31" i="84"/>
  <c r="F31" i="84"/>
  <c r="AA31" i="84"/>
  <c r="Q30" i="84"/>
  <c r="Z30" i="84"/>
  <c r="J30" i="84"/>
  <c r="AC30" i="84"/>
  <c r="H30" i="84"/>
  <c r="AB30" i="84"/>
  <c r="F30" i="84"/>
  <c r="AA30" i="84"/>
  <c r="Q29" i="84"/>
  <c r="Z29" i="84"/>
  <c r="J29" i="84"/>
  <c r="AC29" i="84"/>
  <c r="H29" i="84"/>
  <c r="AB29" i="84"/>
  <c r="F29" i="84"/>
  <c r="AA29" i="84"/>
  <c r="Q28" i="84"/>
  <c r="Z28" i="84"/>
  <c r="J28" i="84"/>
  <c r="AC28" i="84"/>
  <c r="H28" i="84"/>
  <c r="AB28" i="84"/>
  <c r="F28" i="84"/>
  <c r="AA28" i="84"/>
  <c r="Q27" i="84"/>
  <c r="Z27" i="84"/>
  <c r="Q26" i="84"/>
  <c r="Z26" i="84"/>
  <c r="J26" i="84"/>
  <c r="AC26" i="84"/>
  <c r="H26" i="84"/>
  <c r="AB26" i="84"/>
  <c r="F26" i="84"/>
  <c r="AA26" i="84"/>
  <c r="Q25" i="84"/>
  <c r="Z25" i="84"/>
  <c r="J25" i="84"/>
  <c r="AC25" i="84"/>
  <c r="H25" i="84"/>
  <c r="AB25" i="84"/>
  <c r="F25" i="84"/>
  <c r="AA25" i="84"/>
  <c r="Q23" i="84"/>
  <c r="Z23" i="84"/>
  <c r="J23" i="84"/>
  <c r="AC23" i="84"/>
  <c r="H23" i="84"/>
  <c r="AB23" i="84"/>
  <c r="F23" i="84"/>
  <c r="AA23" i="84"/>
  <c r="C23" i="84"/>
  <c r="Q21" i="84"/>
  <c r="Z21" i="84"/>
  <c r="J21" i="84"/>
  <c r="H21" i="84"/>
  <c r="AB21" i="84"/>
  <c r="F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Q13" i="84"/>
  <c r="Z13" i="84"/>
  <c r="J13" i="84"/>
  <c r="AC13" i="84"/>
  <c r="H13" i="84"/>
  <c r="AB13" i="84"/>
  <c r="F13" i="84"/>
  <c r="AA13" i="84"/>
  <c r="Q12" i="84"/>
  <c r="Z12" i="84"/>
  <c r="J12" i="84"/>
  <c r="AC12" i="84"/>
  <c r="H12" i="84"/>
  <c r="AB12" i="84"/>
  <c r="F12" i="84"/>
  <c r="AA12" i="84"/>
  <c r="Q11" i="84"/>
  <c r="Z11" i="84"/>
  <c r="J11" i="84"/>
  <c r="AC11" i="84"/>
  <c r="H11" i="84"/>
  <c r="AB11" i="84"/>
  <c r="F11" i="84"/>
  <c r="AA11" i="84"/>
  <c r="Q10" i="84"/>
  <c r="Z10" i="84"/>
  <c r="J10" i="84"/>
  <c r="AC10" i="84"/>
  <c r="H10" i="84"/>
  <c r="AB10" i="84"/>
  <c r="F10" i="84"/>
  <c r="AA10" i="84"/>
  <c r="Q9" i="84"/>
  <c r="Z9" i="84"/>
  <c r="J9" i="84"/>
  <c r="AC9" i="84"/>
  <c r="H9" i="84"/>
  <c r="AB9" i="84"/>
  <c r="F9" i="84"/>
  <c r="AA9" i="84"/>
  <c r="U8" i="84"/>
  <c r="J8" i="84"/>
  <c r="AC8" i="84"/>
  <c r="H8" i="84"/>
  <c r="AB8" i="84"/>
  <c r="F8" i="84"/>
  <c r="AA8" i="84"/>
  <c r="C7" i="84"/>
  <c r="C58" i="84"/>
  <c r="D58" i="84"/>
  <c r="E58" i="84"/>
  <c r="F58" i="84"/>
  <c r="G58" i="84"/>
  <c r="H58" i="84"/>
  <c r="I58" i="84"/>
  <c r="J58" i="84"/>
  <c r="K58" i="84"/>
  <c r="L58" i="84"/>
  <c r="M58" i="84"/>
  <c r="N58" i="84"/>
  <c r="O58" i="84"/>
  <c r="D3" i="84"/>
  <c r="D2" i="84"/>
  <c r="H91" i="84"/>
  <c r="I91" i="84"/>
  <c r="J91" i="84"/>
  <c r="K91" i="84"/>
  <c r="L91" i="84"/>
  <c r="M91" i="84"/>
  <c r="J33" i="84"/>
  <c r="AC33" i="84"/>
  <c r="F7" i="84"/>
  <c r="J7" i="84"/>
  <c r="S8" i="84"/>
  <c r="W8" i="84"/>
  <c r="S9" i="84"/>
  <c r="W9" i="84"/>
  <c r="U10" i="84"/>
  <c r="S11" i="84"/>
  <c r="W11" i="84"/>
  <c r="U12" i="84"/>
  <c r="S13" i="84"/>
  <c r="W13" i="84"/>
  <c r="U14" i="84"/>
  <c r="U15" i="84"/>
  <c r="U17" i="84"/>
  <c r="U19" i="84"/>
  <c r="W33" i="84"/>
  <c r="H7" i="84"/>
  <c r="U9" i="84"/>
  <c r="S10" i="84"/>
  <c r="W10" i="84"/>
  <c r="U11" i="84"/>
  <c r="S12" i="84"/>
  <c r="W12" i="84"/>
  <c r="U13" i="84"/>
  <c r="S14" i="84"/>
  <c r="W14" i="84"/>
  <c r="S15" i="84"/>
  <c r="W15" i="84"/>
  <c r="S17" i="84"/>
  <c r="W17" i="84"/>
  <c r="S19" i="84"/>
  <c r="W19" i="84"/>
  <c r="AA21" i="84"/>
  <c r="S21" i="84"/>
  <c r="AC21" i="84"/>
  <c r="W21" i="84"/>
  <c r="U21" i="84"/>
  <c r="U23" i="84"/>
  <c r="S25" i="84"/>
  <c r="W25" i="84"/>
  <c r="U26" i="84"/>
  <c r="S27" i="84"/>
  <c r="W27" i="84"/>
  <c r="U28" i="84"/>
  <c r="S29" i="84"/>
  <c r="W29" i="84"/>
  <c r="U30" i="84"/>
  <c r="S31" i="84"/>
  <c r="W31" i="84"/>
  <c r="U32" i="84"/>
  <c r="F33" i="84"/>
  <c r="H33" i="84"/>
  <c r="U34" i="84"/>
  <c r="S35" i="84"/>
  <c r="W35" i="84"/>
  <c r="U36" i="84"/>
  <c r="S37" i="84"/>
  <c r="W37" i="84"/>
  <c r="U38" i="84"/>
  <c r="S39" i="84"/>
  <c r="W39" i="84"/>
  <c r="U40" i="84"/>
  <c r="S41" i="84"/>
  <c r="W41" i="84"/>
  <c r="U42" i="84"/>
  <c r="S43" i="84"/>
  <c r="W43" i="84"/>
  <c r="U44" i="84"/>
  <c r="S45" i="84"/>
  <c r="W45" i="84"/>
  <c r="U46" i="84"/>
  <c r="S23" i="84"/>
  <c r="W23" i="84"/>
  <c r="U25" i="84"/>
  <c r="S26" i="84"/>
  <c r="W26" i="84"/>
  <c r="U27" i="84"/>
  <c r="S28" i="84"/>
  <c r="W28" i="84"/>
  <c r="U29" i="84"/>
  <c r="S30" i="84"/>
  <c r="W30" i="84"/>
  <c r="U31" i="84"/>
  <c r="S32" i="84"/>
  <c r="W32" i="84"/>
  <c r="S34" i="84"/>
  <c r="W34" i="84"/>
  <c r="U35" i="84"/>
  <c r="S36" i="84"/>
  <c r="W36" i="84"/>
  <c r="U37" i="84"/>
  <c r="S38" i="84"/>
  <c r="W38" i="84"/>
  <c r="U39" i="84"/>
  <c r="S40" i="84"/>
  <c r="W40" i="84"/>
  <c r="U41" i="84"/>
  <c r="S42" i="84"/>
  <c r="W42" i="84"/>
  <c r="U43" i="84"/>
  <c r="S44" i="84"/>
  <c r="W44" i="84"/>
  <c r="U45" i="84"/>
  <c r="S46" i="84"/>
  <c r="W46" i="84"/>
  <c r="AB7" i="84"/>
  <c r="U7" i="84"/>
  <c r="AB33" i="84"/>
  <c r="U33" i="84"/>
  <c r="W7" i="84"/>
  <c r="AC7" i="84"/>
  <c r="AA33" i="84"/>
  <c r="S33" i="84"/>
  <c r="S7" i="84"/>
  <c r="AA7" i="84"/>
  <c r="I33" i="33"/>
  <c r="G33" i="33"/>
  <c r="E33" i="33"/>
  <c r="C33" i="33"/>
  <c r="E89" i="33"/>
  <c r="F89" i="33"/>
  <c r="G89" i="33"/>
  <c r="D89" i="33"/>
  <c r="I5" i="33"/>
  <c r="G5" i="33"/>
  <c r="E5" i="33"/>
  <c r="E104" i="33"/>
  <c r="F104" i="33"/>
  <c r="G104" i="33"/>
  <c r="H104" i="33"/>
  <c r="D104" i="33"/>
  <c r="J7" i="82"/>
  <c r="D3" i="82"/>
  <c r="D4" i="82"/>
  <c r="F47" i="81"/>
  <c r="F46" i="81"/>
  <c r="L42" i="81"/>
  <c r="E29" i="81"/>
  <c r="E25" i="81"/>
  <c r="E24" i="81"/>
  <c r="C22" i="81"/>
  <c r="C21" i="81"/>
  <c r="F19" i="81"/>
  <c r="E19" i="81"/>
  <c r="C18" i="81"/>
  <c r="F16" i="81"/>
  <c r="E16" i="81"/>
  <c r="E15" i="81"/>
  <c r="C15" i="81"/>
  <c r="C11" i="81"/>
  <c r="O10" i="81"/>
  <c r="M10" i="81"/>
  <c r="P9" i="81"/>
  <c r="C8" i="81"/>
  <c r="C12" i="81"/>
  <c r="M4" i="81"/>
  <c r="C4" i="81"/>
  <c r="I3" i="81"/>
  <c r="L37" i="82"/>
  <c r="G47" i="84"/>
  <c r="L38" i="82"/>
  <c r="I47" i="84"/>
  <c r="L36" i="82"/>
  <c r="E47" i="84"/>
  <c r="L6" i="82"/>
  <c r="L7" i="82"/>
  <c r="C10" i="81"/>
  <c r="D5" i="82"/>
  <c r="D6" i="82"/>
  <c r="C9" i="81"/>
  <c r="C13" i="81"/>
  <c r="T5" i="31"/>
  <c r="E48" i="34"/>
  <c r="O19" i="1"/>
  <c r="D7" i="82"/>
  <c r="I47" i="33"/>
  <c r="E47" i="33"/>
  <c r="G47" i="33"/>
  <c r="C14" i="81"/>
  <c r="C17" i="81"/>
  <c r="C16" i="81"/>
  <c r="J118" i="9"/>
  <c r="G54" i="84"/>
  <c r="H54" i="84"/>
  <c r="T47" i="84"/>
  <c r="G48" i="84"/>
  <c r="E54" i="84"/>
  <c r="F54" i="84"/>
  <c r="R47" i="84"/>
  <c r="V47" i="84"/>
  <c r="I48" i="84"/>
  <c r="I52" i="84"/>
  <c r="J52" i="84"/>
  <c r="I54" i="84"/>
  <c r="J54" i="84"/>
  <c r="C20" i="81"/>
  <c r="C19" i="81"/>
  <c r="D3" i="4"/>
  <c r="G53" i="84"/>
  <c r="H53" i="84"/>
  <c r="E48" i="84"/>
  <c r="G52" i="84"/>
  <c r="H52" i="84"/>
  <c r="C23" i="81"/>
  <c r="B25" i="31"/>
  <c r="B26" i="31"/>
  <c r="B24" i="31"/>
  <c r="A25" i="31"/>
  <c r="A26" i="31"/>
  <c r="A24" i="31"/>
  <c r="G51" i="34"/>
  <c r="G48" i="34"/>
  <c r="C49" i="84"/>
  <c r="C43" i="67"/>
  <c r="F7" i="82"/>
  <c r="E53" i="84"/>
  <c r="F53" i="84"/>
  <c r="E52" i="84"/>
  <c r="F52" i="84"/>
  <c r="I53" i="84"/>
  <c r="J53" i="84"/>
  <c r="C27" i="81"/>
  <c r="C7" i="81"/>
  <c r="C28" i="81"/>
  <c r="I51" i="34"/>
  <c r="I48" i="34"/>
  <c r="Y6" i="1"/>
  <c r="C37" i="34"/>
  <c r="E37" i="34"/>
  <c r="G37" i="34"/>
  <c r="I37" i="34"/>
  <c r="O21" i="1"/>
  <c r="B2" i="84"/>
  <c r="B3" i="84"/>
  <c r="C24" i="81"/>
  <c r="C30" i="81"/>
  <c r="C31" i="81"/>
  <c r="F19" i="6"/>
  <c r="C34" i="34"/>
  <c r="K42" i="81"/>
  <c r="D37" i="81"/>
  <c r="J35" i="81"/>
  <c r="J34" i="81"/>
  <c r="J9" i="81"/>
  <c r="O42" i="81"/>
  <c r="M42" i="81"/>
  <c r="N42" i="81"/>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37" i="43"/>
  <c r="L37" i="43"/>
  <c r="P37" i="43"/>
  <c r="Q36" i="43"/>
  <c r="P36" i="43"/>
  <c r="O36" i="43"/>
  <c r="N36" i="43"/>
  <c r="M36" i="43"/>
  <c r="M23" i="43"/>
  <c r="G24" i="43"/>
  <c r="I23" i="43"/>
  <c r="G17" i="43"/>
  <c r="C13" i="43"/>
  <c r="N12" i="43"/>
  <c r="G2" i="43"/>
  <c r="AB30" i="79"/>
  <c r="AA30" i="79"/>
  <c r="Z30" i="79"/>
  <c r="W30" i="79"/>
  <c r="N30" i="79"/>
  <c r="M30" i="79"/>
  <c r="P30" i="79"/>
  <c r="L30" i="79"/>
  <c r="I30" i="79"/>
  <c r="AD30" i="79"/>
  <c r="AB29" i="79"/>
  <c r="AA29" i="79"/>
  <c r="Z29" i="79"/>
  <c r="N29" i="79"/>
  <c r="U29" i="79"/>
  <c r="M29" i="79"/>
  <c r="T29" i="79"/>
  <c r="W29" i="79"/>
  <c r="L29" i="79"/>
  <c r="S29" i="79"/>
  <c r="I29" i="79"/>
  <c r="AD29" i="79"/>
  <c r="AB28" i="79"/>
  <c r="AA28" i="79"/>
  <c r="Z28" i="79"/>
  <c r="N28" i="79"/>
  <c r="U28" i="79"/>
  <c r="M28" i="79"/>
  <c r="T28" i="79"/>
  <c r="W28" i="79"/>
  <c r="L28" i="79"/>
  <c r="S28" i="79"/>
  <c r="I28" i="79"/>
  <c r="AD28" i="79"/>
  <c r="AB27" i="79"/>
  <c r="AA27" i="79"/>
  <c r="Z27" i="79"/>
  <c r="N27" i="79"/>
  <c r="U27" i="79"/>
  <c r="M27" i="79"/>
  <c r="T27" i="79"/>
  <c r="W27" i="79"/>
  <c r="L27" i="79"/>
  <c r="S27" i="79"/>
  <c r="I27" i="79"/>
  <c r="AD27" i="79"/>
  <c r="AB26" i="79"/>
  <c r="AA26" i="79"/>
  <c r="Z26" i="79"/>
  <c r="N26" i="79"/>
  <c r="U26" i="79"/>
  <c r="M26" i="79"/>
  <c r="T26" i="79"/>
  <c r="W26" i="79"/>
  <c r="L26" i="79"/>
  <c r="S26" i="79"/>
  <c r="I26" i="79"/>
  <c r="AD26" i="79"/>
  <c r="AB25" i="79"/>
  <c r="AA25" i="79"/>
  <c r="Z25" i="79"/>
  <c r="N25" i="79"/>
  <c r="U25" i="79"/>
  <c r="M25" i="79"/>
  <c r="T25" i="79"/>
  <c r="W25" i="79"/>
  <c r="L25" i="79"/>
  <c r="S25" i="79"/>
  <c r="I25" i="79"/>
  <c r="AD25" i="79"/>
  <c r="AB24" i="79"/>
  <c r="AA24" i="79"/>
  <c r="Z24" i="79"/>
  <c r="N24" i="79"/>
  <c r="U24" i="79"/>
  <c r="M24" i="79"/>
  <c r="L24" i="79"/>
  <c r="S24" i="79"/>
  <c r="I24" i="79"/>
  <c r="AD24" i="79"/>
  <c r="AB23" i="79"/>
  <c r="AA23" i="79"/>
  <c r="Z23" i="79"/>
  <c r="Z20" i="79"/>
  <c r="N23" i="79"/>
  <c r="U23" i="79"/>
  <c r="M23" i="79"/>
  <c r="L23" i="79"/>
  <c r="I23" i="79"/>
  <c r="AD23" i="79"/>
  <c r="AB22" i="79"/>
  <c r="AA22" i="79"/>
  <c r="Z22" i="79"/>
  <c r="N22" i="79"/>
  <c r="U22" i="79"/>
  <c r="M22" i="79"/>
  <c r="T22" i="79"/>
  <c r="W22" i="79"/>
  <c r="L22" i="79"/>
  <c r="I22" i="79"/>
  <c r="AD22" i="79"/>
  <c r="AB20" i="79"/>
  <c r="AA20" i="79"/>
  <c r="AD20" i="79"/>
  <c r="U20" i="79"/>
  <c r="T20" i="79"/>
  <c r="W20" i="79"/>
  <c r="S20" i="79"/>
  <c r="N20" i="79"/>
  <c r="M20" i="79"/>
  <c r="P20" i="79"/>
  <c r="L20" i="79"/>
  <c r="G20" i="79"/>
  <c r="F20" i="79"/>
  <c r="I20" i="79"/>
  <c r="E20" i="79"/>
  <c r="AC13" i="79"/>
  <c r="AB13" i="79"/>
  <c r="AA13" i="79"/>
  <c r="AD13" i="79"/>
  <c r="Z13" i="79"/>
  <c r="Y13" i="79"/>
  <c r="W13" i="79"/>
  <c r="P13" i="79"/>
  <c r="O13" i="79"/>
  <c r="N13" i="79"/>
  <c r="M13" i="79"/>
  <c r="L13" i="79"/>
  <c r="K13" i="79"/>
  <c r="I13" i="79"/>
  <c r="AC12" i="79"/>
  <c r="AB12" i="79"/>
  <c r="AA12" i="79"/>
  <c r="AD12" i="79"/>
  <c r="Z12" i="79"/>
  <c r="Y12" i="79"/>
  <c r="O12" i="79"/>
  <c r="V12" i="79"/>
  <c r="N12" i="79"/>
  <c r="U12" i="79"/>
  <c r="M12" i="79"/>
  <c r="P12" i="79"/>
  <c r="L12" i="79"/>
  <c r="S12" i="79"/>
  <c r="K12" i="79"/>
  <c r="R12" i="79"/>
  <c r="I12" i="79"/>
  <c r="AD11" i="79"/>
  <c r="AC11" i="79"/>
  <c r="AB11" i="79"/>
  <c r="AA11" i="79"/>
  <c r="Z11" i="79"/>
  <c r="Y11" i="79"/>
  <c r="P11" i="79"/>
  <c r="O11" i="79"/>
  <c r="V11" i="79"/>
  <c r="N11" i="79"/>
  <c r="U11" i="79"/>
  <c r="M11" i="79"/>
  <c r="T11" i="79"/>
  <c r="W11" i="79"/>
  <c r="L11" i="79"/>
  <c r="S11" i="79"/>
  <c r="K11" i="79"/>
  <c r="R11" i="79"/>
  <c r="I11" i="79"/>
  <c r="AC10" i="79"/>
  <c r="AB10" i="79"/>
  <c r="AA10" i="79"/>
  <c r="AD10" i="79"/>
  <c r="Z10" i="79"/>
  <c r="Y10" i="79"/>
  <c r="O10" i="79"/>
  <c r="V10" i="79"/>
  <c r="N10" i="79"/>
  <c r="U10" i="79"/>
  <c r="M10" i="79"/>
  <c r="P10" i="79"/>
  <c r="L10" i="79"/>
  <c r="S10" i="79"/>
  <c r="K10" i="79"/>
  <c r="R10" i="79"/>
  <c r="I10" i="79"/>
  <c r="AD9" i="79"/>
  <c r="AC9" i="79"/>
  <c r="AB9" i="79"/>
  <c r="AA9" i="79"/>
  <c r="Z9" i="79"/>
  <c r="Y9" i="79"/>
  <c r="P9" i="79"/>
  <c r="O9" i="79"/>
  <c r="V9" i="79"/>
  <c r="N9" i="79"/>
  <c r="U9" i="79"/>
  <c r="M9" i="79"/>
  <c r="T9" i="79"/>
  <c r="W9" i="79"/>
  <c r="L9" i="79"/>
  <c r="S9" i="79"/>
  <c r="K9" i="79"/>
  <c r="R9" i="79"/>
  <c r="I9" i="79"/>
  <c r="AC8" i="79"/>
  <c r="AB8" i="79"/>
  <c r="AA8" i="79"/>
  <c r="AD8" i="79"/>
  <c r="Z8" i="79"/>
  <c r="Y8" i="79"/>
  <c r="O8" i="79"/>
  <c r="V8" i="79"/>
  <c r="N8" i="79"/>
  <c r="U8" i="79"/>
  <c r="M8" i="79"/>
  <c r="P8" i="79"/>
  <c r="L8" i="79"/>
  <c r="S8" i="79"/>
  <c r="K8" i="79"/>
  <c r="R8" i="79"/>
  <c r="I8" i="79"/>
  <c r="AC7" i="79"/>
  <c r="AB7" i="79"/>
  <c r="AA7" i="79"/>
  <c r="AD7" i="79"/>
  <c r="Z7" i="79"/>
  <c r="Y7" i="79"/>
  <c r="O7" i="79"/>
  <c r="V7" i="79"/>
  <c r="N7" i="79"/>
  <c r="U7" i="79"/>
  <c r="M7" i="79"/>
  <c r="T7" i="79"/>
  <c r="W7" i="79"/>
  <c r="L7" i="79"/>
  <c r="S7" i="79"/>
  <c r="K7" i="79"/>
  <c r="R7" i="79"/>
  <c r="I7" i="79"/>
  <c r="AC6" i="79"/>
  <c r="AB6" i="79"/>
  <c r="AA6" i="79"/>
  <c r="AD6" i="79"/>
  <c r="Z6" i="79"/>
  <c r="Y6" i="79"/>
  <c r="O6" i="79"/>
  <c r="V6" i="79"/>
  <c r="N6" i="79"/>
  <c r="U6" i="79"/>
  <c r="M6" i="79"/>
  <c r="P6" i="79"/>
  <c r="L6" i="79"/>
  <c r="S6" i="79"/>
  <c r="K6" i="79"/>
  <c r="R6" i="79"/>
  <c r="I6" i="79"/>
  <c r="AC5" i="79"/>
  <c r="AB5" i="79"/>
  <c r="AA5" i="79"/>
  <c r="AD5" i="79"/>
  <c r="Z5" i="79"/>
  <c r="Y5" i="79"/>
  <c r="P5" i="79"/>
  <c r="O5" i="79"/>
  <c r="V5" i="79"/>
  <c r="N5" i="79"/>
  <c r="U5" i="79"/>
  <c r="M5" i="79"/>
  <c r="T5" i="79"/>
  <c r="W5" i="79"/>
  <c r="L5" i="79"/>
  <c r="S5" i="79"/>
  <c r="K5" i="79"/>
  <c r="R5" i="79"/>
  <c r="I5" i="79"/>
  <c r="AC3" i="79"/>
  <c r="AB3" i="79"/>
  <c r="AA3" i="79"/>
  <c r="AD3" i="79"/>
  <c r="Z3" i="79"/>
  <c r="Y3" i="79"/>
  <c r="V3" i="79"/>
  <c r="U3" i="79"/>
  <c r="T3" i="79"/>
  <c r="W3" i="79"/>
  <c r="S3" i="79"/>
  <c r="R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3" i="79"/>
  <c r="T24" i="79"/>
  <c r="W24" i="79"/>
  <c r="S22" i="79"/>
  <c r="T23" i="79"/>
  <c r="W23" i="79"/>
  <c r="P7" i="79"/>
  <c r="Q37" i="43"/>
  <c r="C27" i="43"/>
  <c r="S6" i="43"/>
  <c r="S5" i="43"/>
  <c r="S4" i="43"/>
  <c r="S2" i="43"/>
  <c r="E93" i="43"/>
  <c r="B91" i="43"/>
  <c r="N21" i="43"/>
  <c r="S3" i="43"/>
  <c r="H116" i="43"/>
  <c r="O37"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c r="T8" i="79"/>
  <c r="W8" i="79"/>
  <c r="T10" i="79"/>
  <c r="W10" i="79"/>
  <c r="T12" i="79"/>
  <c r="W12" i="79"/>
  <c r="P22" i="79"/>
  <c r="P24" i="79"/>
  <c r="P26" i="79"/>
  <c r="P28" i="79"/>
  <c r="P23" i="79"/>
  <c r="P25" i="79"/>
  <c r="P27" i="79"/>
  <c r="P2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B66" i="72"/>
  <c r="A22" i="51"/>
  <c r="A21" i="51"/>
  <c r="A20" i="51"/>
  <c r="A14" i="62"/>
  <c r="A13" i="62"/>
  <c r="B59" i="72"/>
  <c r="A19" i="62"/>
  <c r="B65" i="72"/>
  <c r="A12" i="62"/>
  <c r="B58" i="72"/>
  <c r="A120" i="9"/>
  <c r="H2" i="52"/>
  <c r="A1" i="52"/>
  <c r="A3" i="53"/>
  <c r="Q26" i="71"/>
  <c r="P26" i="71"/>
  <c r="O26" i="71"/>
  <c r="N26" i="71"/>
  <c r="A15" i="51"/>
  <c r="B12" i="72"/>
  <c r="C76" i="9"/>
  <c r="I107" i="40"/>
  <c r="K6" i="4"/>
  <c r="M56" i="9"/>
  <c r="B22" i="31"/>
  <c r="B14" i="74"/>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c r="G84" i="34"/>
  <c r="F21" i="34"/>
  <c r="AA21" i="34"/>
  <c r="C21" i="34"/>
  <c r="Z21" i="33"/>
  <c r="Q21" i="33"/>
  <c r="D83" i="33"/>
  <c r="E83" i="33"/>
  <c r="F83" i="33"/>
  <c r="G83" i="33"/>
  <c r="C21" i="33"/>
  <c r="C21" i="21"/>
  <c r="Q21" i="21"/>
  <c r="Z21" i="21"/>
  <c r="H19" i="21"/>
  <c r="D83" i="21"/>
  <c r="F21" i="21"/>
  <c r="AA21" i="21"/>
  <c r="D81" i="21"/>
  <c r="G20" i="20"/>
  <c r="B88" i="43"/>
  <c r="C22" i="20"/>
  <c r="B100" i="43"/>
  <c r="C25" i="40"/>
  <c r="C29" i="39"/>
  <c r="S25" i="40"/>
  <c r="S18" i="36"/>
  <c r="U18" i="36"/>
  <c r="F94" i="40"/>
  <c r="H25" i="40"/>
  <c r="G94" i="40"/>
  <c r="J25" i="40"/>
  <c r="H29" i="39"/>
  <c r="AB29" i="39"/>
  <c r="J29" i="39"/>
  <c r="AC29" i="39"/>
  <c r="G66" i="36"/>
  <c r="J18" i="36"/>
  <c r="F68" i="35"/>
  <c r="H18" i="35"/>
  <c r="S18" i="35"/>
  <c r="G68" i="35"/>
  <c r="J18" i="35"/>
  <c r="F77" i="37"/>
  <c r="H21" i="37"/>
  <c r="F21" i="37"/>
  <c r="H21" i="34"/>
  <c r="AB21" i="34"/>
  <c r="H21" i="33"/>
  <c r="U21" i="33"/>
  <c r="F21" i="33"/>
  <c r="AA21" i="33"/>
  <c r="E83" i="21"/>
  <c r="S21" i="21"/>
  <c r="H1" i="69"/>
  <c r="AC25" i="40"/>
  <c r="W25" i="40"/>
  <c r="AB25" i="40"/>
  <c r="U25" i="40"/>
  <c r="U29" i="39"/>
  <c r="W29" i="39"/>
  <c r="AC18" i="36"/>
  <c r="W18" i="36"/>
  <c r="AB21" i="37"/>
  <c r="U21" i="37"/>
  <c r="AA21" i="37"/>
  <c r="S21" i="37"/>
  <c r="S21" i="33"/>
  <c r="AB18" i="35"/>
  <c r="U18" i="35"/>
  <c r="AC18" i="35"/>
  <c r="W18" i="35"/>
  <c r="G77" i="37"/>
  <c r="J21" i="37"/>
  <c r="J21" i="34"/>
  <c r="W21" i="34"/>
  <c r="J21" i="33"/>
  <c r="AC21" i="33"/>
  <c r="F83" i="21"/>
  <c r="H21" i="21"/>
  <c r="F38" i="69"/>
  <c r="E37" i="69"/>
  <c r="F36" i="69"/>
  <c r="F35" i="69"/>
  <c r="F21" i="69"/>
  <c r="F40" i="69"/>
  <c r="F20" i="69"/>
  <c r="F39" i="69"/>
  <c r="E10" i="69"/>
  <c r="E9" i="69"/>
  <c r="C7" i="69"/>
  <c r="AC21" i="37"/>
  <c r="W21" i="37"/>
  <c r="AC21" i="34"/>
  <c r="AB21" i="21"/>
  <c r="U21" i="21"/>
  <c r="G83" i="21"/>
  <c r="J21" i="21"/>
  <c r="F38" i="68"/>
  <c r="E37" i="68"/>
  <c r="F36" i="68"/>
  <c r="F35" i="68"/>
  <c r="F21" i="68"/>
  <c r="F40" i="68"/>
  <c r="F20" i="68"/>
  <c r="F39" i="68"/>
  <c r="E10" i="68"/>
  <c r="E9" i="68"/>
  <c r="C7"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7" i="31"/>
  <c r="S27" i="31"/>
  <c r="R28" i="31"/>
  <c r="S28" i="31"/>
  <c r="R29" i="31"/>
  <c r="R30" i="31"/>
  <c r="R31" i="31"/>
  <c r="R32" i="31"/>
  <c r="S32" i="31"/>
  <c r="R33" i="31"/>
  <c r="R34" i="31"/>
  <c r="R35" i="31"/>
  <c r="R36" i="31"/>
  <c r="S36" i="31"/>
  <c r="R37" i="31"/>
  <c r="R38" i="31"/>
  <c r="R39" i="31"/>
  <c r="R40" i="31"/>
  <c r="S40" i="31"/>
  <c r="R41" i="31"/>
  <c r="R42" i="31"/>
  <c r="R43" i="31"/>
  <c r="R44" i="31"/>
  <c r="S44" i="31"/>
  <c r="R45" i="31"/>
  <c r="R46" i="31"/>
  <c r="R47" i="31"/>
  <c r="R48" i="31"/>
  <c r="S48" i="31"/>
  <c r="R49" i="31"/>
  <c r="R50" i="31"/>
  <c r="R51" i="31"/>
  <c r="R52" i="31"/>
  <c r="S52" i="31"/>
  <c r="R53" i="31"/>
  <c r="R54" i="31"/>
  <c r="R55" i="31"/>
  <c r="S55" i="31"/>
  <c r="R56" i="31"/>
  <c r="R57" i="31"/>
  <c r="R58" i="31"/>
  <c r="R59" i="31"/>
  <c r="S59" i="31"/>
  <c r="R60" i="31"/>
  <c r="S60" i="31"/>
  <c r="R61" i="31"/>
  <c r="R62" i="31"/>
  <c r="R63" i="31"/>
  <c r="S63" i="31"/>
  <c r="R64" i="31"/>
  <c r="S64" i="31"/>
  <c r="R65" i="31"/>
  <c r="R66" i="31"/>
  <c r="R67" i="31"/>
  <c r="S67" i="31"/>
  <c r="R68" i="31"/>
  <c r="S68" i="31"/>
  <c r="R69" i="31"/>
  <c r="R70" i="31"/>
  <c r="R71" i="31"/>
  <c r="S71" i="31"/>
  <c r="R72" i="31"/>
  <c r="R73" i="31"/>
  <c r="R74" i="31"/>
  <c r="R75" i="31"/>
  <c r="S75" i="31"/>
  <c r="R76" i="31"/>
  <c r="S76" i="31"/>
  <c r="R77" i="31"/>
  <c r="R78" i="31"/>
  <c r="R79" i="31"/>
  <c r="S79" i="31"/>
  <c r="R80" i="31"/>
  <c r="S80" i="31"/>
  <c r="R81" i="31"/>
  <c r="R82" i="31"/>
  <c r="R83" i="31"/>
  <c r="S83" i="31"/>
  <c r="R84" i="31"/>
  <c r="R85" i="31"/>
  <c r="R86" i="31"/>
  <c r="R87" i="31"/>
  <c r="S87" i="31"/>
  <c r="R88" i="31"/>
  <c r="S88" i="31"/>
  <c r="R89" i="31"/>
  <c r="R90" i="31"/>
  <c r="R91" i="31"/>
  <c r="S91" i="31"/>
  <c r="R92" i="31"/>
  <c r="S92" i="31"/>
  <c r="R93" i="31"/>
  <c r="R94" i="31"/>
  <c r="R95" i="31"/>
  <c r="S95" i="31"/>
  <c r="R96" i="31"/>
  <c r="S96" i="31"/>
  <c r="R97" i="31"/>
  <c r="R98" i="31"/>
  <c r="R99" i="31"/>
  <c r="R100" i="31"/>
  <c r="S100" i="31"/>
  <c r="R101" i="31"/>
  <c r="R102" i="31"/>
  <c r="R103" i="31"/>
  <c r="R104" i="31"/>
  <c r="S104" i="31"/>
  <c r="R105" i="31"/>
  <c r="R106" i="31"/>
  <c r="R107" i="31"/>
  <c r="R108" i="31"/>
  <c r="S108" i="31"/>
  <c r="R109" i="31"/>
  <c r="R110" i="31"/>
  <c r="R111" i="31"/>
  <c r="R112" i="31"/>
  <c r="S112" i="31"/>
  <c r="R113" i="31"/>
  <c r="R114" i="31"/>
  <c r="R115" i="31"/>
  <c r="S115" i="31"/>
  <c r="R116" i="31"/>
  <c r="S116" i="31"/>
  <c r="R117" i="31"/>
  <c r="R118" i="31"/>
  <c r="R119" i="31"/>
  <c r="S119" i="31"/>
  <c r="R120" i="31"/>
  <c r="R121" i="31"/>
  <c r="R122" i="31"/>
  <c r="R123" i="31"/>
  <c r="S123" i="31"/>
  <c r="R124" i="31"/>
  <c r="R125" i="31"/>
  <c r="R126" i="31"/>
  <c r="R127" i="31"/>
  <c r="S127" i="31"/>
  <c r="R128" i="31"/>
  <c r="S128" i="31"/>
  <c r="R129" i="31"/>
  <c r="R130" i="31"/>
  <c r="R131" i="31"/>
  <c r="S131" i="31"/>
  <c r="R132" i="31"/>
  <c r="S132" i="31"/>
  <c r="R133" i="31"/>
  <c r="R134" i="31"/>
  <c r="R135" i="31"/>
  <c r="S135" i="31"/>
  <c r="R136" i="31"/>
  <c r="S136" i="31"/>
  <c r="R137" i="31"/>
  <c r="R138" i="31"/>
  <c r="R139" i="31"/>
  <c r="S139" i="31"/>
  <c r="R140" i="31"/>
  <c r="R141" i="31"/>
  <c r="R142" i="31"/>
  <c r="R143" i="31"/>
  <c r="S143" i="31"/>
  <c r="R144" i="31"/>
  <c r="S144" i="31"/>
  <c r="R145" i="31"/>
  <c r="R146" i="31"/>
  <c r="R147" i="31"/>
  <c r="S147" i="31"/>
  <c r="R148" i="31"/>
  <c r="S148" i="31"/>
  <c r="R149" i="31"/>
  <c r="R150" i="31"/>
  <c r="R151" i="31"/>
  <c r="S151" i="31"/>
  <c r="R152" i="31"/>
  <c r="S152" i="31"/>
  <c r="R153" i="31"/>
  <c r="R154" i="31"/>
  <c r="R155" i="31"/>
  <c r="S155" i="31"/>
  <c r="R156" i="31"/>
  <c r="R157" i="31"/>
  <c r="R158" i="31"/>
  <c r="R159" i="31"/>
  <c r="S159" i="31"/>
  <c r="R160" i="31"/>
  <c r="S160" i="31"/>
  <c r="R161" i="31"/>
  <c r="R162" i="31"/>
  <c r="R163" i="31"/>
  <c r="S163" i="31"/>
  <c r="R164" i="31"/>
  <c r="S164" i="31"/>
  <c r="R165" i="31"/>
  <c r="R166" i="31"/>
  <c r="R167" i="31"/>
  <c r="S167" i="31"/>
  <c r="R168" i="31"/>
  <c r="S168" i="31"/>
  <c r="R169" i="31"/>
  <c r="R170" i="31"/>
  <c r="R171" i="31"/>
  <c r="S171" i="31"/>
  <c r="R172" i="31"/>
  <c r="R173" i="31"/>
  <c r="R174" i="31"/>
  <c r="R175" i="31"/>
  <c r="S175" i="31"/>
  <c r="R176" i="31"/>
  <c r="S176" i="31"/>
  <c r="R177" i="31"/>
  <c r="R178" i="31"/>
  <c r="R179" i="31"/>
  <c r="S179" i="31"/>
  <c r="R180" i="31"/>
  <c r="S180" i="31"/>
  <c r="R181" i="31"/>
  <c r="R182" i="31"/>
  <c r="R183" i="31"/>
  <c r="S183" i="31"/>
  <c r="R184" i="31"/>
  <c r="S184" i="31"/>
  <c r="R185" i="31"/>
  <c r="R186" i="31"/>
  <c r="R187" i="31"/>
  <c r="S187" i="31"/>
  <c r="R188" i="31"/>
  <c r="R189" i="31"/>
  <c r="R190" i="31"/>
  <c r="R191" i="31"/>
  <c r="S191" i="31"/>
  <c r="R192" i="31"/>
  <c r="S192" i="31"/>
  <c r="R193" i="31"/>
  <c r="R194" i="31"/>
  <c r="R195" i="31"/>
  <c r="S195" i="31"/>
  <c r="R196" i="31"/>
  <c r="S196" i="31"/>
  <c r="R197" i="31"/>
  <c r="R198" i="31"/>
  <c r="R199" i="31"/>
  <c r="S199" i="31"/>
  <c r="R200" i="31"/>
  <c r="S200" i="31"/>
  <c r="R201" i="31"/>
  <c r="R202" i="31"/>
  <c r="R203" i="31"/>
  <c r="S203" i="31"/>
  <c r="R204" i="31"/>
  <c r="R205" i="31"/>
  <c r="R206" i="31"/>
  <c r="R207" i="31"/>
  <c r="S207" i="31"/>
  <c r="R208" i="31"/>
  <c r="S208" i="31"/>
  <c r="R209" i="31"/>
  <c r="R210" i="31"/>
  <c r="R211" i="31"/>
  <c r="S211" i="31"/>
  <c r="R212" i="31"/>
  <c r="S212" i="31"/>
  <c r="R213" i="31"/>
  <c r="R214" i="31"/>
  <c r="R215" i="31"/>
  <c r="S215" i="31"/>
  <c r="R216" i="31"/>
  <c r="S216" i="31"/>
  <c r="R217" i="31"/>
  <c r="R218" i="31"/>
  <c r="R219" i="31"/>
  <c r="S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S300" i="31"/>
  <c r="R301" i="31"/>
  <c r="S301" i="31"/>
  <c r="R302" i="31"/>
  <c r="R303" i="31"/>
  <c r="S303" i="31"/>
  <c r="R304" i="31"/>
  <c r="R305" i="31"/>
  <c r="S305" i="31"/>
  <c r="R306" i="31"/>
  <c r="R307" i="31"/>
  <c r="S307" i="31"/>
  <c r="R308" i="31"/>
  <c r="S308" i="31"/>
  <c r="R309" i="31"/>
  <c r="S309" i="31"/>
  <c r="R310" i="31"/>
  <c r="R311" i="31"/>
  <c r="S311" i="31"/>
  <c r="R312" i="31"/>
  <c r="R313" i="31"/>
  <c r="S313" i="31"/>
  <c r="R314" i="31"/>
  <c r="R315" i="31"/>
  <c r="S315" i="31"/>
  <c r="R316" i="31"/>
  <c r="S316" i="31"/>
  <c r="R317" i="31"/>
  <c r="S317" i="31"/>
  <c r="R318" i="31"/>
  <c r="R319" i="31"/>
  <c r="S319" i="31"/>
  <c r="R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R365" i="31"/>
  <c r="S365" i="31"/>
  <c r="R366" i="31"/>
  <c r="R367" i="31"/>
  <c r="S367" i="31"/>
  <c r="R368" i="31"/>
  <c r="R369" i="31"/>
  <c r="S369" i="31"/>
  <c r="R370" i="31"/>
  <c r="S370" i="31"/>
  <c r="R371" i="31"/>
  <c r="S371" i="31"/>
  <c r="R372" i="31"/>
  <c r="R373" i="31"/>
  <c r="S373" i="31"/>
  <c r="R374" i="31"/>
  <c r="R375" i="31"/>
  <c r="S375" i="31"/>
  <c r="R376" i="31"/>
  <c r="R377" i="31"/>
  <c r="S377" i="31"/>
  <c r="R378" i="31"/>
  <c r="S378" i="31"/>
  <c r="R379" i="31"/>
  <c r="S379" i="31"/>
  <c r="R380" i="31"/>
  <c r="R381" i="31"/>
  <c r="S381" i="31"/>
  <c r="R382" i="31"/>
  <c r="R383" i="31"/>
  <c r="S383" i="31"/>
  <c r="R384" i="31"/>
  <c r="R385" i="31"/>
  <c r="S385" i="31"/>
  <c r="R386" i="31"/>
  <c r="S386" i="31"/>
  <c r="R387" i="31"/>
  <c r="S387" i="31"/>
  <c r="R388" i="31"/>
  <c r="R389" i="31"/>
  <c r="S389" i="31"/>
  <c r="R390" i="31"/>
  <c r="R391" i="31"/>
  <c r="S391" i="31"/>
  <c r="R392" i="31"/>
  <c r="R393" i="31"/>
  <c r="S393" i="31"/>
  <c r="R394" i="31"/>
  <c r="S394" i="31"/>
  <c r="R395" i="31"/>
  <c r="S395" i="31"/>
  <c r="R396" i="31"/>
  <c r="R397" i="31"/>
  <c r="S397" i="31"/>
  <c r="R398" i="31"/>
  <c r="R399" i="31"/>
  <c r="S399" i="31"/>
  <c r="R400" i="31"/>
  <c r="R401" i="31"/>
  <c r="S401" i="31"/>
  <c r="R402" i="31"/>
  <c r="S402" i="31"/>
  <c r="R403" i="31"/>
  <c r="S403" i="31"/>
  <c r="R404" i="31"/>
  <c r="R405" i="31"/>
  <c r="S405" i="31"/>
  <c r="R406" i="31"/>
  <c r="R407" i="31"/>
  <c r="S407" i="31"/>
  <c r="R408" i="31"/>
  <c r="R409" i="31"/>
  <c r="S409" i="31"/>
  <c r="R410" i="31"/>
  <c r="S410" i="31"/>
  <c r="R411" i="31"/>
  <c r="S411" i="31"/>
  <c r="R412" i="31"/>
  <c r="R413" i="31"/>
  <c r="S413" i="31"/>
  <c r="R414" i="31"/>
  <c r="R415" i="31"/>
  <c r="S415" i="31"/>
  <c r="R416" i="31"/>
  <c r="R417" i="31"/>
  <c r="S417" i="31"/>
  <c r="R418" i="31"/>
  <c r="S418" i="31"/>
  <c r="R419" i="31"/>
  <c r="S419" i="31"/>
  <c r="R420" i="31"/>
  <c r="R421" i="31"/>
  <c r="S421" i="31"/>
  <c r="R422" i="31"/>
  <c r="R423" i="31"/>
  <c r="S423" i="31"/>
  <c r="R424" i="31"/>
  <c r="R425" i="31"/>
  <c r="R426" i="31"/>
  <c r="R427" i="31"/>
  <c r="S427" i="31"/>
  <c r="R428" i="31"/>
  <c r="R429" i="31"/>
  <c r="R430" i="31"/>
  <c r="S430" i="31"/>
  <c r="R431" i="31"/>
  <c r="S431" i="31"/>
  <c r="R432" i="31"/>
  <c r="R433" i="31"/>
  <c r="R434" i="31"/>
  <c r="S434" i="31"/>
  <c r="R435" i="31"/>
  <c r="S435" i="31"/>
  <c r="R436" i="31"/>
  <c r="R437" i="31"/>
  <c r="R438" i="31"/>
  <c r="S438" i="31"/>
  <c r="R439" i="31"/>
  <c r="S439" i="31"/>
  <c r="R440" i="31"/>
  <c r="R441" i="31"/>
  <c r="R442" i="31"/>
  <c r="R443" i="31"/>
  <c r="S443" i="31"/>
  <c r="R444" i="31"/>
  <c r="R445" i="31"/>
  <c r="R446" i="31"/>
  <c r="S446" i="31"/>
  <c r="R447" i="31"/>
  <c r="S447" i="31"/>
  <c r="R448" i="31"/>
  <c r="R449" i="31"/>
  <c r="R450" i="31"/>
  <c r="R451" i="31"/>
  <c r="S451" i="31"/>
  <c r="R452" i="31"/>
  <c r="R453" i="31"/>
  <c r="R454" i="31"/>
  <c r="S454" i="31"/>
  <c r="R455" i="31"/>
  <c r="S455" i="31"/>
  <c r="R456" i="31"/>
  <c r="R457" i="31"/>
  <c r="R458" i="31"/>
  <c r="S458" i="31"/>
  <c r="R459" i="31"/>
  <c r="S459" i="31"/>
  <c r="R460" i="31"/>
  <c r="R461" i="31"/>
  <c r="R462" i="31"/>
  <c r="S462" i="31"/>
  <c r="R463" i="31"/>
  <c r="S463" i="31"/>
  <c r="R464" i="31"/>
  <c r="R465" i="31"/>
  <c r="R466" i="31"/>
  <c r="R467" i="31"/>
  <c r="S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c r="R499" i="31"/>
  <c r="R500" i="31"/>
  <c r="R501" i="31"/>
  <c r="R502" i="31"/>
  <c r="S502" i="31"/>
  <c r="R503" i="31"/>
  <c r="S503" i="31"/>
  <c r="R504" i="31"/>
  <c r="R505" i="31"/>
  <c r="R506" i="31"/>
  <c r="S506" i="31"/>
  <c r="R507" i="31"/>
  <c r="S507" i="31"/>
  <c r="R508" i="31"/>
  <c r="R509" i="31"/>
  <c r="R510" i="31"/>
  <c r="R511" i="31"/>
  <c r="S511" i="31"/>
  <c r="R512" i="31"/>
  <c r="R513" i="31"/>
  <c r="R514" i="31"/>
  <c r="S514" i="31"/>
  <c r="R515" i="31"/>
  <c r="R516" i="31"/>
  <c r="R517" i="31"/>
  <c r="R518" i="31"/>
  <c r="S518" i="31"/>
  <c r="R519" i="31"/>
  <c r="R520" i="31"/>
  <c r="R521" i="31"/>
  <c r="R522" i="31"/>
  <c r="S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J41" i="33"/>
  <c r="D113" i="33"/>
  <c r="F37" i="33"/>
  <c r="S37" i="33"/>
  <c r="D111" i="33"/>
  <c r="E111" i="33"/>
  <c r="F111" i="33"/>
  <c r="S515" i="31"/>
  <c r="S516" i="31"/>
  <c r="S517" i="31"/>
  <c r="S519" i="31"/>
  <c r="S520" i="31"/>
  <c r="S521"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D92" i="34"/>
  <c r="E92" i="34"/>
  <c r="F92" i="34"/>
  <c r="G92" i="34"/>
  <c r="H92" i="34"/>
  <c r="I92" i="34"/>
  <c r="J92" i="34"/>
  <c r="K92" i="34"/>
  <c r="L92" i="34"/>
  <c r="M92" i="34"/>
  <c r="B91" i="34"/>
  <c r="B89" i="34"/>
  <c r="J27" i="34"/>
  <c r="W27" i="34"/>
  <c r="D88" i="34"/>
  <c r="E88" i="34"/>
  <c r="F88" i="34"/>
  <c r="D86" i="34"/>
  <c r="E86" i="34"/>
  <c r="D82" i="34"/>
  <c r="E82" i="34"/>
  <c r="D80" i="34"/>
  <c r="E80" i="34"/>
  <c r="F80" i="34"/>
  <c r="G80" i="34"/>
  <c r="D78" i="34"/>
  <c r="E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H9" i="34"/>
  <c r="U9" i="34"/>
  <c r="J8" i="34"/>
  <c r="AC8" i="34"/>
  <c r="H8" i="34"/>
  <c r="U8" i="34"/>
  <c r="F8" i="34"/>
  <c r="D121" i="33"/>
  <c r="E121" i="33"/>
  <c r="F109" i="33"/>
  <c r="E109" i="33"/>
  <c r="D109" i="33"/>
  <c r="C109" i="33"/>
  <c r="B88" i="33"/>
  <c r="J26" i="33"/>
  <c r="AC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AA36" i="34"/>
  <c r="J35" i="34"/>
  <c r="W35" i="34"/>
  <c r="H39" i="33"/>
  <c r="AB39" i="33"/>
  <c r="F26" i="33"/>
  <c r="AA26" i="33"/>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E114" i="34"/>
  <c r="H36" i="34"/>
  <c r="U36" i="34"/>
  <c r="F28" i="34"/>
  <c r="AA28" i="34"/>
  <c r="H17" i="34"/>
  <c r="U17" i="34"/>
  <c r="J28" i="34"/>
  <c r="W28" i="34"/>
  <c r="F41" i="33"/>
  <c r="AA41" i="33"/>
  <c r="E113" i="33"/>
  <c r="F32" i="33"/>
  <c r="AA32"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W43" i="34"/>
  <c r="AB42" i="34"/>
  <c r="F114" i="34"/>
  <c r="G114" i="34"/>
  <c r="H114" i="34"/>
  <c r="I114" i="34"/>
  <c r="J114" i="34"/>
  <c r="K114" i="34"/>
  <c r="L114" i="34"/>
  <c r="M114" i="34"/>
  <c r="H38" i="34"/>
  <c r="AB38" i="34"/>
  <c r="J36" i="34"/>
  <c r="W36" i="34"/>
  <c r="F17" i="34"/>
  <c r="AA17" i="34"/>
  <c r="J17" i="34"/>
  <c r="W17" i="34"/>
  <c r="S41" i="33"/>
  <c r="F113" i="33"/>
  <c r="G113" i="33"/>
  <c r="H113" i="33"/>
  <c r="I113" i="33"/>
  <c r="J113" i="33"/>
  <c r="K113" i="33"/>
  <c r="L113" i="33"/>
  <c r="M113" i="33"/>
  <c r="H37" i="33"/>
  <c r="AB37" i="33"/>
  <c r="H11" i="33"/>
  <c r="AB11" i="33"/>
  <c r="F28" i="40"/>
  <c r="AA28" i="40"/>
  <c r="AA29" i="35"/>
  <c r="AA42" i="34"/>
  <c r="S42" i="34"/>
  <c r="AA38" i="34"/>
  <c r="J11" i="33"/>
  <c r="W11" i="33"/>
  <c r="S28" i="34"/>
  <c r="U23" i="40"/>
  <c r="G123" i="21"/>
  <c r="H123" i="21"/>
  <c r="I123" i="21"/>
  <c r="J123" i="21"/>
  <c r="K123" i="21"/>
  <c r="L123" i="21"/>
  <c r="M123" i="21"/>
  <c r="J42" i="21"/>
  <c r="AC42" i="21"/>
  <c r="H42" i="21"/>
  <c r="U42" i="21"/>
  <c r="J44" i="34"/>
  <c r="AC44" i="34"/>
  <c r="F44" i="34"/>
  <c r="S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U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AZ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3" i="34"/>
  <c r="AA43" i="34"/>
  <c r="H44" i="34"/>
  <c r="U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F32" i="37"/>
  <c r="AA32" i="37"/>
  <c r="G96" i="37"/>
  <c r="H96" i="37"/>
  <c r="I96" i="37"/>
  <c r="J96" i="37"/>
  <c r="K96" i="37"/>
  <c r="L96" i="37"/>
  <c r="M96" i="37"/>
  <c r="F20" i="36"/>
  <c r="AA20" i="36"/>
  <c r="H23" i="39"/>
  <c r="U23" i="39"/>
  <c r="K9" i="1"/>
  <c r="M9" i="1"/>
  <c r="D93" i="9"/>
  <c r="K6" i="1"/>
  <c r="AP6" i="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J51" i="67"/>
  <c r="C42" i="1"/>
  <c r="C24" i="12"/>
  <c r="AC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AB8" i="34"/>
  <c r="AC42" i="34"/>
  <c r="U39" i="34"/>
  <c r="AA45" i="34"/>
  <c r="U28" i="34"/>
  <c r="AA29" i="34"/>
  <c r="S13" i="34"/>
  <c r="H10" i="34"/>
  <c r="AB10" i="34"/>
  <c r="F11" i="34"/>
  <c r="S11" i="34"/>
  <c r="F70" i="34"/>
  <c r="AA35" i="33"/>
  <c r="W38" i="33"/>
  <c r="H41" i="33"/>
  <c r="F121" i="33"/>
  <c r="G121" i="33"/>
  <c r="H121" i="33"/>
  <c r="I121" i="33"/>
  <c r="J121" i="33"/>
  <c r="K121" i="33"/>
  <c r="L121" i="33"/>
  <c r="M121" i="33"/>
  <c r="F36" i="33"/>
  <c r="AA36" i="33"/>
  <c r="G111" i="33"/>
  <c r="G108" i="33"/>
  <c r="H108" i="33"/>
  <c r="I108" i="33"/>
  <c r="J108" i="33"/>
  <c r="K108" i="33"/>
  <c r="L108" i="33"/>
  <c r="M108" i="33"/>
  <c r="J35" i="33"/>
  <c r="AC35" i="33"/>
  <c r="AA37" i="33"/>
  <c r="J32" i="33"/>
  <c r="AC32" i="33"/>
  <c r="S46" i="33"/>
  <c r="W43" i="33"/>
  <c r="S43" i="33"/>
  <c r="F87" i="33"/>
  <c r="H25" i="33"/>
  <c r="U25" i="33"/>
  <c r="F25" i="33"/>
  <c r="S2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F34" i="15"/>
  <c r="F62" i="15"/>
  <c r="G13" i="3"/>
  <c r="BA13" i="3"/>
  <c r="BL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A4" i="51"/>
  <c r="B6" i="72"/>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W46" i="33"/>
  <c r="U38" i="33"/>
  <c r="U44" i="33"/>
  <c r="AB44" i="33"/>
  <c r="S30" i="33"/>
  <c r="AA30" i="33"/>
  <c r="AC14" i="33"/>
  <c r="W14" i="33"/>
  <c r="AC30" i="33"/>
  <c r="W30" i="33"/>
  <c r="S31" i="33"/>
  <c r="AA31" i="33"/>
  <c r="W13" i="33"/>
  <c r="AC13" i="33"/>
  <c r="S11" i="33"/>
  <c r="AC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H111" i="33"/>
  <c r="I111" i="33"/>
  <c r="J111" i="33"/>
  <c r="K111" i="33"/>
  <c r="L111" i="33"/>
  <c r="M111" i="33"/>
  <c r="J36" i="33"/>
  <c r="W36" i="33"/>
  <c r="H36" i="33"/>
  <c r="U36" i="33"/>
  <c r="S36" i="33"/>
  <c r="G87" i="33"/>
  <c r="H87" i="33"/>
  <c r="I87" i="33"/>
  <c r="J87" i="33"/>
  <c r="K87" i="33"/>
  <c r="L87" i="33"/>
  <c r="M87" i="33"/>
  <c r="J25" i="33"/>
  <c r="W25"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U23" i="21"/>
  <c r="AB23" i="21"/>
  <c r="AC23" i="21"/>
  <c r="W23" i="21"/>
  <c r="H109" i="9"/>
  <c r="D16" i="53"/>
  <c r="B34" i="72"/>
  <c r="H112" i="9"/>
  <c r="C8" i="74"/>
  <c r="H111" i="9"/>
  <c r="D126" i="9"/>
  <c r="AD3" i="71"/>
  <c r="J1" i="73"/>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J15" i="67"/>
  <c r="D3" i="73"/>
  <c r="F37" i="15"/>
  <c r="F7" i="73"/>
  <c r="F13" i="67"/>
  <c r="B9" i="76"/>
  <c r="D4" i="73"/>
  <c r="E2" i="68"/>
  <c r="M29" i="67"/>
  <c r="J15" i="15"/>
  <c r="C76" i="67"/>
  <c r="B12" i="76"/>
  <c r="M24" i="67"/>
  <c r="F4" i="73"/>
  <c r="C76" i="15"/>
  <c r="M9" i="15"/>
  <c r="F42" i="15"/>
  <c r="E11" i="76"/>
  <c r="E7" i="76"/>
  <c r="M23" i="67"/>
  <c r="M9" i="67"/>
  <c r="E2" i="69"/>
  <c r="D5" i="73"/>
  <c r="M6" i="15"/>
  <c r="AO13" i="1"/>
  <c r="B11" i="76"/>
  <c r="M26" i="15"/>
  <c r="F8" i="15"/>
  <c r="F8" i="67"/>
  <c r="B13" i="76"/>
  <c r="F7" i="15"/>
  <c r="M23" i="15"/>
  <c r="M8" i="15"/>
  <c r="F43" i="67"/>
  <c r="F43" i="15"/>
  <c r="F3" i="73"/>
  <c r="L47" i="15"/>
  <c r="M8" i="67"/>
  <c r="F26" i="67"/>
  <c r="F40" i="15"/>
  <c r="F9" i="15"/>
  <c r="F13" i="15"/>
  <c r="E12" i="76"/>
  <c r="F5" i="73"/>
  <c r="E13" i="76"/>
  <c r="M28" i="67"/>
  <c r="F37" i="67"/>
  <c r="D6" i="73"/>
  <c r="F7" i="67"/>
  <c r="B10" i="76"/>
  <c r="F36" i="15"/>
  <c r="F36" i="67"/>
  <c r="F6" i="73"/>
  <c r="L48" i="67"/>
  <c r="M6" i="67"/>
  <c r="E10" i="76"/>
  <c r="F6" i="15"/>
  <c r="F16" i="67"/>
  <c r="E8" i="76"/>
  <c r="F20" i="31"/>
  <c r="F16" i="15"/>
  <c r="L47" i="67"/>
  <c r="F26" i="15"/>
  <c r="B8" i="76"/>
  <c r="M24" i="15"/>
  <c r="M22" i="15"/>
  <c r="F38" i="15"/>
  <c r="M29" i="15"/>
  <c r="L48" i="15"/>
  <c r="B7" i="76"/>
  <c r="F38" i="67"/>
  <c r="M22" i="67"/>
  <c r="M26" i="67"/>
  <c r="D7" i="73"/>
  <c r="M28" i="15"/>
  <c r="E9" i="76"/>
  <c r="S32" i="33"/>
  <c r="F123" i="33"/>
  <c r="G123" i="33"/>
  <c r="H123" i="33"/>
  <c r="I123" i="33"/>
  <c r="J123" i="33"/>
  <c r="K123" i="33"/>
  <c r="L123" i="33"/>
  <c r="M123" i="33"/>
  <c r="J42" i="33"/>
  <c r="F42" i="33"/>
  <c r="AA42" i="33"/>
  <c r="H42" i="33"/>
  <c r="AB42" i="33"/>
  <c r="F23" i="33"/>
  <c r="J23" i="33"/>
  <c r="AC23" i="33"/>
  <c r="H23" i="33"/>
  <c r="AB23" i="33"/>
  <c r="F85" i="33"/>
  <c r="G85" i="33"/>
  <c r="W21" i="33"/>
  <c r="J19" i="33"/>
  <c r="AC19" i="33"/>
  <c r="F19" i="33"/>
  <c r="S19" i="33"/>
  <c r="F81" i="33"/>
  <c r="G81" i="33"/>
  <c r="H19" i="33"/>
  <c r="AB19" i="33"/>
  <c r="F79" i="33"/>
  <c r="G79" i="33"/>
  <c r="H17" i="33"/>
  <c r="J17" i="33"/>
  <c r="F17" i="33"/>
  <c r="AA17" i="33"/>
  <c r="F77" i="33"/>
  <c r="F15" i="33"/>
  <c r="AB36" i="33"/>
  <c r="S42" i="33"/>
  <c r="S39" i="33"/>
  <c r="U39" i="33"/>
  <c r="AC37" i="33"/>
  <c r="U37" i="33"/>
  <c r="S28" i="33"/>
  <c r="AB28" i="33"/>
  <c r="H91" i="33"/>
  <c r="I91" i="33"/>
  <c r="J91" i="33"/>
  <c r="K91" i="33"/>
  <c r="L91" i="33"/>
  <c r="M91" i="33"/>
  <c r="W26" i="33"/>
  <c r="AB25" i="33"/>
  <c r="W23" i="33"/>
  <c r="AB21" i="33"/>
  <c r="W19" i="33"/>
  <c r="U19" i="33"/>
  <c r="AA19" i="33"/>
  <c r="S38" i="33"/>
  <c r="W39" i="33"/>
  <c r="U35" i="33"/>
  <c r="S33" i="33"/>
  <c r="W33" i="33"/>
  <c r="AB34" i="33"/>
  <c r="AA34" i="33"/>
  <c r="W32" i="33"/>
  <c r="U32" i="33"/>
  <c r="S26" i="33"/>
  <c r="AB26" i="33"/>
  <c r="AA25" i="33"/>
  <c r="AC25" i="33"/>
  <c r="M20" i="67"/>
  <c r="BA5" i="3"/>
  <c r="C40" i="68"/>
  <c r="F27" i="34"/>
  <c r="S27" i="34"/>
  <c r="B77" i="43"/>
  <c r="H50" i="43"/>
  <c r="K56" i="9"/>
  <c r="U43" i="34"/>
  <c r="AC27" i="34"/>
  <c r="BL15" i="3"/>
  <c r="AZ15" i="3"/>
  <c r="C28" i="67"/>
  <c r="H40" i="34"/>
  <c r="U40" i="34"/>
  <c r="F40" i="34"/>
  <c r="AA40" i="34"/>
  <c r="F118" i="34"/>
  <c r="G118" i="34"/>
  <c r="J40" i="34"/>
  <c r="AC40" i="34"/>
  <c r="H37" i="34"/>
  <c r="U37" i="34"/>
  <c r="G112" i="34"/>
  <c r="H112" i="34"/>
  <c r="I112" i="34"/>
  <c r="J112" i="34"/>
  <c r="K112" i="34"/>
  <c r="L112" i="34"/>
  <c r="M112" i="34"/>
  <c r="F37" i="34"/>
  <c r="S35" i="34"/>
  <c r="J33" i="34"/>
  <c r="AC33" i="34"/>
  <c r="H33" i="34"/>
  <c r="U33" i="34"/>
  <c r="H102" i="34"/>
  <c r="I102" i="34"/>
  <c r="J102" i="34"/>
  <c r="K102" i="34"/>
  <c r="L102" i="34"/>
  <c r="M102" i="34"/>
  <c r="F33" i="34"/>
  <c r="AA33" i="34"/>
  <c r="F78" i="34"/>
  <c r="G78" i="34"/>
  <c r="H15" i="34"/>
  <c r="AB15" i="34"/>
  <c r="F15" i="34"/>
  <c r="S15" i="34"/>
  <c r="J15" i="34"/>
  <c r="AC15" i="34"/>
  <c r="F82" i="34"/>
  <c r="G82" i="34"/>
  <c r="J19" i="34"/>
  <c r="W19" i="34"/>
  <c r="F19" i="34"/>
  <c r="H19" i="34"/>
  <c r="AB19" i="34"/>
  <c r="F86" i="34"/>
  <c r="G86" i="34"/>
  <c r="H23" i="34"/>
  <c r="AB23" i="34"/>
  <c r="J23" i="34"/>
  <c r="W23" i="34"/>
  <c r="F23" i="34"/>
  <c r="S23" i="34"/>
  <c r="G88" i="34"/>
  <c r="H88" i="34"/>
  <c r="I88" i="34"/>
  <c r="J88" i="34"/>
  <c r="K88" i="34"/>
  <c r="L88" i="34"/>
  <c r="M88" i="34"/>
  <c r="H25" i="34"/>
  <c r="AB25" i="34"/>
  <c r="J25" i="34"/>
  <c r="AC25" i="34"/>
  <c r="F25" i="34"/>
  <c r="S25" i="34"/>
  <c r="W44" i="34"/>
  <c r="AC38" i="34"/>
  <c r="AA44" i="34"/>
  <c r="AB44" i="34"/>
  <c r="AC43" i="34"/>
  <c r="AB40" i="34"/>
  <c r="S36" i="34"/>
  <c r="U27" i="34"/>
  <c r="W41" i="34"/>
  <c r="AB41" i="34"/>
  <c r="AA41" i="34"/>
  <c r="S40" i="34"/>
  <c r="AC39" i="34"/>
  <c r="AA39" i="34"/>
  <c r="U38" i="34"/>
  <c r="S43" i="34"/>
  <c r="AC36" i="34"/>
  <c r="AB36" i="34"/>
  <c r="AC35" i="34"/>
  <c r="AB35" i="34"/>
  <c r="W33" i="34"/>
  <c r="AA27" i="34"/>
  <c r="AA25" i="34"/>
  <c r="AC23" i="34"/>
  <c r="U23" i="34"/>
  <c r="U21" i="34"/>
  <c r="S21" i="34"/>
  <c r="AB17" i="34"/>
  <c r="S17" i="34"/>
  <c r="AC17" i="34"/>
  <c r="W15" i="34"/>
  <c r="AB9" i="34"/>
  <c r="J9" i="34"/>
  <c r="W8" i="34"/>
  <c r="B73" i="43"/>
  <c r="B76" i="43"/>
  <c r="B68" i="43"/>
  <c r="B57" i="43"/>
  <c r="B79" i="43"/>
  <c r="B75" i="43"/>
  <c r="C40" i="69"/>
  <c r="C21" i="68"/>
  <c r="G5" i="3"/>
  <c r="B3" i="3"/>
  <c r="E156" i="3"/>
  <c r="BL5" i="3"/>
  <c r="BB5" i="3"/>
  <c r="G29" i="6"/>
  <c r="G30" i="6"/>
  <c r="G31" i="6"/>
  <c r="G28" i="6"/>
  <c r="F29" i="6"/>
  <c r="E29" i="6"/>
  <c r="K15" i="1"/>
  <c r="A15" i="62"/>
  <c r="B61" i="72"/>
  <c r="D19" i="53"/>
  <c r="B38" i="72"/>
  <c r="D21" i="53"/>
  <c r="B39" i="72"/>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22" i="3"/>
  <c r="E453" i="3"/>
  <c r="E238"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G26" i="43"/>
  <c r="F30" i="6"/>
  <c r="E28" i="6"/>
  <c r="K14" i="1"/>
  <c r="L19" i="6"/>
  <c r="L27" i="6"/>
  <c r="M6" i="1"/>
  <c r="O6" i="1"/>
  <c r="T13" i="1"/>
  <c r="C58" i="21"/>
  <c r="D58" i="21"/>
  <c r="C58" i="33"/>
  <c r="D58" i="33"/>
  <c r="E58" i="33"/>
  <c r="F58" i="33"/>
  <c r="G58" i="33"/>
  <c r="H58" i="33"/>
  <c r="I58" i="33"/>
  <c r="J58" i="33"/>
  <c r="K58" i="33"/>
  <c r="L58" i="33"/>
  <c r="M58" i="33"/>
  <c r="N58" i="33"/>
  <c r="O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D9" i="11"/>
  <c r="C9" i="11"/>
  <c r="D19" i="12"/>
  <c r="C19" i="12"/>
  <c r="AZ13" i="3"/>
  <c r="O9" i="1"/>
  <c r="P9" i="1"/>
  <c r="O12" i="1"/>
  <c r="P12" i="1"/>
  <c r="O8" i="1"/>
  <c r="P8" i="1"/>
  <c r="H73" i="43"/>
  <c r="H90" i="43"/>
  <c r="C23" i="43"/>
  <c r="O23" i="43"/>
  <c r="I18" i="43"/>
  <c r="E17" i="43"/>
  <c r="C17" i="43"/>
  <c r="C24" i="43"/>
  <c r="A1" i="79"/>
  <c r="H55" i="43"/>
  <c r="H86" i="43"/>
  <c r="H87" i="43"/>
  <c r="H89" i="43"/>
  <c r="H88" i="43"/>
  <c r="H84" i="43"/>
  <c r="C69" i="39"/>
  <c r="D67" i="39"/>
  <c r="D69" i="39"/>
  <c r="A19" i="51"/>
  <c r="B14" i="72"/>
  <c r="T35" i="4"/>
  <c r="H110" i="9"/>
  <c r="H52" i="43"/>
  <c r="K5" i="4"/>
  <c r="B47" i="48"/>
  <c r="Y8" i="71"/>
  <c r="Z8" i="71"/>
  <c r="X8" i="71"/>
  <c r="AB8" i="71"/>
  <c r="AA8" i="71"/>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K1" i="73"/>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C36" i="68"/>
  <c r="D9" i="69"/>
  <c r="C36" i="69"/>
  <c r="D9" i="68"/>
  <c r="C16" i="67"/>
  <c r="G1" i="73"/>
  <c r="C16" i="15"/>
  <c r="AC42" i="33"/>
  <c r="W42" i="33"/>
  <c r="U42" i="33"/>
  <c r="W27" i="33"/>
  <c r="S17" i="33"/>
  <c r="U23" i="33"/>
  <c r="S23" i="33"/>
  <c r="AA23" i="33"/>
  <c r="U17" i="33"/>
  <c r="AB17" i="33"/>
  <c r="W17" i="33"/>
  <c r="AC17" i="33"/>
  <c r="AA15" i="33"/>
  <c r="S15" i="33"/>
  <c r="G77" i="33"/>
  <c r="J15" i="33"/>
  <c r="H15" i="33"/>
  <c r="U27" i="33"/>
  <c r="AB37" i="34"/>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59" i="40"/>
  <c r="E253" i="3"/>
  <c r="K84" i="9"/>
  <c r="U25" i="34"/>
  <c r="AZ5" i="3"/>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c r="C8" i="68"/>
  <c r="C5" i="68"/>
  <c r="P6" i="1"/>
  <c r="C13" i="12"/>
  <c r="D18" i="53"/>
  <c r="B35" i="72"/>
  <c r="C7" i="74"/>
  <c r="E61" i="43"/>
  <c r="B59" i="43"/>
  <c r="C28" i="43"/>
  <c r="B116" i="43"/>
  <c r="Z7" i="43"/>
  <c r="E30" i="6"/>
  <c r="E56" i="39"/>
  <c r="H7" i="34"/>
  <c r="AB7" i="34"/>
  <c r="E67" i="39"/>
  <c r="F67"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E58" i="40"/>
  <c r="E62" i="39"/>
  <c r="AY6" i="3"/>
  <c r="E3" i="6"/>
  <c r="M14" i="1"/>
  <c r="D5" i="43"/>
  <c r="J10" i="40"/>
  <c r="AC10" i="40"/>
  <c r="H10" i="39"/>
  <c r="U10" i="39"/>
  <c r="F10" i="40"/>
  <c r="S10" i="40"/>
  <c r="J10" i="39"/>
  <c r="W10" i="39"/>
  <c r="H10" i="40"/>
  <c r="AB10" i="40"/>
  <c r="C7" i="43"/>
  <c r="C5" i="43"/>
  <c r="D10" i="52"/>
  <c r="D125" i="9"/>
  <c r="D11" i="52"/>
  <c r="B7" i="74"/>
  <c r="F59" i="67"/>
  <c r="H7" i="37"/>
  <c r="AB7" i="37"/>
  <c r="T42" i="37"/>
  <c r="G42" i="37"/>
  <c r="B40" i="1"/>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Q60" i="67"/>
  <c r="Q73" i="67"/>
  <c r="M11" i="67"/>
  <c r="J10" i="67"/>
  <c r="J5" i="67"/>
  <c r="F11" i="15"/>
  <c r="M11" i="15"/>
  <c r="J10" i="15"/>
  <c r="J5" i="15"/>
  <c r="J24" i="15"/>
  <c r="F11" i="67"/>
  <c r="F1" i="15"/>
  <c r="Q52" i="15"/>
  <c r="J18" i="67"/>
  <c r="C32" i="15"/>
  <c r="F1" i="67"/>
  <c r="Q52" i="67"/>
  <c r="Q60" i="15"/>
  <c r="Q73" i="15"/>
  <c r="Q61" i="67"/>
  <c r="Q74" i="67"/>
  <c r="Q74" i="15"/>
  <c r="Q61" i="15"/>
  <c r="AE11" i="1"/>
  <c r="AE9" i="1"/>
  <c r="F27" i="68"/>
  <c r="AE7" i="1"/>
  <c r="AE8" i="1"/>
  <c r="AE12" i="1"/>
  <c r="AE10" i="1"/>
  <c r="AE6" i="1"/>
  <c r="S27" i="33"/>
  <c r="AC15" i="33"/>
  <c r="W15" i="33"/>
  <c r="AB15" i="33"/>
  <c r="U15" i="33"/>
  <c r="E69" i="39"/>
  <c r="AC6" i="3"/>
  <c r="E6" i="3"/>
  <c r="D26" i="43"/>
  <c r="C25" i="43"/>
  <c r="C33" i="43"/>
  <c r="J37" i="34"/>
  <c r="E65" i="39"/>
  <c r="AC7"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D3" i="34"/>
  <c r="D19" i="11"/>
  <c r="C19" i="11"/>
  <c r="C17" i="4"/>
  <c r="B4" i="52"/>
  <c r="B43" i="72"/>
  <c r="D3" i="33"/>
  <c r="D3" i="37"/>
  <c r="C39" i="43"/>
  <c r="C42" i="43"/>
  <c r="E42" i="43"/>
  <c r="C38" i="43"/>
  <c r="AB10" i="39"/>
  <c r="AA10" i="40"/>
  <c r="U10" i="40"/>
  <c r="W10" i="40"/>
  <c r="AC10" i="39"/>
  <c r="U7" i="37"/>
  <c r="G67" i="39"/>
  <c r="F69" i="39"/>
  <c r="F58" i="21"/>
  <c r="R37" i="36"/>
  <c r="E36" i="36"/>
  <c r="F63" i="40"/>
  <c r="E65" i="40"/>
  <c r="W7" i="33"/>
  <c r="AC7" i="33"/>
  <c r="I48" i="33"/>
  <c r="AA7" i="37"/>
  <c r="R42" i="37"/>
  <c r="S7" i="37"/>
  <c r="I40" i="36"/>
  <c r="J40" i="36"/>
  <c r="S7" i="33"/>
  <c r="AA7" i="33"/>
  <c r="G40" i="36"/>
  <c r="H40" i="36"/>
  <c r="G41" i="36"/>
  <c r="H41" i="36"/>
  <c r="G46" i="37"/>
  <c r="H46" i="37"/>
  <c r="G47" i="37"/>
  <c r="H47" i="37"/>
  <c r="I46" i="37"/>
  <c r="J46" i="37"/>
  <c r="G48" i="35"/>
  <c r="U7" i="33"/>
  <c r="AB7" i="33"/>
  <c r="G48" i="33"/>
  <c r="D13" i="71"/>
  <c r="C12" i="71"/>
  <c r="C11" i="71"/>
  <c r="J24" i="67"/>
  <c r="C53" i="67"/>
  <c r="C48" i="67"/>
  <c r="C10" i="67"/>
  <c r="C53" i="15"/>
  <c r="C48" i="15"/>
  <c r="C66" i="15"/>
  <c r="C10" i="15"/>
  <c r="C5" i="15"/>
  <c r="C38" i="15"/>
  <c r="F25" i="12"/>
  <c r="F22" i="69"/>
  <c r="F41" i="69"/>
  <c r="F24" i="67"/>
  <c r="C24" i="67"/>
  <c r="F22" i="11"/>
  <c r="F22" i="68"/>
  <c r="F24" i="15"/>
  <c r="C24" i="15"/>
  <c r="F41" i="15"/>
  <c r="M27" i="67"/>
  <c r="M27" i="15"/>
  <c r="B1" i="74"/>
  <c r="F69" i="67"/>
  <c r="AC37" i="34"/>
  <c r="W37" i="34"/>
  <c r="D116"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D11" i="71"/>
  <c r="C10" i="71"/>
  <c r="E48" i="33"/>
  <c r="I53" i="33"/>
  <c r="J53" i="33"/>
  <c r="I52" i="33"/>
  <c r="J52" i="33"/>
  <c r="E40" i="36"/>
  <c r="F40" i="36"/>
  <c r="E41" i="36"/>
  <c r="F41" i="36"/>
  <c r="G52" i="33"/>
  <c r="H52" i="33"/>
  <c r="G53" i="33"/>
  <c r="H53" i="33"/>
  <c r="H48" i="35"/>
  <c r="I41" i="36"/>
  <c r="J41" i="36"/>
  <c r="R43" i="37"/>
  <c r="E42" i="37"/>
  <c r="G63" i="40"/>
  <c r="F65" i="40"/>
  <c r="C37" i="36"/>
  <c r="C36" i="36"/>
  <c r="G58" i="21"/>
  <c r="D12" i="71"/>
  <c r="F41" i="68"/>
  <c r="C60" i="15"/>
  <c r="C26" i="69"/>
  <c r="D22" i="69"/>
  <c r="C44" i="69"/>
  <c r="D41" i="69"/>
  <c r="C44" i="68"/>
  <c r="D41" i="68"/>
  <c r="C23" i="68"/>
  <c r="C26" i="68"/>
  <c r="D22" i="68"/>
  <c r="C26" i="12"/>
  <c r="D25" i="12"/>
  <c r="C44" i="11"/>
  <c r="D41" i="11"/>
  <c r="C23" i="11"/>
  <c r="C24" i="11"/>
  <c r="C25" i="11"/>
  <c r="C26" i="11"/>
  <c r="D22" i="11"/>
  <c r="C66" i="67"/>
  <c r="C60" i="67"/>
  <c r="D10" i="69"/>
  <c r="C34" i="69"/>
  <c r="D10" i="68"/>
  <c r="C14" i="67"/>
  <c r="C17" i="67"/>
  <c r="C17" i="15"/>
  <c r="C18" i="67"/>
  <c r="C15" i="67"/>
  <c r="H23" i="6"/>
  <c r="R23" i="6"/>
  <c r="R10" i="1"/>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D27" i="6"/>
  <c r="D31" i="6"/>
  <c r="D8" i="74"/>
  <c r="D7" i="74"/>
  <c r="R21" i="6"/>
  <c r="R8" i="1"/>
  <c r="C10" i="69"/>
  <c r="C8" i="69"/>
  <c r="C5" i="69"/>
  <c r="D19" i="69"/>
  <c r="F50" i="69"/>
  <c r="F50" i="11"/>
  <c r="F50" i="68"/>
  <c r="C4" i="52"/>
  <c r="B45" i="72"/>
  <c r="A10" i="51"/>
  <c r="B9" i="72"/>
  <c r="A7" i="51"/>
  <c r="B7" i="72"/>
  <c r="R25" i="6"/>
  <c r="R12" i="1"/>
  <c r="C10" i="68"/>
  <c r="D19" i="68"/>
  <c r="H69" i="39"/>
  <c r="I67" i="39"/>
  <c r="D10" i="71"/>
  <c r="C9" i="71"/>
  <c r="C8" i="71"/>
  <c r="G65" i="40"/>
  <c r="H63" i="40"/>
  <c r="C43" i="37"/>
  <c r="C42" i="37"/>
  <c r="I48" i="35"/>
  <c r="C49" i="33"/>
  <c r="H58" i="21"/>
  <c r="E47" i="37"/>
  <c r="F47" i="37"/>
  <c r="E46" i="37"/>
  <c r="F46" i="37"/>
  <c r="I47" i="37"/>
  <c r="J47" i="37"/>
  <c r="E53" i="33"/>
  <c r="F53" i="33"/>
  <c r="E52" i="33"/>
  <c r="F52" i="33"/>
  <c r="C33" i="15"/>
  <c r="C22" i="11"/>
  <c r="C31" i="11"/>
  <c r="J19" i="67"/>
  <c r="C34" i="68"/>
  <c r="B6" i="76"/>
  <c r="C14" i="15"/>
  <c r="E6" i="76"/>
  <c r="D36" i="81"/>
  <c r="D38" i="81"/>
  <c r="D8" i="71"/>
  <c r="C7" i="71"/>
  <c r="C19"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D9" i="71"/>
  <c r="I63" i="40"/>
  <c r="H65" i="40"/>
  <c r="I58" i="21"/>
  <c r="J58" i="21"/>
  <c r="K58" i="21"/>
  <c r="L58" i="21"/>
  <c r="M58" i="21"/>
  <c r="N58" i="21"/>
  <c r="O58" i="21"/>
  <c r="H7" i="21"/>
  <c r="F7" i="21"/>
  <c r="J48" i="35"/>
  <c r="J8" i="81"/>
  <c r="G36" i="81"/>
  <c r="C39" i="81"/>
  <c r="C40" i="81"/>
  <c r="E39" i="81"/>
  <c r="E40" i="81"/>
  <c r="J10" i="81"/>
  <c r="J7" i="21"/>
  <c r="C20" i="67"/>
  <c r="C26" i="67"/>
  <c r="L85" i="9"/>
  <c r="D7" i="71"/>
  <c r="C6" i="71"/>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S7" i="21"/>
  <c r="AA7" i="21"/>
  <c r="R48" i="21"/>
  <c r="J63" i="40"/>
  <c r="I65" i="40"/>
  <c r="K48" i="35"/>
  <c r="L48" i="35"/>
  <c r="M48" i="35"/>
  <c r="N48" i="35"/>
  <c r="O48" i="35"/>
  <c r="H7" i="35"/>
  <c r="J7" i="35"/>
  <c r="AC7" i="21"/>
  <c r="V48" i="21"/>
  <c r="I48" i="21"/>
  <c r="W7" i="21"/>
  <c r="C23" i="67"/>
  <c r="C29" i="67"/>
  <c r="J59" i="67"/>
  <c r="J60" i="67"/>
  <c r="Q48" i="67"/>
  <c r="C88" i="9"/>
  <c r="C89" i="9"/>
  <c r="C87" i="9"/>
  <c r="I91" i="9"/>
  <c r="C91" i="9"/>
  <c r="D6" i="71"/>
  <c r="C5" i="71"/>
  <c r="C33" i="11"/>
  <c r="C39" i="11"/>
  <c r="C61" i="67"/>
  <c r="C42" i="68"/>
  <c r="C32" i="12"/>
  <c r="B2" i="12"/>
  <c r="B3" i="12"/>
  <c r="C23" i="15"/>
  <c r="C29" i="15"/>
  <c r="C41" i="69"/>
  <c r="R27" i="6"/>
  <c r="R6" i="1"/>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F35" i="67"/>
  <c r="M21" i="67"/>
  <c r="F35" i="15"/>
  <c r="M21" i="15"/>
  <c r="C57" i="67"/>
  <c r="C64" i="67"/>
  <c r="J14" i="67"/>
  <c r="J13" i="67"/>
  <c r="J23" i="67"/>
  <c r="C13" i="67"/>
  <c r="Q70" i="67"/>
  <c r="C36" i="67"/>
  <c r="Q49" i="67"/>
  <c r="C94" i="9"/>
  <c r="C92" i="9"/>
  <c r="D5" i="71"/>
  <c r="M24" i="43"/>
  <c r="C36" i="15"/>
  <c r="J59" i="15"/>
  <c r="J60" i="15"/>
  <c r="Q48" i="15"/>
  <c r="C46" i="11"/>
  <c r="C45" i="11"/>
  <c r="C43" i="11"/>
  <c r="C42" i="11"/>
  <c r="C34"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J22" i="67"/>
  <c r="J16" i="67"/>
  <c r="J25" i="67"/>
  <c r="J26" i="67"/>
  <c r="J29" i="67"/>
  <c r="C37" i="67"/>
  <c r="C56" i="67"/>
  <c r="C65" i="67"/>
  <c r="C58" i="67"/>
  <c r="C67" i="67"/>
  <c r="C68" i="67"/>
  <c r="C71" i="67"/>
  <c r="C75"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L57" i="67"/>
  <c r="L60" i="67"/>
  <c r="L46"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Q66" i="67"/>
  <c r="Q57" i="67"/>
  <c r="B2" i="33"/>
  <c r="B3" i="33"/>
  <c r="C80" i="15"/>
  <c r="C79" i="15"/>
  <c r="C40" i="15"/>
  <c r="C46" i="15"/>
  <c r="H7" i="39"/>
  <c r="J7" i="39"/>
  <c r="S7" i="39"/>
  <c r="AA7" i="39"/>
  <c r="R47" i="39"/>
  <c r="O63" i="40"/>
  <c r="O65" i="40"/>
  <c r="N65" i="40"/>
  <c r="D2" i="37"/>
  <c r="D2" i="34"/>
  <c r="L51" i="15"/>
  <c r="D2" i="35"/>
  <c r="D2" i="36"/>
  <c r="L57" i="15"/>
  <c r="L60" i="15"/>
  <c r="Q57" i="15"/>
  <c r="Q67" i="15"/>
  <c r="B2" i="36"/>
  <c r="B3" i="36"/>
  <c r="B2" i="35"/>
  <c r="B3" i="35"/>
  <c r="M3" i="35"/>
  <c r="B2" i="37"/>
  <c r="B3" i="37"/>
  <c r="L46" i="15"/>
  <c r="B2" i="15"/>
  <c r="Q47" i="15"/>
  <c r="Q53" i="15"/>
  <c r="C43" i="15"/>
  <c r="Q65" i="15"/>
  <c r="C83" i="15"/>
  <c r="C82" i="15"/>
  <c r="Q56" i="15"/>
  <c r="W7" i="39"/>
  <c r="AC7" i="39"/>
  <c r="V47" i="39"/>
  <c r="I47" i="39"/>
  <c r="E47" i="39"/>
  <c r="R48" i="39"/>
  <c r="U7" i="39"/>
  <c r="AB7" i="39"/>
  <c r="T47" i="39"/>
  <c r="G47" i="39"/>
  <c r="J7" i="40"/>
  <c r="F7" i="40"/>
  <c r="H7" i="40"/>
  <c r="AO10" i="1"/>
  <c r="AO8" i="1"/>
  <c r="AO7" i="1"/>
  <c r="AO9" i="1"/>
  <c r="AO12" i="1"/>
  <c r="AO11" i="1"/>
  <c r="Q66" i="15"/>
  <c r="Q75" i="15"/>
  <c r="Q62" i="15"/>
  <c r="B9" i="70"/>
  <c r="B11" i="70"/>
  <c r="B7" i="70"/>
  <c r="B10" i="70"/>
  <c r="B12"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J34" i="34"/>
  <c r="H34" i="34"/>
  <c r="F34" i="34"/>
  <c r="U34" i="34"/>
  <c r="AB34" i="34"/>
  <c r="T49" i="34"/>
  <c r="G49" i="34"/>
  <c r="S34" i="34"/>
  <c r="AA34" i="34"/>
  <c r="R49" i="34"/>
  <c r="W34" i="34"/>
  <c r="AC34" i="34"/>
  <c r="V49" i="34"/>
  <c r="I49" i="34"/>
  <c r="G54" i="34"/>
  <c r="H54" i="34"/>
  <c r="G53" i="34"/>
  <c r="H53" i="34"/>
  <c r="I53" i="34"/>
  <c r="J53" i="34"/>
  <c r="E49" i="34"/>
  <c r="R50" i="34"/>
  <c r="C49" i="34"/>
  <c r="C50" i="34"/>
  <c r="E53" i="34"/>
  <c r="F53" i="34"/>
  <c r="E54" i="34"/>
  <c r="F54" i="34"/>
  <c r="I54" i="34"/>
  <c r="J54" i="34"/>
  <c r="B2" i="34"/>
  <c r="B3" i="34"/>
  <c r="C19" i="9"/>
  <c r="C20" i="9"/>
  <c r="C103" i="9"/>
  <c r="C21" i="9"/>
  <c r="C102" i="9"/>
  <c r="D59" i="9"/>
  <c r="M55" i="9"/>
  <c r="C40" i="67"/>
  <c r="C39" i="67"/>
  <c r="C6" i="67"/>
  <c r="F6" i="67"/>
  <c r="C32" i="67"/>
  <c r="C5" i="67"/>
  <c r="C38" i="67"/>
  <c r="C33" i="67"/>
  <c r="Q69" i="67"/>
  <c r="Q68" i="67"/>
  <c r="C80" i="67"/>
  <c r="C79" i="67"/>
  <c r="D2" i="67"/>
  <c r="B2" i="67"/>
  <c r="Q47" i="67"/>
  <c r="Q53" i="67"/>
  <c r="C45" i="67"/>
  <c r="C46" i="67"/>
  <c r="C83" i="67"/>
  <c r="C82" i="67"/>
  <c r="Q65" i="67"/>
  <c r="Q75" i="67"/>
  <c r="Q56" i="67"/>
  <c r="Q62" i="67"/>
  <c r="AO6" i="1"/>
  <c r="D19" i="9"/>
  <c r="L51" i="67"/>
  <c r="Q67" i="67"/>
  <c r="E7" i="85"/>
  <c r="E8" i="85"/>
  <c r="C7" i="85"/>
  <c r="C8" i="85"/>
  <c r="C31" i="67"/>
  <c r="B3" i="67"/>
  <c r="B6" i="70"/>
  <c r="B2" i="70"/>
  <c r="B3" i="70"/>
  <c r="D22" i="9"/>
  <c r="D102" i="9"/>
  <c r="D21" i="9"/>
  <c r="G19" i="9"/>
  <c r="G21" i="9"/>
  <c r="D35" i="9"/>
  <c r="D20" i="9"/>
  <c r="D34" i="9"/>
  <c r="D103" i="9"/>
  <c r="G20" i="9"/>
  <c r="J20" i="9"/>
  <c r="C32" i="9"/>
  <c r="I118" i="9"/>
  <c r="R24" i="31"/>
  <c r="R25" i="31"/>
  <c r="S25" i="31"/>
  <c r="R26" i="31"/>
  <c r="S26" i="31"/>
  <c r="C35" i="9"/>
  <c r="G118" i="9"/>
  <c r="G4" i="52"/>
  <c r="B52" i="72"/>
  <c r="S24" i="31"/>
  <c r="S22" i="31"/>
  <c r="R22" i="31"/>
  <c r="H102" i="9"/>
  <c r="D7" i="53"/>
  <c r="B21" i="72"/>
  <c r="H118" i="9"/>
  <c r="I4" i="52"/>
  <c r="C105" i="9"/>
  <c r="C34" i="9"/>
  <c r="E118" i="9"/>
  <c r="E4" i="52"/>
  <c r="B48" i="72"/>
  <c r="F118" i="9"/>
  <c r="F4" i="52"/>
  <c r="B51" i="72"/>
  <c r="D45" i="9"/>
  <c r="D52" i="9"/>
  <c r="B20" i="31"/>
  <c r="B21" i="31"/>
  <c r="U22" i="31"/>
  <c r="M48" i="9"/>
  <c r="M49" i="9"/>
  <c r="L64" i="9"/>
  <c r="M64" i="9"/>
  <c r="H4" i="52"/>
  <c r="C104" i="9"/>
  <c r="H119" i="9"/>
  <c r="H5" i="52"/>
  <c r="H101" i="9"/>
  <c r="F119" i="9"/>
  <c r="F5" i="52"/>
  <c r="B53" i="72"/>
  <c r="C85" i="9"/>
  <c r="B5" i="74"/>
  <c r="D5" i="74"/>
  <c r="D118" i="9"/>
  <c r="D119" i="9"/>
  <c r="D5" i="52"/>
  <c r="B49" i="72"/>
  <c r="C93" i="9"/>
  <c r="C86" i="9"/>
  <c r="L67" i="9"/>
  <c r="M67" i="9"/>
  <c r="C72" i="9"/>
  <c r="C78" i="9"/>
  <c r="C73" i="9"/>
  <c r="G14" i="74"/>
  <c r="B6" i="74"/>
  <c r="D6" i="74"/>
  <c r="C64" i="9"/>
  <c r="C63" i="9"/>
  <c r="C67" i="9"/>
  <c r="C68" i="9"/>
  <c r="D54" i="9"/>
  <c r="D53" i="9"/>
  <c r="D48" i="9"/>
  <c r="M52" i="9"/>
  <c r="D55" i="9"/>
  <c r="M53" i="9"/>
  <c r="L68" i="9"/>
  <c r="M68" i="9"/>
  <c r="L65" i="9"/>
  <c r="M65" i="9"/>
  <c r="L63" i="9"/>
  <c r="M63" i="9"/>
  <c r="M69" i="9"/>
  <c r="N69" i="9"/>
  <c r="L66" i="9"/>
  <c r="M66" i="9"/>
  <c r="H107" i="9"/>
  <c r="D5" i="53"/>
  <c r="C95" i="9"/>
  <c r="C96" i="9"/>
  <c r="E96" i="9"/>
  <c r="E97" i="9"/>
  <c r="C5" i="74"/>
  <c r="D4" i="52"/>
  <c r="B47" i="72"/>
  <c r="C79" i="9"/>
  <c r="C81" i="9"/>
  <c r="B20" i="72"/>
  <c r="D6" i="53"/>
  <c r="B22" i="72"/>
  <c r="D122" i="9"/>
  <c r="D13" i="53"/>
  <c r="H108" i="9"/>
  <c r="D15" i="53"/>
  <c r="B31" i="72"/>
  <c r="C97" i="9"/>
  <c r="D58" i="9"/>
  <c r="D56" i="9"/>
  <c r="M54" i="9"/>
  <c r="N57" i="9"/>
  <c r="N58" i="9"/>
  <c r="C6" i="74"/>
  <c r="C80" i="9"/>
  <c r="E80" i="9"/>
  <c r="E81" i="9"/>
  <c r="D123" i="9"/>
  <c r="D9" i="52"/>
  <c r="D8" i="52"/>
  <c r="B30" i="72"/>
  <c r="D14" i="53"/>
  <c r="B32" i="72"/>
  <c r="N59" i="9"/>
  <c r="N60" i="9"/>
  <c r="P57"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<sst xmlns="http://schemas.openxmlformats.org/spreadsheetml/2006/main" count="8771" uniqueCount="3690">
  <si>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</si>
  <si>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</si>
  <si>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</si>
  <si>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</si>
  <si>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</si>
  <si>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</si>
  <si>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</si>
  <si>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</si>
  <si>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</si>
  <si>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</si>
  <si>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</si>
  <si>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</si>
  <si>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</si>
  <si>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</si>
  <si>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</si>
  <si>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</si>
  <si>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</si>
  <si>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</si>
  <si>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</si>
  <si>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</si>
  <si>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</si>
  <si>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</si>
  <si>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</si>
  <si>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</si>
  <si>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</si>
  <si>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</si>
  <si>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</si>
  <si>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</si>
  <si>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</si>
  <si>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</si>
  <si>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</si>
  <si>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</si>
  <si>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</si>
  <si>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</si>
  <si>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</si>
  <si>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</si>
  <si>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</si>
  <si>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</si>
  <si>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</si>
  <si>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</si>
  <si>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</si>
  <si>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</si>
  <si>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</si>
  <si>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</si>
  <si>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</si>
  <si>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</si>
  <si>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</si>
  <si>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</si>
  <si>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</si>
  <si>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</si>
  <si>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</si>
  <si>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</si>
  <si>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</si>
  <si>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</si>
  <si>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</si>
  <si>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</si>
  <si>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</si>
  <si>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</si>
  <si>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</si>
  <si>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</si>
  <si>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</si>
  <si>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</si>
  <si>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</si>
  <si>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</si>
  <si>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</si>
  <si>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</si>
  <si>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</si>
  <si>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</si>
  <si>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</si>
  <si>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</si>
  <si>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</si>
  <si>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</si>
  <si>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</si>
  <si>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</si>
  <si>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</si>
  <si>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</si>
  <si>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</si>
  <si>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</si>
  <si>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</si>
  <si>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</si>
  <si>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</si>
  <si>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</si>
  <si>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</si>
  <si>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</si>
  <si>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</si>
  <si>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</si>
  <si>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</si>
  <si>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</si>
  <si>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</si>
  <si>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</si>
  <si>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</si>
  <si>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</si>
  <si>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</si>
  <si>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</si>
  <si>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</si>
  <si>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</si>
  <si>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</si>
  <si>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</si>
  <si>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</si>
  <si>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</si>
  <si>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</si>
  <si>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</si>
  <si>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</si>
  <si>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</si>
  <si>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</si>
  <si>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</si>
  <si>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</si>
  <si>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</si>
  <si>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</si>
  <si>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</si>
  <si>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</si>
  <si>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</si>
  <si>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</si>
  <si>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</si>
  <si>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</si>
  <si>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</si>
  <si>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</si>
  <si>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</si>
  <si>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</si>
  <si>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</si>
  <si>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</si>
  <si>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</si>
  <si>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</si>
  <si>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</si>
  <si>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</si>
  <si>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</si>
  <si>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</si>
  <si>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</si>
  <si>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</si>
  <si>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</si>
  <si>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</si>
  <si>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</si>
  <si>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</si>
  <si>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</si>
  <si>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</si>
  <si>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</si>
  <si>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</si>
  <si>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</si>
  <si>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</si>
  <si>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</si>
  <si>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</si>
  <si>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</si>
  <si>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</si>
  <si>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</si>
  <si>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</si>
  <si>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</si>
  <si>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</si>
  <si>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</si>
  <si>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</si>
  <si>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</si>
  <si>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</si>
  <si>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</si>
  <si>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</si>
  <si>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</si>
  <si>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</si>
  <si>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</si>
  <si>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</si>
  <si>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</si>
  <si>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</si>
  <si>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</si>
  <si>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</si>
  <si>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</si>
  <si>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</si>
  <si>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</si>
  <si>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</si>
  <si>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</si>
  <si>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</si>
  <si>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</si>
  <si>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</si>
  <si>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</si>
  <si>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</si>
  <si>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</si>
  <si>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</si>
  <si>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</si>
  <si>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</si>
  <si>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</si>
  <si>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</si>
  <si>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</si>
  <si>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</si>
  <si>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</si>
  <si>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</si>
  <si>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</si>
  <si>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</si>
  <si>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</si>
  <si>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</si>
  <si>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</si>
  <si>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</si>
  <si>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</si>
  <si>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</si>
  <si>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</si>
  <si>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</si>
  <si>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</si>
  <si>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</si>
  <si>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</si>
  <si>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</si>
  <si>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</si>
  <si>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</si>
  <si>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</si>
  <si>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</si>
  <si>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</si>
  <si>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</si>
  <si>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</si>
  <si>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</si>
  <si>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</si>
  <si>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</si>
  <si>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</si>
  <si>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</si>
  <si>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</si>
  <si>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</si>
  <si>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</si>
  <si>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</si>
  <si>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</si>
  <si>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</si>
  <si>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</si>
  <si>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</si>
  <si>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</si>
  <si>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</si>
  <si>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</si>
  <si>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</si>
  <si>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</si>
  <si>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</si>
  <si>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</si>
  <si>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</si>
  <si>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</si>
  <si>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</si>
  <si>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</si>
  <si>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</si>
  <si>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</si>
  <si>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</si>
  <si>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</si>
  <si>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</si>
  <si>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</si>
  <si>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</si>
  <si>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</si>
  <si>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</si>
  <si>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</si>
  <si>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</si>
  <si>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</si>
  <si>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</si>
  <si>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</si>
  <si>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</si>
  <si>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</si>
  <si>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</si>
  <si>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</si>
  <si>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</si>
  <si>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</si>
  <si>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</si>
  <si>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</si>
  <si>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</si>
  <si>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</si>
  <si>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</si>
  <si>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</si>
  <si>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</si>
  <si>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</si>
  <si>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</si>
  <si>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</si>
  <si>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</si>
  <si>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</si>
  <si>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</si>
  <si>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</si>
  <si>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</si>
  <si>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</si>
  <si>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</si>
  <si>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</si>
  <si>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</si>
  <si>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</si>
  <si>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</si>
  <si>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</si>
  <si>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</si>
  <si>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</si>
  <si>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</si>
  <si>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</si>
  <si>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</si>
  <si>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</si>
  <si>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</si>
  <si>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</si>
  <si>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</si>
  <si>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</si>
  <si>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</si>
  <si>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</si>
  <si>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</si>
  <si>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</si>
  <si>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</si>
  <si>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</si>
  <si>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</si>
  <si>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</si>
  <si>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</si>
  <si>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</si>
  <si>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</si>
  <si>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</si>
  <si>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</si>
  <si>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</si>
  <si>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</si>
  <si>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</si>
  <si>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</si>
  <si>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</si>
  <si>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</si>
  <si>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</si>
  <si>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</si>
  <si>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</si>
  <si>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</si>
  <si>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</si>
  <si>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</si>
  <si>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</si>
  <si>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</si>
  <si>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</si>
  <si>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</si>
  <si>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</si>
  <si>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</si>
  <si>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</si>
  <si>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</si>
  <si>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</si>
  <si>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</si>
  <si>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</si>
  <si>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</si>
  <si>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</si>
  <si>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</si>
  <si>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</si>
  <si>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</si>
  <si>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</si>
  <si>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</si>
  <si>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</si>
  <si>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</si>
  <si>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</si>
  <si>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</si>
  <si>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</si>
  <si>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</si>
  <si>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</si>
  <si>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</si>
  <si>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</si>
  <si>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</si>
  <si>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</si>
  <si>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</si>
  <si>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</si>
  <si>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</si>
  <si>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</si>
  <si>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</si>
  <si>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</si>
  <si>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</si>
  <si>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</si>
  <si>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</si>
  <si>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</si>
  <si>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</si>
  <si>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</si>
  <si>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</si>
  <si>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</si>
  <si>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</si>
  <si>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</si>
  <si>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</si>
  <si>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</si>
  <si>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</si>
  <si>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</si>
  <si>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</si>
  <si>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</si>
  <si>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</si>
  <si>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</si>
  <si>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</si>
  <si>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</si>
  <si>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</si>
  <si>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</si>
  <si>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</si>
  <si>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</si>
  <si>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</si>
  <si>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</si>
  <si>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</si>
  <si>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</si>
  <si>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</si>
  <si>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</si>
  <si>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</si>
  <si>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</si>
  <si>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</si>
  <si>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</si>
  <si>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</si>
  <si>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</si>
  <si>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</si>
  <si>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</si>
  <si>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</si>
  <si>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</si>
  <si>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</si>
  <si>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</si>
  <si>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</si>
  <si>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</si>
  <si>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</si>
  <si>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</si>
  <si>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</si>
  <si>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</si>
  <si>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</si>
  <si>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</si>
  <si>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</si>
  <si>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</si>
  <si>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</si>
  <si>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</si>
  <si>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</si>
  <si>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</si>
  <si>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</si>
  <si>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</si>
  <si>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</si>
  <si>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</si>
  <si>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</si>
  <si>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</si>
  <si>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</si>
  <si>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</si>
  <si>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</si>
  <si>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</si>
  <si>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</si>
  <si>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</si>
  <si>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</si>
  <si>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</si>
  <si>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</si>
  <si>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</si>
  <si>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</si>
  <si>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</si>
  <si>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</si>
  <si>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</si>
  <si>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</si>
  <si>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</si>
  <si>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</si>
  <si>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</si>
  <si>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</si>
  <si>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</si>
  <si>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</si>
  <si>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</si>
  <si>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</si>
  <si>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</si>
  <si>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</si>
  <si>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</si>
  <si>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</si>
  <si>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</si>
  <si>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</si>
  <si>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</si>
  <si>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</si>
  <si>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</si>
  <si>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</si>
  <si>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</si>
  <si>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</si>
  <si>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</si>
  <si>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</si>
  <si>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</si>
  <si>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</si>
  <si>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</si>
  <si>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</si>
  <si>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</si>
  <si>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</si>
  <si>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</si>
  <si>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</si>
  <si>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</si>
  <si>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</si>
  <si>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</si>
  <si>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</si>
  <si>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</si>
  <si>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</si>
  <si>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</si>
  <si>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</si>
  <si>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</si>
  <si>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</si>
  <si>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</si>
  <si>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</si>
  <si>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</si>
  <si>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</si>
  <si>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</si>
  <si>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</si>
  <si>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</si>
  <si>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</si>
  <si>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</si>
  <si>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</si>
  <si>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</si>
  <si>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</si>
  <si>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</si>
  <si>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</si>
  <si>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</si>
  <si>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</si>
  <si>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</si>
  <si>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</si>
  <si>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</si>
  <si>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</si>
  <si>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</si>
  <si>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</si>
  <si>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</si>
  <si>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</si>
  <si>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</si>
  <si>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</si>
  <si>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</si>
  <si>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</si>
  <si>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</si>
  <si>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</si>
  <si>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</si>
  <si>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</si>
  <si>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</si>
  <si>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</si>
  <si>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</si>
  <si>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</si>
  <si>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</si>
  <si>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</si>
  <si>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</si>
  <si>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</si>
  <si>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</si>
  <si>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</si>
  <si>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</si>
  <si>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</si>
  <si>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</si>
  <si>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</si>
  <si>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</si>
  <si>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</si>
  <si>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</si>
  <si>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</si>
  <si>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</si>
  <si>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</si>
  <si>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</si>
  <si>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</si>
  <si>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</si>
  <si>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</si>
  <si>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</si>
  <si>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</si>
  <si>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</si>
  <si>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</si>
  <si>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</si>
  <si>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</si>
  <si>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</si>
  <si>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</si>
  <si>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</si>
  <si>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</si>
  <si>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</si>
  <si>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</si>
  <si>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</si>
  <si>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</si>
  <si>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</si>
  <si>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</si>
  <si>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</si>
  <si>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</si>
  <si>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</si>
  <si>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</si>
  <si>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</si>
  <si>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</si>
  <si>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</si>
  <si>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</si>
  <si>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</si>
  <si>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</si>
  <si>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</si>
  <si>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</si>
  <si>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</si>
  <si>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</si>
  <si>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</si>
  <si>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</si>
  <si>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</si>
  <si>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</si>
  <si>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</si>
  <si>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</si>
  <si>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</si>
  <si>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</si>
  <si>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</si>
  <si>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</si>
  <si>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</si>
  <si>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</si>
  <si>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</si>
  <si>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</si>
  <si>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</si>
  <si>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</si>
  <si>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</si>
  <si>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</si>
  <si>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</si>
  <si>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</si>
  <si>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</si>
  <si>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</si>
  <si>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</si>
  <si>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</si>
  <si>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</si>
  <si>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</si>
  <si>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</si>
  <si>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</si>
  <si>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</si>
  <si>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</si>
  <si>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</si>
  <si>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</si>
  <si>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</si>
  <si>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</si>
  <si>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</si>
  <si>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</si>
  <si>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</si>
  <si>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</si>
  <si>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</si>
  <si>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</si>
  <si>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</si>
  <si>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</si>
  <si>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</si>
  <si>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</si>
  <si>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</si>
  <si>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</si>
  <si>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</si>
  <si>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</si>
  <si>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</si>
  <si>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</si>
  <si>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</si>
  <si>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</si>
  <si>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</si>
  <si>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</si>
  <si>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</si>
  <si>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</si>
  <si>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</si>
  <si>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</si>
  <si>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</si>
  <si>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</si>
  <si>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</si>
  <si>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</si>
  <si>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</si>
  <si>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</si>
  <si>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</si>
  <si>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</si>
  <si>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</si>
  <si>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</si>
  <si>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</si>
  <si>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</si>
  <si>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</si>
  <si>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</si>
  <si>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</si>
  <si>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</si>
  <si>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</si>
  <si>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</si>
  <si>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</si>
  <si>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</si>
  <si>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</si>
  <si>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</si>
  <si>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</si>
  <si>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</si>
  <si>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</si>
  <si>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</si>
  <si>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</si>
  <si>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</si>
  <si>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</si>
  <si>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</si>
  <si>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</si>
  <si>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</si>
  <si>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</si>
  <si>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</si>
  <si>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</si>
  <si>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</si>
  <si>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</si>
  <si>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</si>
  <si>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</si>
  <si>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</si>
  <si>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</si>
  <si>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</si>
  <si>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</si>
  <si>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</si>
  <si>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</si>
  <si>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</si>
  <si>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</si>
  <si>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</si>
  <si>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</si>
  <si>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</si>
  <si>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</si>
  <si>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</si>
  <si>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</si>
  <si>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</si>
  <si>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</si>
  <si>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</si>
  <si>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</si>
  <si>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</si>
  <si>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</si>
  <si>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</si>
  <si>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</si>
  <si>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</si>
  <si>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</si>
  <si>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</si>
  <si>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</si>
  <si>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</si>
  <si>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</si>
  <si>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</si>
  <si>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</si>
  <si>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</si>
  <si>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</si>
  <si>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</si>
  <si>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</si>
  <si>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</si>
  <si>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</si>
  <si>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</si>
  <si>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</si>
  <si>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</si>
  <si>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</si>
  <si>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</si>
  <si>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</si>
  <si>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</si>
  <si>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</si>
  <si>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</si>
  <si>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</si>
  <si>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</si>
  <si>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</si>
  <si>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</si>
  <si>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</si>
  <si>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</si>
  <si>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</si>
  <si>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</si>
  <si>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</si>
  <si>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</si>
  <si>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</si>
  <si>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</si>
  <si>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</si>
  <si>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</si>
  <si>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</si>
  <si>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</si>
  <si>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</si>
  <si>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</si>
  <si>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</si>
  <si>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</si>
  <si>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</si>
  <si>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</si>
  <si>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</si>
  <si>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</si>
  <si>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</si>
  <si>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</si>
  <si>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</si>
  <si>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</si>
  <si>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</si>
  <si>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</si>
  <si>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</si>
  <si>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</si>
  <si>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</si>
  <si>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</si>
  <si>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</si>
  <si>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</si>
  <si>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</si>
  <si>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</si>
  <si>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</si>
  <si>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</si>
  <si>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</si>
  <si>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</si>
  <si>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</si>
  <si>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</si>
  <si>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</si>
  <si>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</si>
  <si>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</si>
  <si>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</si>
  <si>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</si>
  <si>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</si>
  <si>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</si>
  <si>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</si>
  <si>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</si>
  <si>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</si>
  <si>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</si>
  <si>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</si>
  <si>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</si>
  <si>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</si>
  <si>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</si>
  <si>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</si>
  <si>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</si>
  <si>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</si>
  <si>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</si>
  <si>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</si>
  <si>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</si>
  <si>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</si>
  <si>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</si>
  <si>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</si>
  <si>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</si>
  <si>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</si>
  <si>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</si>
  <si>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</si>
  <si>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</si>
  <si>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</si>
  <si>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</si>
  <si>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</si>
  <si>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</si>
  <si>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</si>
  <si>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</si>
  <si>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</si>
  <si>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</si>
  <si>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</si>
  <si>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</si>
  <si>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</si>
  <si>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</si>
  <si>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</si>
  <si>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</si>
  <si>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</si>
  <si>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</si>
  <si>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</si>
  <si>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</si>
  <si>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</si>
  <si>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</si>
  <si>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</si>
  <si>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</si>
  <si>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</si>
  <si>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</si>
  <si>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</si>
  <si>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</si>
  <si>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</si>
  <si>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</si>
  <si>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</si>
  <si>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</si>
  <si>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</si>
  <si>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</si>
  <si>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</si>
  <si>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</si>
  <si>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</si>
  <si>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</si>
  <si>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</si>
  <si>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</si>
  <si>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</si>
  <si>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</si>
  <si>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</si>
  <si>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</si>
  <si>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</si>
  <si>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</si>
  <si>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</si>
  <si>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</si>
  <si>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</si>
  <si>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</si>
  <si>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</si>
  <si>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</si>
  <si>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</si>
  <si>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</si>
  <si>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</si>
  <si>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</si>
  <si>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</si>
  <si>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</si>
  <si>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</si>
  <si>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</si>
  <si>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</si>
  <si>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</si>
  <si>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</si>
  <si>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</si>
  <si>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</si>
  <si>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</si>
  <si>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</si>
  <si>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</si>
  <si>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</si>
  <si>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</si>
  <si>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</si>
  <si>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</si>
  <si>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</si>
  <si>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</si>
  <si>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</si>
  <si>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</si>
  <si>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</si>
  <si>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</si>
  <si>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</si>
  <si>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</si>
  <si>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</si>
  <si>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</si>
  <si>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</si>
  <si>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</si>
  <si>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</si>
  <si>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</si>
  <si>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</si>
  <si>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</si>
  <si>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</si>
  <si>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</si>
  <si>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</si>
  <si>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</si>
  <si>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</si>
  <si>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</si>
  <si>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</si>
  <si>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</si>
  <si>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</si>
  <si>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</si>
  <si>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</si>
  <si>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</si>
  <si>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</si>
  <si>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</si>
  <si>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</si>
  <si>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</si>
  <si>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</si>
  <si>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</si>
  <si>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</si>
  <si>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</si>
  <si>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</si>
  <si>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</si>
  <si>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</si>
  <si>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</si>
  <si>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</si>
  <si>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</si>
  <si>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</si>
  <si>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</si>
  <si>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</si>
  <si>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</si>
  <si>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</si>
  <si>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</si>
  <si>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</si>
  <si>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</si>
  <si>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</si>
  <si>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</si>
  <si>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</si>
  <si>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</si>
  <si>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</si>
  <si>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</si>
  <si>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</si>
  <si>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</si>
  <si>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</si>
  <si>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</si>
  <si>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</si>
  <si>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</si>
  <si>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</si>
  <si>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</si>
  <si>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</si>
  <si>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</si>
  <si>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</si>
  <si>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</si>
  <si>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</si>
  <si>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</si>
  <si>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</si>
  <si>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</si>
  <si>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</si>
  <si>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</si>
  <si>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</si>
  <si>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</si>
  <si>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</si>
  <si>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</si>
  <si>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</si>
  <si>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</si>
  <si>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</si>
  <si>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</si>
  <si>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</si>
  <si>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</si>
  <si>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</si>
  <si>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</si>
  <si>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</si>
  <si>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</si>
  <si>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</si>
  <si>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</si>
  <si>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</si>
  <si>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</si>
  <si>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</si>
  <si>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</si>
  <si>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</si>
  <si>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</si>
  <si>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</si>
  <si>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</si>
  <si>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</si>
  <si>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</si>
  <si>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</si>
  <si>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</si>
  <si>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</si>
  <si>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</si>
  <si>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</si>
  <si>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</si>
  <si>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</si>
  <si>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</si>
  <si>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</si>
  <si>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</si>
  <si>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</si>
  <si>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</si>
  <si>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</si>
  <si>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</si>
  <si>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</si>
  <si>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</si>
  <si>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</si>
  <si>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</si>
  <si>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</si>
  <si>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</si>
  <si>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</si>
  <si>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</si>
  <si>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</si>
  <si>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</si>
  <si>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</si>
  <si>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</si>
  <si>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</si>
  <si>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</si>
  <si>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</si>
  <si>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</si>
  <si>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</si>
  <si>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</si>
  <si>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</si>
  <si>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</si>
  <si>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</si>
  <si>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</si>
  <si>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</si>
  <si>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</si>
  <si>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</si>
  <si>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</si>
  <si>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</si>
  <si>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</si>
  <si>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</si>
  <si>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</si>
  <si>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</si>
  <si>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</si>
  <si>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</si>
  <si>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</si>
  <si>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</si>
  <si>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</si>
  <si>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</si>
  <si>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</si>
  <si>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</si>
  <si>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</si>
  <si>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</si>
  <si>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</si>
  <si>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</si>
  <si>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</si>
  <si>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</si>
  <si>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</si>
  <si>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</si>
  <si>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</si>
  <si>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</si>
  <si>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</si>
  <si>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</si>
  <si>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</si>
  <si>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</si>
  <si>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</si>
  <si>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</si>
  <si>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</si>
  <si>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</si>
  <si>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</si>
  <si>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</si>
  <si>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</si>
  <si>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</si>
  <si>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</si>
  <si>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</si>
  <si>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</si>
  <si>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</si>
  <si>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</si>
  <si>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</si>
  <si>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</si>
  <si>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</si>
  <si>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</si>
  <si>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</si>
  <si>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</si>
  <si>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</si>
  <si>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</si>
  <si>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</si>
  <si>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</si>
  <si>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</si>
  <si>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</si>
  <si>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</si>
  <si>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</si>
  <si>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</si>
  <si>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</si>
  <si>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</si>
  <si>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</si>
  <si>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</si>
  <si>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</si>
  <si>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</si>
  <si>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</si>
  <si>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</si>
  <si>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</si>
  <si>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</si>
  <si>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</si>
  <si>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</si>
  <si>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</si>
  <si>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</si>
  <si>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</si>
  <si>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</si>
  <si>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</si>
  <si>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</si>
  <si>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</si>
  <si>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</si>
  <si>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</si>
  <si>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</si>
  <si>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</si>
  <si>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</si>
  <si>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</si>
  <si>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</si>
  <si>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</si>
  <si>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</si>
  <si>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</si>
  <si>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</si>
  <si>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</si>
  <si>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</si>
  <si>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</si>
  <si>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</si>
  <si>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</si>
  <si>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</si>
  <si>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</si>
  <si>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</si>
  <si>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</si>
  <si>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</si>
  <si>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</si>
  <si>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</si>
  <si>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</si>
  <si>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</si>
  <si>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</si>
  <si>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</si>
  <si>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</si>
  <si>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</si>
  <si>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</si>
  <si>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</si>
  <si>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</si>
  <si>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</si>
  <si>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</si>
  <si>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</si>
  <si>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</si>
  <si>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</si>
  <si>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</si>
  <si>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</si>
  <si>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</si>
  <si>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</si>
  <si>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</si>
  <si>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</si>
  <si>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</si>
  <si>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</si>
  <si>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</si>
  <si>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</si>
  <si>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</si>
  <si>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</si>
  <si>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</si>
  <si>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</si>
  <si>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</si>
  <si>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</si>
  <si>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</si>
  <si>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</si>
  <si>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</si>
  <si>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</si>
  <si>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</si>
  <si>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</si>
  <si>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</si>
  <si>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</si>
  <si>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</si>
  <si>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</si>
  <si>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</si>
  <si>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</si>
  <si>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</si>
  <si>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</si>
  <si>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</si>
  <si>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</si>
  <si>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</si>
  <si>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</si>
  <si>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</si>
  <si>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</si>
  <si>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</si>
  <si>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</si>
  <si>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</si>
  <si>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</si>
  <si>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</si>
  <si>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</si>
  <si>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</si>
  <si>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</si>
  <si>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</si>
  <si>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</si>
  <si>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</si>
  <si>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</si>
  <si>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</si>
  <si>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</si>
  <si>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</si>
  <si>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</si>
  <si>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</si>
  <si>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</si>
  <si>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</si>
  <si>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</si>
  <si>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</si>
  <si>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</si>
  <si>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</si>
  <si>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</si>
  <si>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</si>
  <si>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</si>
  <si>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</si>
  <si>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</si>
  <si>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</si>
  <si>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</si>
  <si>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</si>
  <si>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</si>
  <si>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</si>
  <si>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</si>
  <si>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</si>
  <si>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</si>
  <si>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</si>
  <si>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</si>
  <si>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</si>
  <si>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</si>
  <si>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</si>
  <si>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</si>
  <si>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</si>
  <si>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</si>
  <si>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</si>
  <si>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</si>
  <si>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</si>
  <si>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</si>
  <si>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</si>
  <si>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</si>
  <si>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</si>
  <si>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</si>
  <si>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</si>
  <si>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</si>
  <si>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</si>
  <si>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</si>
  <si>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</si>
  <si>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</si>
  <si>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</si>
  <si>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</si>
  <si>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</si>
  <si>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</si>
  <si>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</si>
  <si>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</si>
  <si>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</si>
  <si>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</si>
  <si>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</si>
  <si>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</si>
  <si>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</si>
  <si>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</si>
  <si>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</si>
  <si>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</si>
  <si>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</si>
  <si>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</si>
  <si>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</si>
  <si>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</si>
  <si>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</si>
  <si>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</si>
  <si>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</si>
  <si>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</si>
  <si>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</si>
  <si>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</si>
  <si>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</si>
  <si>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</si>
  <si>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</si>
  <si>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</si>
  <si>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</si>
  <si>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</si>
  <si>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</si>
  <si>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</si>
  <si>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</si>
  <si>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</si>
  <si>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</si>
  <si>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</si>
  <si>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</si>
  <si>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</si>
  <si>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</si>
  <si>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</si>
  <si>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</si>
  <si>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</si>
  <si>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</si>
  <si>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</si>
  <si>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</si>
  <si>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</si>
  <si>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</si>
  <si>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</si>
  <si>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</si>
  <si>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</si>
  <si>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</si>
  <si>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</si>
  <si>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</si>
  <si>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</si>
  <si>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</si>
  <si>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</si>
  <si>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</si>
  <si>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</si>
  <si>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</si>
  <si>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</si>
  <si>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</si>
  <si>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</si>
  <si>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</si>
  <si>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</si>
  <si>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</si>
  <si>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</si>
  <si>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</si>
  <si>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</si>
  <si>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</si>
  <si>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</si>
  <si>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</si>
  <si>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</si>
  <si>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</si>
  <si>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</si>
  <si>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</si>
  <si>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</si>
  <si>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</si>
  <si>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</si>
  <si>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</si>
  <si>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</si>
  <si>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</si>
  <si>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</si>
  <si>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</si>
  <si>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</si>
  <si>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</si>
  <si>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</si>
  <si>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</si>
  <si>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</si>
  <si>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</si>
  <si>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</si>
  <si>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</si>
  <si>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</si>
  <si>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</si>
  <si>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</si>
  <si>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</si>
  <si>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</si>
  <si>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</si>
  <si>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</si>
  <si>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</si>
  <si>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</si>
  <si>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</si>
  <si>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</si>
  <si>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</si>
  <si>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</si>
  <si>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</si>
  <si>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</si>
  <si>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</si>
  <si>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</si>
  <si>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</si>
  <si>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</si>
  <si>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</si>
  <si>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</si>
  <si>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</si>
  <si>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</si>
  <si>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</si>
  <si>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</si>
  <si>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</si>
  <si>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</si>
  <si>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</si>
  <si>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</si>
  <si>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</si>
  <si>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</si>
  <si>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</si>
  <si>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</si>
  <si>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</si>
  <si>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</si>
  <si>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</si>
  <si>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</si>
  <si>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</si>
  <si>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</si>
  <si>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</si>
  <si>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</si>
  <si>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</si>
  <si>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</si>
  <si>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</si>
  <si>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</si>
  <si>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</si>
  <si>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</si>
  <si>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</si>
  <si>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</si>
  <si>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</si>
  <si>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</si>
  <si>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</si>
  <si>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</si>
  <si>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</si>
  <si>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</si>
  <si>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</si>
  <si>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</si>
  <si>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</si>
  <si>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</si>
  <si>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</si>
  <si>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</si>
  <si>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</si>
  <si>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</si>
  <si>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</si>
  <si>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</si>
  <si>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</si>
  <si>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</si>
  <si>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</si>
  <si>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</si>
  <si>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</si>
  <si>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</si>
  <si>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</si>
  <si>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</si>
  <si>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</si>
  <si>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</si>
  <si>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</si>
  <si>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</si>
  <si>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</si>
  <si>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</si>
  <si>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</si>
  <si>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</si>
  <si>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</si>
  <si>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</si>
  <si>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</si>
  <si>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</si>
  <si>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</si>
  <si>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</si>
  <si>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</si>
  <si>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</si>
  <si>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</si>
  <si>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</si>
  <si>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</si>
  <si>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</si>
  <si>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</si>
  <si>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</si>
  <si>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</si>
  <si>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</si>
  <si>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</si>
  <si>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</si>
  <si>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</si>
  <si>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</si>
  <si>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</si>
  <si>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</si>
  <si>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</si>
  <si>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</si>
  <si>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</si>
  <si>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</si>
  <si>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</si>
  <si>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</si>
  <si>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</si>
  <si>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</si>
  <si>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</si>
  <si>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</si>
  <si>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</si>
  <si>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</si>
  <si>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</si>
  <si>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</si>
  <si>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</si>
  <si>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</si>
  <si>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</si>
  <si>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</si>
  <si>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</si>
  <si>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</si>
  <si>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</si>
  <si>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</si>
  <si>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</si>
  <si>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</si>
  <si>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</si>
  <si>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</si>
  <si>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</si>
  <si>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</si>
  <si>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</si>
  <si>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</si>
  <si>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</si>
  <si>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</si>
  <si>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</si>
  <si>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</si>
  <si>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</si>
  <si>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</si>
  <si>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</si>
  <si>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</si>
  <si>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</si>
  <si>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</si>
  <si>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</si>
  <si>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</si>
  <si>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</si>
  <si>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</si>
  <si>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</si>
  <si>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</si>
  <si>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</si>
  <si>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</si>
  <si>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</si>
  <si>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</si>
  <si>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</si>
  <si>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</si>
  <si>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</si>
  <si>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</si>
  <si>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</si>
  <si>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</si>
  <si>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</si>
  <si>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</si>
  <si>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</si>
  <si>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</si>
  <si>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</si>
  <si>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</si>
  <si>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</si>
  <si>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</si>
  <si>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</si>
  <si>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</si>
  <si>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</si>
  <si>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</si>
  <si>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</si>
  <si>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</si>
  <si>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</si>
  <si>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</si>
  <si>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</si>
  <si>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</si>
  <si>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</si>
  <si>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</si>
  <si>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</si>
  <si>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</si>
  <si>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</si>
  <si>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</si>
  <si>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</si>
  <si>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</si>
  <si>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</si>
  <si>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</si>
  <si>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</si>
  <si>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</si>
  <si>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</si>
  <si>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</si>
  <si>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</si>
  <si>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</si>
  <si>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</si>
  <si>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</si>
  <si>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</si>
  <si>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</si>
  <si>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</si>
  <si>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</si>
  <si>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</si>
  <si>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</si>
  <si>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</si>
  <si>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</si>
  <si>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</si>
  <si>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</si>
  <si>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</si>
  <si>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</si>
  <si>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</si>
  <si>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</si>
  <si>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</si>
  <si>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</si>
  <si>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</si>
  <si>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</si>
  <si>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</si>
  <si>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</si>
  <si>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</si>
  <si>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</si>
  <si>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</si>
  <si>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</si>
  <si>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</si>
  <si>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</si>
  <si>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</si>
  <si>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</si>
  <si>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</si>
  <si>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</si>
  <si>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</si>
  <si>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</si>
  <si>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</si>
  <si>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</si>
  <si>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</si>
  <si>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</si>
  <si>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</si>
  <si>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</si>
  <si>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</si>
  <si>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</si>
  <si>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</si>
  <si>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</si>
  <si>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</si>
  <si>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</si>
  <si>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</si>
  <si>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</si>
  <si>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</si>
  <si>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</si>
  <si>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</si>
  <si>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</si>
  <si>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</si>
  <si>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</si>
  <si>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</si>
  <si>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</si>
  <si>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</si>
  <si>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</si>
  <si>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</si>
  <si>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</si>
  <si>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</si>
  <si>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</si>
  <si>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</si>
  <si>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</si>
  <si>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</si>
  <si>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</si>
  <si>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</si>
  <si>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</si>
  <si>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</si>
  <si>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</si>
  <si>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</si>
  <si>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</si>
  <si>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</si>
  <si>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</si>
  <si>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</si>
  <si>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</si>
  <si>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</si>
  <si>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</si>
  <si>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</si>
  <si>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</si>
  <si>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</si>
  <si>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</si>
  <si>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</si>
  <si>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</si>
  <si>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</si>
  <si>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</si>
  <si>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</si>
  <si>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</si>
  <si>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</si>
  <si>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</si>
  <si>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</si>
  <si>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</si>
  <si>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</si>
  <si>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</si>
  <si>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</si>
  <si>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</si>
  <si>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</si>
  <si>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</si>
  <si>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</si>
  <si>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</si>
  <si>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</si>
  <si>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</si>
  <si>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</si>
  <si>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</si>
  <si>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</si>
  <si>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</si>
  <si>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</si>
  <si>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</si>
  <si>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</si>
  <si>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</si>
  <si>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</si>
  <si>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</si>
  <si>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</si>
  <si>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</si>
  <si>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</si>
  <si>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</si>
  <si>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</si>
  <si>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</si>
  <si>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</si>
  <si>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</si>
  <si>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</si>
  <si>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</si>
  <si>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</si>
  <si>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</si>
  <si>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</si>
  <si>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</si>
  <si>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</si>
  <si>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</si>
  <si>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</si>
  <si>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</si>
  <si>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</si>
  <si>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</si>
  <si>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</si>
  <si>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</si>
  <si>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</si>
  <si>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</si>
  <si>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</si>
  <si>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</si>
  <si>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</si>
  <si>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</si>
  <si>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</si>
  <si>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</si>
  <si>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</si>
  <si>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</si>
  <si>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</si>
  <si>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</si>
  <si>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</si>
  <si>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</si>
  <si>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</si>
  <si>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</si>
  <si>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</si>
  <si>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</si>
  <si>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</si>
  <si>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</si>
  <si>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</si>
  <si>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</si>
  <si>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</si>
  <si>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</si>
  <si>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</si>
  <si>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</si>
  <si>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</si>
  <si>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</si>
  <si>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</si>
  <si>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</si>
  <si>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</si>
  <si>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</si>
  <si>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</si>
  <si>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</si>
  <si>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</si>
  <si>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</si>
  <si>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</si>
  <si>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</si>
  <si>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</si>
  <si>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</si>
  <si>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</si>
  <si>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</si>
  <si>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</si>
  <si>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</si>
  <si>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</si>
  <si>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</si>
  <si>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</si>
  <si>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</si>
  <si>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</si>
  <si>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</si>
  <si>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</si>
  <si>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</si>
  <si>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</si>
  <si>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</si>
  <si>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</si>
  <si>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</si>
  <si>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</si>
  <si>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</si>
  <si>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</si>
  <si>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</si>
  <si>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</si>
  <si>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</si>
  <si>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</si>
  <si>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</si>
  <si>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</si>
  <si>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</si>
  <si>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</si>
  <si>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</si>
  <si>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</si>
  <si>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</si>
  <si>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</si>
  <si>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</si>
  <si>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</si>
  <si>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</si>
  <si>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</si>
  <si>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</si>
  <si>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</si>
  <si>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</si>
  <si>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</si>
  <si>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</si>
  <si>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</si>
  <si>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</si>
  <si>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</si>
  <si>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</si>
  <si>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</si>
  <si>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</si>
  <si>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</si>
  <si>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</si>
  <si>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</si>
  <si>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</si>
  <si>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</si>
  <si>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</si>
  <si>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</si>
  <si>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</si>
  <si>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</si>
  <si>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</si>
  <si>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</si>
  <si>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</si>
  <si>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</si>
  <si>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</si>
  <si>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</si>
  <si>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</si>
  <si>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</si>
  <si>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</si>
  <si>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</si>
  <si>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</si>
  <si>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</si>
  <si>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</si>
  <si>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</si>
  <si>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</si>
  <si>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</si>
  <si>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</si>
  <si>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</si>
  <si>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</si>
  <si>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</si>
  <si>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</si>
  <si>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</si>
  <si>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</si>
  <si>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</si>
  <si>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</si>
  <si>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</si>
  <si>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</si>
  <si>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</si>
  <si>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</si>
  <si>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</si>
  <si>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</si>
  <si>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</si>
  <si>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</si>
  <si>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</si>
  <si>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</si>
  <si>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</si>
  <si>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</si>
  <si>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</si>
  <si>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</si>
  <si>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</si>
  <si>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</si>
  <si>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</si>
  <si>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</si>
  <si>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</si>
  <si>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</si>
  <si>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</si>
  <si>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</si>
  <si>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</si>
  <si>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</si>
  <si>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</si>
  <si>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</si>
  <si>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</si>
  <si>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</si>
  <si>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</si>
  <si>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</si>
  <si>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</si>
  <si>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</si>
  <si>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</si>
  <si>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</si>
  <si>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</si>
  <si>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</si>
  <si>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</si>
  <si>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</si>
  <si>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</si>
  <si>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</si>
  <si>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</si>
  <si>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</si>
  <si>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</si>
  <si>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</si>
  <si>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</si>
  <si>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</si>
  <si>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</si>
  <si>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</si>
  <si>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</si>
  <si>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</si>
  <si>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</si>
  <si>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</si>
  <si>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</si>
  <si>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</si>
  <si>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</si>
  <si>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</si>
  <si>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</si>
  <si>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</si>
  <si>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</si>
  <si>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</si>
  <si>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</si>
  <si>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</si>
  <si>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</si>
  <si>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</si>
  <si>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</si>
  <si>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</si>
  <si>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</si>
  <si>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</si>
  <si>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</si>
  <si>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</si>
  <si>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</si>
  <si>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</si>
  <si>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</si>
  <si>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</si>
  <si>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</si>
  <si>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</si>
  <si>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</si>
  <si>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</si>
  <si>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</si>
  <si>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</si>
  <si>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</si>
  <si>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</si>
  <si>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</si>
  <si>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</si>
  <si>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</si>
  <si>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</si>
  <si>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</si>
  <si>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</si>
  <si>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</si>
  <si>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</si>
  <si>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</si>
  <si>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</si>
  <si>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</si>
  <si>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</si>
  <si>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</si>
  <si>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</si>
  <si>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</si>
  <si>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</si>
  <si>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</si>
  <si>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</si>
  <si>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</si>
  <si>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</si>
  <si>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</si>
  <si>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</si>
  <si>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</si>
  <si>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</si>
  <si>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</si>
  <si>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</si>
  <si>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</si>
  <si>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</si>
  <si>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</si>
  <si>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</si>
  <si>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</si>
  <si>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</si>
  <si>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</si>
  <si>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</si>
  <si>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</si>
  <si>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</si>
  <si>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</si>
  <si>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</si>
  <si>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</si>
  <si>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</si>
  <si>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</si>
  <si>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</si>
  <si>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</si>
  <si>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</si>
  <si>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</si>
  <si>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</si>
  <si>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</si>
  <si>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</si>
  <si>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</si>
  <si>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</si>
  <si>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</si>
  <si>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</si>
  <si>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</si>
  <si>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</si>
  <si>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</si>
  <si>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</si>
  <si>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</si>
  <si>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</si>
  <si>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</si>
  <si>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</si>
  <si>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</si>
  <si>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</si>
  <si>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</si>
  <si>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</si>
  <si>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</si>
  <si>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</si>
  <si>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</si>
  <si>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</si>
  <si>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</si>
  <si>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</si>
  <si>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</si>
  <si>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</si>
  <si>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</si>
  <si>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</si>
  <si>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</si>
  <si>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</si>
  <si>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</si>
  <si>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</si>
  <si>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</si>
  <si>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</si>
  <si>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</si>
  <si>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</si>
  <si>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</si>
  <si>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</si>
  <si>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</si>
  <si>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</si>
  <si>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</si>
  <si>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</si>
  <si>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</si>
  <si>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</si>
  <si>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</si>
  <si>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</si>
  <si>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</si>
  <si>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</si>
  <si>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</si>
  <si>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</si>
  <si>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</si>
  <si>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</si>
  <si>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</si>
  <si>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</si>
  <si>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</si>
  <si>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</si>
  <si>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</si>
  <si>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</si>
  <si>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</si>
  <si>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</si>
  <si>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</si>
  <si>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</si>
  <si>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</si>
  <si>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</si>
  <si>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</si>
  <si>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</si>
  <si>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</si>
  <si>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</si>
  <si>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</si>
  <si>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</si>
  <si>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</si>
  <si>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</si>
  <si>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</si>
  <si>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</si>
  <si>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</si>
  <si>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</si>
  <si>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</si>
  <si>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</si>
  <si>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</si>
  <si>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</si>
  <si>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</si>
  <si>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</si>
  <si>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</si>
  <si>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</si>
  <si>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</si>
  <si>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</si>
  <si>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</si>
  <si>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</si>
  <si>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</si>
  <si>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</si>
  <si>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</si>
  <si>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</si>
  <si>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</si>
  <si>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</si>
  <si>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</si>
  <si>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</si>
  <si>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</si>
  <si>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</si>
  <si>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</si>
  <si>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</si>
  <si>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</si>
  <si>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</si>
  <si>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</si>
  <si>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</si>
  <si>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</si>
  <si>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</si>
  <si>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</si>
  <si>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</si>
  <si>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</si>
  <si>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</si>
  <si>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</si>
  <si>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</si>
  <si>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</si>
  <si>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</si>
  <si>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</si>
  <si>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</si>
  <si>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</si>
  <si>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</si>
  <si>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</si>
  <si>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</si>
  <si>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</si>
  <si>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</si>
  <si>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</si>
  <si>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</si>
  <si>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</si>
  <si>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</si>
  <si>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</si>
  <si>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</si>
  <si>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</si>
  <si>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</si>
  <si>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</si>
  <si>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</si>
  <si>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</si>
  <si>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</si>
  <si>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</si>
  <si>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</si>
  <si>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</si>
  <si>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</si>
  <si>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</si>
  <si>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</si>
  <si>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</si>
  <si>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</si>
  <si>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</si>
  <si>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</si>
  <si>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</si>
  <si>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</si>
  <si>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</si>
  <si>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</si>
  <si>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</si>
  <si>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</si>
  <si>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</si>
  <si>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</si>
  <si>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</si>
  <si>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</si>
  <si>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</si>
  <si>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</si>
  <si>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</si>
  <si>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</si>
  <si>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</si>
  <si>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</si>
  <si>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</si>
  <si>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</si>
  <si>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</si>
  <si>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</si>
  <si>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</si>
  <si>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</si>
  <si>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</si>
  <si>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</si>
  <si>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</si>
  <si>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</si>
  <si>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</si>
  <si>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</si>
  <si>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</si>
  <si>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</si>
  <si>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</si>
  <si>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</si>
  <si>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</si>
  <si>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</si>
  <si>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</si>
  <si>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</si>
  <si>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</si>
  <si>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</si>
  <si>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</si>
  <si>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</si>
  <si>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</si>
  <si>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</si>
  <si>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</si>
  <si>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</si>
  <si>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</si>
  <si>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</si>
  <si>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</si>
  <si>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</si>
  <si>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</si>
  <si>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</si>
  <si>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</si>
  <si>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</si>
  <si>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</si>
  <si>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</si>
  <si>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</si>
  <si>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</si>
  <si>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</si>
  <si>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</si>
  <si>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</si>
  <si>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</si>
  <si>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</si>
  <si>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</si>
  <si>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</si>
  <si>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</si>
  <si>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</si>
  <si>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</si>
  <si>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</si>
  <si>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</si>
  <si>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</si>
  <si>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</si>
  <si>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</si>
  <si>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</si>
  <si>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</si>
  <si>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</si>
  <si>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</si>
  <si>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</si>
  <si>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</si>
  <si>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</si>
  <si>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</si>
  <si>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</si>
  <si>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</si>
  <si>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</si>
  <si>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</si>
  <si>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</si>
  <si>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</si>
  <si>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</si>
  <si>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</si>
  <si>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</si>
  <si>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</si>
  <si>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</si>
  <si>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</si>
  <si>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</si>
  <si>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</si>
  <si>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</si>
  <si>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</si>
  <si>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</si>
  <si>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</si>
  <si>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</si>
  <si>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</si>
  <si>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</si>
  <si>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</si>
  <si>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</si>
  <si>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</si>
  <si>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</si>
  <si>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</si>
  <si>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</si>
  <si>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</si>
  <si>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</si>
  <si>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</si>
  <si>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</si>
  <si>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</si>
  <si>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</si>
  <si>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</si>
  <si>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</si>
  <si>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</si>
  <si>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</si>
  <si>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</si>
  <si>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</si>
  <si>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</si>
  <si>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</si>
  <si>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</si>
  <si>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</si>
  <si>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</si>
  <si>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</si>
  <si>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</si>
  <si>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</si>
  <si>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</si>
  <si>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</si>
  <si>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</si>
  <si>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</si>
  <si>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</si>
  <si>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</si>
  <si>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</si>
  <si>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</si>
  <si>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</si>
  <si>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</si>
  <si>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</si>
  <si>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</si>
  <si>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</si>
  <si>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</si>
  <si>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</si>
  <si>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</si>
  <si>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</si>
  <si>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</si>
  <si>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</si>
  <si>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</si>
  <si>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</si>
  <si>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</si>
  <si>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</si>
  <si>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</si>
  <si>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</si>
  <si>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</si>
  <si>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</si>
  <si>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</si>
  <si>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</si>
  <si>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</si>
  <si>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</si>
  <si>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</si>
  <si>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</si>
  <si>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</si>
  <si>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</si>
  <si>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</si>
  <si>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</si>
  <si>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</si>
  <si>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</si>
  <si>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</si>
  <si>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</si>
  <si>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</si>
  <si>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</si>
  <si>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</si>
  <si>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</si>
  <si>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</si>
  <si>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</si>
  <si>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</si>
  <si>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</si>
  <si>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</si>
  <si>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</si>
  <si>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</si>
  <si>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</si>
  <si>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</si>
  <si>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</si>
  <si>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</si>
  <si>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</si>
  <si>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</si>
  <si>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</si>
  <si>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</si>
  <si>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</si>
  <si>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</si>
  <si>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</si>
  <si>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</si>
  <si>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</si>
  <si>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</si>
  <si>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</si>
  <si>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</si>
  <si>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</si>
  <si>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</si>
  <si>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</si>
  <si>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</si>
  <si>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</si>
  <si>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</si>
  <si>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</si>
  <si>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</si>
  <si>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</si>
  <si>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</si>
  <si>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</si>
  <si>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</si>
  <si>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</si>
  <si>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</si>
  <si>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</si>
  <si>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</si>
  <si>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</si>
  <si>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</si>
  <si>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</si>
  <si>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</si>
  <si>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</si>
  <si>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</si>
  <si>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</si>
  <si>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</si>
  <si>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</si>
  <si>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</si>
  <si>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</si>
  <si>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</si>
  <si>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</si>
  <si>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</si>
  <si>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</si>
  <si>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</si>
  <si>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</si>
  <si>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</si>
  <si>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</si>
  <si>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</si>
  <si>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</si>
  <si>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</si>
  <si>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</si>
  <si>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</si>
  <si>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</si>
  <si>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</si>
  <si>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</si>
  <si>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</si>
  <si>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</si>
  <si>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</si>
  <si>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</si>
  <si>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</si>
  <si>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</si>
  <si>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</si>
  <si>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</si>
  <si>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</si>
  <si>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</si>
  <si>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</si>
  <si>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</si>
  <si>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</si>
  <si>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</si>
  <si>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</si>
  <si>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</si>
  <si>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</si>
  <si>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</si>
  <si>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</si>
  <si>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</si>
  <si>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</si>
  <si>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</si>
  <si>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</si>
  <si>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</si>
  <si>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</si>
  <si>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</si>
  <si>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</si>
  <si>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</si>
  <si>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</si>
  <si>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</si>
  <si>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</si>
  <si>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</si>
  <si>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</si>
  <si>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</si>
  <si>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</si>
  <si>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</si>
  <si>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</si>
  <si>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</si>
  <si>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</si>
  <si>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</si>
  <si>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</si>
  <si>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</si>
  <si>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</si>
  <si>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</si>
  <si>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</si>
  <si>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</si>
  <si>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</si>
  <si>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</si>
  <si>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</si>
  <si>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</si>
  <si>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</si>
  <si>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</si>
  <si>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</si>
  <si>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</si>
  <si>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</si>
  <si>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</si>
  <si>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</si>
  <si>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</si>
  <si>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</si>
  <si>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</si>
  <si>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</si>
  <si>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</si>
  <si>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</si>
  <si>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</si>
  <si>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</si>
  <si>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</si>
  <si>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</si>
  <si>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</si>
  <si>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</si>
  <si>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</si>
  <si>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</si>
  <si>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</si>
  <si>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</si>
  <si>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</si>
  <si>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</si>
  <si>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</si>
  <si>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</si>
  <si>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</si>
  <si>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</si>
  <si>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</si>
  <si>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</si>
  <si>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</si>
  <si>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</si>
  <si>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</si>
  <si>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</si>
  <si>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</si>
  <si>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</si>
  <si>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</si>
  <si>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</si>
  <si>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</si>
  <si>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</si>
  <si>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</si>
  <si>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</si>
  <si>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</si>
  <si>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</si>
  <si>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</si>
  <si>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</si>
  <si>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</si>
  <si>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</si>
  <si>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</si>
  <si>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</si>
  <si>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</si>
  <si>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</si>
  <si>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</si>
  <si>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</si>
  <si>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</si>
  <si>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</si>
  <si>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</si>
  <si>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</si>
  <si>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</si>
  <si>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</si>
  <si>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</si>
  <si>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</si>
  <si>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</si>
  <si>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</si>
  <si>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</si>
  <si>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</si>
  <si>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</si>
  <si>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</si>
  <si>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</si>
  <si>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</si>
  <si>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</si>
  <si>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</si>
  <si>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</si>
  <si>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</si>
  <si>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</si>
  <si>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</si>
  <si>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</si>
  <si>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</si>
  <si>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</si>
  <si>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</si>
  <si>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</si>
  <si>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</si>
  <si>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</si>
  <si>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</si>
  <si>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</si>
  <si>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</si>
  <si>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</si>
  <si>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</si>
  <si>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</si>
  <si>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</si>
  <si>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</si>
  <si>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</si>
  <si>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</si>
  <si>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</si>
  <si>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</si>
  <si>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</si>
  <si>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</si>
  <si>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</si>
  <si>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</si>
  <si>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</si>
  <si>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</si>
  <si>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</si>
  <si>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</si>
  <si>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</si>
  <si>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</si>
  <si>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</si>
  <si>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</si>
  <si>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</si>
  <si>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</si>
  <si>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</si>
  <si>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</si>
  <si>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</si>
  <si>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</si>
  <si>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</si>
  <si>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</si>
  <si>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</si>
  <si>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</si>
  <si>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</si>
  <si>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</si>
  <si>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</si>
  <si>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</si>
  <si>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</si>
  <si>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</si>
  <si>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</si>
  <si>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</si>
  <si>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</si>
  <si>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</si>
  <si>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</si>
  <si>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</si>
  <si>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</si>
  <si>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</si>
  <si>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</si>
  <si>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</si>
  <si>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</si>
  <si>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</si>
  <si>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</si>
  <si>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</si>
  <si>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</si>
  <si>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</si>
  <si>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</si>
  <si>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</si>
  <si>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</si>
  <si>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</si>
  <si>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</si>
  <si>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</si>
  <si>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</si>
  <si>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</si>
  <si>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</si>
  <si>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</si>
  <si>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</si>
  <si>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</si>
  <si>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</si>
  <si>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</si>
  <si>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</si>
  <si>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</si>
  <si>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</si>
  <si>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</si>
  <si>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</si>
  <si>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</si>
  <si>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</si>
  <si>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</si>
  <si>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</si>
  <si>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</si>
  <si>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</si>
  <si>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</si>
  <si>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</si>
  <si>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</si>
  <si>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</si>
  <si>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</si>
  <si>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</si>
  <si>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</si>
  <si>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</si>
  <si>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</si>
  <si>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</si>
  <si>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</si>
  <si>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</si>
  <si>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</si>
  <si>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</si>
  <si>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</si>
  <si>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</si>
  <si>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</si>
  <si>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</si>
  <si>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</si>
  <si>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</si>
  <si>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</si>
  <si>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</si>
  <si>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</si>
  <si>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</si>
  <si>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</si>
  <si>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</si>
  <si>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</si>
  <si>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</si>
  <si>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</si>
  <si>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</si>
  <si>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</si>
  <si>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</si>
  <si>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</si>
  <si>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</si>
  <si>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</si>
  <si>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</si>
  <si>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</si>
  <si>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</si>
  <si>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</si>
  <si>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</si>
  <si>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</si>
  <si>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</si>
  <si>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</si>
  <si>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</si>
  <si>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</si>
  <si>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</si>
  <si>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</si>
  <si>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</si>
  <si>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</si>
  <si>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</si>
  <si>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</si>
  <si>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</si>
  <si>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</si>
  <si>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</si>
  <si>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</si>
  <si>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</si>
  <si>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</si>
  <si>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</si>
  <si>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</si>
  <si>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</si>
  <si>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</si>
  <si>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</si>
  <si>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</si>
  <si>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</si>
  <si>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</si>
  <si>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</si>
  <si>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</si>
  <si>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</si>
  <si>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</si>
  <si>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</si>
  <si>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</si>
  <si>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</si>
  <si>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</si>
  <si>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</si>
  <si>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</si>
  <si>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</si>
  <si>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</si>
  <si>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</si>
  <si>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</si>
  <si>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</si>
  <si>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</si>
  <si>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</si>
  <si>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</si>
  <si>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</si>
  <si>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</si>
  <si>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</si>
  <si>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</si>
  <si>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</si>
  <si>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</si>
  <si>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</si>
  <si>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</si>
  <si>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</si>
  <si>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</si>
  <si>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</si>
  <si>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</si>
  <si>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</si>
  <si>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</si>
  <si>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</si>
  <si>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</si>
  <si>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</si>
  <si>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</si>
  <si>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</si>
  <si>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</si>
  <si>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</si>
  <si>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</si>
  <si>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</si>
  <si>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</si>
  <si>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</si>
  <si>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</si>
  <si>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</si>
  <si>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</si>
  <si>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</si>
  <si>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</si>
  <si>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</si>
  <si>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</si>
  <si>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</si>
  <si>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</si>
  <si>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</si>
  <si>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</si>
  <si>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</si>
  <si>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</si>
  <si>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</si>
  <si>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</si>
  <si>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</si>
  <si>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</si>
  <si>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</si>
  <si>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</si>
  <si>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</si>
  <si>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</si>
  <si>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</si>
  <si>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</si>
  <si>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</si>
  <si>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</si>
  <si>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</si>
  <si>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</si>
  <si>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</si>
  <si>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</si>
  <si>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</si>
  <si>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</si>
  <si>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</si>
  <si>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</si>
  <si>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</si>
  <si>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</si>
  <si>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</si>
  <si>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</si>
  <si>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</si>
  <si>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</si>
  <si>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</si>
  <si>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</si>
  <si>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</si>
  <si>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</si>
  <si>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</si>
  <si>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</si>
  <si>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</si>
  <si>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</si>
  <si>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</si>
  <si>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</si>
  <si>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</si>
  <si>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</si>
  <si>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</si>
  <si>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</si>
  <si>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</si>
  <si>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</si>
  <si>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</si>
  <si>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</si>
  <si>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</si>
  <si>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</si>
  <si>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</si>
  <si>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</si>
  <si>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</si>
  <si>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</si>
  <si>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</si>
  <si>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</si>
  <si>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</si>
  <si>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</si>
  <si>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</si>
  <si>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</si>
  <si>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</si>
  <si>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</si>
  <si>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</si>
  <si>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</si>
  <si>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</si>
  <si>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</si>
  <si>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</si>
  <si>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</si>
  <si>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</si>
  <si>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</si>
  <si>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</si>
  <si>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</si>
  <si>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</si>
  <si>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</si>
  <si>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</si>
  <si>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</si>
  <si>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</si>
  <si>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</si>
  <si>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</si>
  <si>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</si>
  <si>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</si>
  <si>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</si>
  <si>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</si>
  <si>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</si>
  <si>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</si>
  <si>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</si>
  <si>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</si>
  <si>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</si>
  <si>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</si>
  <si>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</si>
  <si>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</si>
  <si>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</si>
  <si>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</si>
  <si>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</si>
  <si>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</si>
  <si>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</si>
  <si>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</si>
  <si>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</si>
  <si>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</si>
  <si>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</si>
  <si>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</si>
  <si>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</si>
  <si>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</si>
  <si>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</si>
  <si>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</si>
  <si>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</si>
  <si>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</si>
  <si>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</si>
  <si>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</si>
  <si>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</si>
  <si>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</si>
  <si>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</si>
  <si>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</si>
  <si>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</si>
  <si>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</si>
  <si>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</si>
  <si>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</si>
  <si>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</si>
  <si>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</si>
  <si>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</si>
  <si>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</si>
  <si>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</si>
  <si>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</si>
  <si>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</si>
  <si>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</si>
  <si>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</si>
  <si>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</si>
  <si>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</si>
  <si>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</si>
  <si>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</si>
  <si>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</si>
  <si>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</si>
  <si>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</si>
  <si>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</si>
  <si>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</si>
  <si>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</si>
  <si>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</si>
  <si>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</si>
  <si>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</si>
  <si>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</si>
  <si>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</si>
  <si>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</si>
  <si>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</si>
  <si>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</si>
  <si>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</si>
  <si>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</si>
  <si>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</si>
  <si>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</si>
  <si>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</si>
  <si>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</si>
  <si>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</si>
  <si>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</si>
  <si>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</si>
  <si>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</si>
  <si>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</si>
  <si>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</si>
  <si>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</si>
  <si>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</si>
  <si>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</si>
  <si>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</si>
  <si>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</si>
  <si>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</si>
  <si>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</si>
  <si>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</si>
  <si>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</si>
  <si>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</si>
  <si>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</si>
  <si>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</si>
  <si>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</si>
  <si>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</si>
  <si>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</si>
  <si>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</si>
  <si>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</si>
  <si>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</si>
  <si>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</si>
  <si>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</si>
  <si>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</si>
  <si>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</si>
  <si>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</si>
  <si>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</si>
  <si>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</si>
  <si>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</si>
  <si>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</si>
  <si>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</si>
  <si>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</si>
  <si>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</si>
  <si>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</si>
  <si>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</si>
  <si>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</si>
  <si>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</si>
  <si>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</si>
  <si>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</si>
  <si>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</si>
  <si>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</si>
  <si>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</si>
  <si>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</si>
  <si>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</si>
  <si>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</si>
  <si>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</si>
  <si>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</si>
  <si>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</si>
  <si>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</si>
  <si>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</si>
  <si>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</si>
  <si>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</si>
  <si>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</si>
  <si>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</si>
  <si>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</si>
  <si>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</si>
  <si>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</si>
  <si>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</si>
  <si>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</si>
  <si>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</si>
  <si>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</si>
  <si>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</si>
  <si>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</si>
  <si>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</si>
  <si>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</si>
  <si>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</si>
  <si>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</si>
  <si>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</si>
  <si>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</si>
  <si>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</si>
  <si>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</si>
  <si>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</si>
  <si>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</si>
  <si>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</si>
  <si>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</si>
  <si>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</si>
  <si>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</si>
  <si>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</si>
  <si>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</si>
  <si>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</si>
  <si>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</si>
  <si>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</si>
  <si>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</si>
  <si>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</si>
  <si>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</si>
  <si>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</si>
  <si>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</si>
  <si>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</si>
  <si>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</si>
  <si>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</si>
  <si>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</si>
  <si>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</si>
  <si>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</si>
  <si>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</si>
  <si>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</si>
  <si>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</si>
  <si>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</si>
  <si>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</si>
  <si>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</si>
  <si>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</si>
  <si>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</si>
  <si>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</si>
  <si>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</si>
  <si>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</si>
  <si>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</si>
  <si>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</si>
  <si>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</si>
  <si>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</si>
  <si>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</si>
  <si>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</si>
  <si>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</si>
  <si>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</si>
  <si>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</si>
  <si>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</si>
  <si>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</si>
  <si>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</si>
  <si>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</si>
  <si>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</si>
  <si>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</si>
  <si>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</si>
  <si>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</si>
  <si>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</si>
  <si>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</si>
  <si>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</si>
  <si>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</si>
  <si>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</si>
  <si>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</si>
  <si>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</si>
  <si>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</si>
  <si>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</si>
  <si>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</si>
  <si>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</si>
  <si>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</si>
  <si>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</si>
  <si>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</si>
  <si>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</si>
  <si>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</si>
  <si>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</si>
  <si>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</si>
  <si>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</si>
  <si>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</si>
  <si>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</si>
  <si>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</si>
  <si>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</si>
  <si>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</si>
  <si>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</si>
  <si>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</si>
  <si>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</si>
  <si>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</si>
  <si>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</si>
  <si>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</si>
  <si>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</si>
  <si>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</si>
  <si>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</si>
  <si>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</si>
  <si>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</si>
  <si>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</si>
  <si>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</si>
  <si>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</si>
  <si>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</si>
  <si>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</si>
  <si>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</si>
  <si>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</si>
  <si>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</si>
  <si>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</si>
  <si>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</si>
  <si>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</si>
  <si>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</si>
  <si>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</si>
  <si>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</si>
  <si>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</si>
  <si>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</si>
  <si>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</si>
  <si>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</si>
  <si>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</si>
  <si>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</si>
  <si>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</si>
  <si>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</si>
  <si>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</si>
  <si>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</si>
  <si>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</si>
  <si>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</si>
  <si>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</si>
  <si>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</si>
  <si>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</si>
  <si>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</si>
  <si>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</si>
  <si>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</si>
  <si>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</si>
  <si>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</si>
  <si>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</si>
  <si>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</si>
  <si>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</si>
  <si>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</si>
  <si>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</si>
  <si>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</si>
  <si>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</si>
  <si>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</si>
  <si>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</si>
  <si>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</si>
  <si>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</si>
  <si>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</si>
  <si>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</si>
  <si>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</si>
  <si>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</si>
  <si>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</si>
  <si>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</si>
  <si>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</si>
  <si>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</si>
  <si>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</si>
  <si>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</si>
  <si>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</si>
  <si>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</si>
  <si>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</si>
  <si>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</si>
  <si>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</si>
  <si>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</si>
  <si>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</si>
  <si>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</si>
  <si>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</si>
  <si>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</si>
  <si>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</si>
  <si>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</si>
  <si>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</si>
  <si>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</si>
  <si>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</si>
  <si>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</si>
  <si>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</si>
  <si>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</si>
  <si>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</si>
  <si>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</si>
  <si>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</si>
  <si>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</si>
  <si>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</si>
  <si>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</si>
  <si>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</si>
  <si>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</si>
  <si>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</si>
  <si>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</si>
  <si>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</si>
  <si>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</si>
  <si>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</si>
  <si>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</si>
  <si>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</si>
  <si>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</si>
  <si>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</si>
  <si>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</si>
  <si>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</si>
  <si>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</si>
  <si>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</si>
  <si>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</si>
  <si>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</si>
  <si>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</si>
  <si>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</si>
  <si>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</si>
  <si>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</si>
  <si>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</si>
  <si>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</si>
  <si>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</si>
  <si>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</si>
  <si>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</si>
  <si>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</si>
  <si>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</si>
  <si>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</si>
  <si>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</si>
  <si>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</si>
  <si>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</si>
  <si>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</si>
  <si>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</si>
  <si>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</si>
  <si>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</si>
  <si>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</si>
  <si>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</si>
  <si>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</si>
  <si>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</si>
  <si>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</si>
  <si>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</si>
  <si>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</si>
  <si>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</si>
  <si>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</si>
  <si>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</si>
  <si>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</si>
  <si>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</si>
  <si>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</si>
  <si>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</si>
  <si>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</si>
  <si>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</si>
  <si>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</si>
  <si>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</si>
  <si>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</si>
  <si>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</si>
  <si>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</si>
  <si>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</si>
  <si>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</si>
  <si>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</si>
  <si>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</si>
  <si>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</si>
  <si>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</si>
  <si>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</si>
  <si>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</si>
  <si>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</si>
  <si>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</si>
  <si>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</si>
  <si>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</si>
  <si>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</si>
  <si>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</si>
  <si>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</si>
  <si>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</si>
  <si>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</si>
  <si>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</si>
  <si>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</si>
  <si>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</si>
  <si>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</si>
  <si>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</si>
  <si>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</si>
  <si>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</si>
  <si>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</si>
  <si>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</si>
  <si>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</si>
  <si>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</si>
  <si>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</si>
  <si>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</si>
  <si>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</si>
  <si>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</si>
  <si>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</si>
  <si>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</si>
  <si>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</si>
  <si>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</si>
  <si>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</si>
  <si>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</si>
  <si>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</si>
  <si>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</si>
  <si>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</si>
  <si>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</si>
  <si>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</si>
  <si>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</si>
  <si>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</si>
  <si>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</si>
  <si>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</si>
  <si>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</si>
  <si>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</si>
  <si>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</si>
  <si>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</si>
  <si>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</si>
  <si>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</si>
  <si>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</si>
  <si>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</si>
  <si>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</si>
  <si>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</si>
  <si>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</si>
  <si>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</si>
  <si>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</si>
  <si>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</si>
  <si>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</si>
  <si>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</si>
  <si>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</si>
  <si>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</si>
  <si>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</si>
  <si>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</si>
  <si>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</si>
  <si>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</si>
  <si>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</si>
  <si>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</si>
  <si>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</si>
  <si>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</si>
  <si>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</si>
  <si>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</si>
  <si>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</si>
  <si>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</si>
  <si>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</si>
  <si>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</si>
  <si>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</si>
  <si>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</si>
  <si>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</si>
  <si>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</si>
  <si>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</si>
  <si>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</si>
  <si>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</si>
  <si>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</si>
  <si>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</si>
  <si>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</si>
  <si>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</si>
  <si>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</si>
  <si>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</si>
  <si>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</si>
  <si>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</si>
  <si>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</si>
  <si>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</si>
  <si>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</si>
  <si>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</si>
  <si>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</si>
  <si>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</si>
  <si>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</si>
  <si>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</si>
  <si>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</si>
  <si>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</si>
  <si>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</si>
  <si>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</si>
  <si>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</si>
  <si>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</si>
  <si>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</si>
  <si>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</si>
  <si>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</si>
  <si>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</si>
  <si>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</si>
  <si>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</si>
  <si>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</si>
  <si>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</si>
  <si>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</si>
  <si>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</si>
  <si>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</si>
  <si>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</si>
  <si>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</si>
  <si>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</si>
  <si>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</si>
  <si>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</si>
  <si>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</si>
  <si>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</si>
  <si>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</si>
  <si>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</si>
  <si>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</si>
  <si>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</si>
  <si>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</si>
  <si>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</si>
  <si>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</si>
  <si>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</si>
  <si>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</si>
  <si>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</si>
  <si>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</si>
  <si>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</si>
  <si>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</si>
  <si>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</si>
  <si>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</si>
  <si>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</si>
  <si>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</si>
  <si>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</si>
  <si>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</si>
  <si>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</si>
  <si>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</si>
  <si>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</si>
  <si>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</si>
  <si>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</si>
  <si>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</si>
  <si>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</si>
  <si>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</si>
  <si>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</si>
  <si>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</si>
  <si>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</si>
  <si>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</si>
  <si>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</si>
  <si>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</si>
  <si>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</si>
  <si>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</si>
  <si>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</si>
  <si>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</si>
  <si>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</si>
  <si>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</si>
  <si>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</si>
  <si>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</si>
  <si>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</si>
  <si>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</si>
  <si>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</si>
  <si>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</si>
  <si>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</si>
  <si>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</si>
  <si>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</si>
  <si>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</si>
  <si>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</si>
  <si>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</si>
  <si>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</si>
  <si>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</si>
  <si>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</si>
  <si>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</si>
  <si>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</si>
  <si>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</si>
  <si>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</si>
  <si>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</si>
  <si>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</si>
  <si>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</si>
  <si>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</si>
  <si>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</si>
  <si>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</si>
  <si>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</si>
  <si>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</si>
  <si>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</si>
  <si>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</si>
  <si>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</si>
  <si>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</si>
  <si>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</si>
  <si>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</si>
  <si>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</si>
  <si>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</si>
  <si>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</si>
  <si>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</si>
  <si>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</si>
  <si>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</si>
  <si>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</si>
  <si>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</si>
  <si>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</si>
  <si>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</si>
  <si>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</si>
  <si>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</si>
  <si>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</si>
  <si>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</si>
  <si>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</si>
  <si>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</si>
  <si>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</si>
  <si>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</si>
  <si>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</si>
  <si>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</si>
  <si>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</si>
  <si>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</si>
  <si>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</si>
  <si>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</si>
  <si>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</si>
  <si>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</si>
  <si>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</si>
  <si>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</si>
  <si>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</si>
  <si>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</si>
  <si>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</si>
  <si>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</si>
  <si>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</si>
  <si>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</si>
  <si>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</si>
  <si>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</si>
  <si>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</si>
  <si>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</si>
  <si>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</si>
  <si>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</si>
  <si>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</si>
  <si>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</si>
  <si>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</si>
  <si>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</si>
  <si>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</si>
  <si>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</si>
  <si>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</si>
  <si>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</si>
  <si>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</si>
  <si>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</si>
  <si>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</si>
  <si>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</si>
  <si>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</si>
  <si>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</si>
  <si>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</si>
  <si>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</si>
  <si>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</si>
  <si>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</si>
  <si>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</si>
  <si>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</si>
  <si>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</si>
  <si>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</si>
  <si>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</si>
  <si>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</si>
  <si>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</si>
  <si>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</si>
  <si>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</si>
  <si>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</si>
  <si>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</si>
  <si>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</si>
  <si>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</si>
  <si>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</si>
  <si>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</si>
  <si>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</si>
  <si>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</si>
  <si>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</si>
  <si>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</si>
  <si>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</si>
  <si>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</si>
  <si>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</si>
  <si>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</si>
  <si>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</si>
  <si>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</si>
  <si>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</si>
  <si>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</si>
  <si>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</si>
  <si>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</si>
  <si>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</si>
  <si>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</si>
  <si>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</si>
  <si>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</si>
  <si>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</si>
  <si>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</si>
  <si>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</si>
  <si>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</si>
  <si>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</si>
  <si>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</si>
  <si>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</si>
  <si>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</si>
  <si>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</si>
  <si>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</si>
  <si>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</si>
  <si>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</si>
  <si>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</si>
  <si>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</si>
  <si>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</si>
  <si>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</si>
  <si>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</si>
  <si>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</si>
  <si>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</si>
  <si>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</si>
  <si>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</si>
  <si>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</si>
  <si>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</si>
  <si>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</si>
  <si>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</si>
  <si>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</si>
  <si>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</si>
  <si>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</si>
  <si>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</si>
  <si>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</si>
  <si>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</si>
  <si>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</si>
  <si>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</si>
  <si>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</si>
  <si>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</si>
  <si>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</si>
  <si>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</si>
  <si>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</si>
  <si>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</si>
  <si>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</si>
  <si>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</si>
  <si>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</si>
  <si>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</si>
  <si>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</si>
  <si>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</si>
  <si>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</si>
  <si>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</si>
  <si>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</si>
  <si>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</si>
  <si>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</si>
  <si>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</si>
  <si>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</si>
  <si>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</si>
  <si>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</si>
  <si>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</si>
  <si>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</si>
  <si>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</si>
  <si>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</si>
  <si>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</si>
  <si>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</si>
  <si>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</si>
  <si>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</si>
  <si>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</si>
  <si>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</si>
  <si>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</si>
  <si>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</si>
  <si>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</si>
  <si>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</si>
  <si>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</si>
  <si>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</si>
  <si>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</si>
  <si>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</si>
  <si>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</si>
  <si>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</si>
  <si>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</si>
  <si>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</si>
  <si>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</si>
  <si>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</si>
  <si>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</si>
  <si>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</si>
  <si>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</si>
  <si>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</si>
  <si>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</si>
  <si>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</si>
  <si>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</si>
  <si>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</si>
  <si>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</si>
  <si>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</si>
  <si>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</si>
  <si>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</si>
  <si>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</si>
  <si>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</si>
  <si>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</si>
  <si>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</si>
  <si>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</si>
  <si>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</si>
  <si>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</si>
  <si>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</si>
  <si>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成新度</t>
  </si>
  <si>
    <t>直线</t>
    <phoneticPr fontId="3" type="noConversion"/>
  </si>
  <si>
    <t>观察</t>
    <phoneticPr fontId="3" type="noConversion"/>
  </si>
  <si>
    <t>综合</t>
    <phoneticPr fontId="3" type="noConversion"/>
  </si>
  <si>
    <t>利息：取LPR加浮动点数</t>
  </si>
  <si>
    <t>收益法 (元)</t>
  </si>
  <si>
    <t>钢混</t>
  </si>
  <si>
    <t>非生产用房</t>
  </si>
  <si>
    <t>比较法-办公</t>
  </si>
  <si>
    <t>项目局部</t>
  </si>
  <si>
    <t>单套模式</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</si>
  <si>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</si>
  <si>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</si>
  <si>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</si>
  <si>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</si>
  <si>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</si>
  <si>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</si>
  <si>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</si>
  <si>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</si>
  <si>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</si>
  <si>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</si>
  <si>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</si>
  <si>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</si>
  <si>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</si>
  <si>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</si>
  <si>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</si>
  <si>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</si>
  <si>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</si>
  <si>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</si>
  <si>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</si>
  <si>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</si>
  <si>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</si>
  <si>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</si>
  <si>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</si>
  <si>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</si>
  <si>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</si>
  <si>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</si>
  <si>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</si>
  <si>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</si>
  <si>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</si>
  <si>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</si>
  <si>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</si>
  <si>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</si>
  <si>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</si>
  <si>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</si>
  <si>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</si>
  <si>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</si>
  <si>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</si>
  <si>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</si>
  <si>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</si>
  <si>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</si>
  <si>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精装修</t>
  </si>
  <si>
    <t>楼面单价</t>
  </si>
  <si>
    <t>收益比率</t>
  </si>
  <si>
    <t>=2015+2</t>
    <phoneticPr fontId="6" type="noConversion"/>
  </si>
  <si>
    <t>企业</t>
  </si>
  <si>
    <t>北京丰联广场大厦有限公司</t>
  </si>
  <si>
    <t>华夏银行</t>
  </si>
  <si>
    <t>郑燚</t>
  </si>
  <si>
    <t>吴薇</t>
  </si>
  <si>
    <t>原件</t>
  </si>
  <si>
    <t>估价对象所在区域基础设施水平“七通一平</t>
  </si>
  <si>
    <t>丰联广场</t>
    <phoneticPr fontId="3" type="noConversion"/>
  </si>
  <si>
    <t>好</t>
  </si>
  <si>
    <t>主干道</t>
  </si>
  <si>
    <t>朝外大街</t>
    <phoneticPr fontId="31" type="noConversion"/>
  </si>
  <si>
    <t>低</t>
  </si>
  <si>
    <t>标准层高</t>
  </si>
  <si>
    <t>楼层</t>
  </si>
  <si>
    <t>高区</t>
  </si>
  <si>
    <t>中区</t>
  </si>
  <si>
    <t>低区</t>
  </si>
  <si>
    <t>情况3</t>
  </si>
  <si>
    <t>自行开发建设</t>
  </si>
  <si>
    <t>出让金+开发费</t>
  </si>
  <si>
    <t>企业提供（在右侧录入）</t>
  </si>
  <si>
    <t>非个人房产</t>
  </si>
  <si>
    <t>房地产价值</t>
  </si>
  <si>
    <t>朝阳区首都机场航平西路银行附属办公楼</t>
    <phoneticPr fontId="3" type="noConversion"/>
  </si>
  <si>
    <t>中国银行北京市首都机场支行</t>
    <phoneticPr fontId="3" type="noConversion"/>
  </si>
  <si>
    <t>独立商业</t>
  </si>
  <si>
    <t>商业</t>
    <phoneticPr fontId="7" type="noConversion"/>
  </si>
  <si>
    <t>租金</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</si>
  <si>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</si>
  <si>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</si>
  <si>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</si>
  <si>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</si>
  <si>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</si>
  <si>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</si>
  <si>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</si>
  <si>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</si>
  <si>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</si>
  <si>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</si>
  <si>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</si>
  <si>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</si>
  <si>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</si>
  <si>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</si>
  <si>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</si>
  <si>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</si>
  <si>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</si>
  <si>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</si>
  <si>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</si>
  <si>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</si>
  <si>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</si>
  <si>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</si>
  <si>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</si>
  <si>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</si>
  <si>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</si>
  <si>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</si>
  <si>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</si>
  <si>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</si>
  <si>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</si>
  <si>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</si>
  <si>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</si>
  <si>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</si>
  <si>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</si>
  <si>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</si>
  <si>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</si>
  <si>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</si>
  <si>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</si>
  <si>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</si>
  <si>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</si>
  <si>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</si>
  <si>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</si>
  <si>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</si>
  <si>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</si>
  <si>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</si>
  <si>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</si>
  <si>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</si>
  <si>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</si>
  <si>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</si>
  <si>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</si>
  <si>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</si>
  <si>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</si>
  <si>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</si>
  <si>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</si>
  <si>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</si>
  <si>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</si>
  <si>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</si>
  <si>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</si>
  <si>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</si>
  <si>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</si>
  <si>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</si>
  <si>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</si>
  <si>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</si>
  <si>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</si>
  <si>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</si>
  <si>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</si>
  <si>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</si>
  <si>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</si>
  <si>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</si>
  <si>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</si>
  <si>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</si>
  <si>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</si>
  <si>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</si>
  <si>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</si>
  <si>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</si>
  <si>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</si>
  <si>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</si>
  <si>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</si>
  <si>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</si>
  <si>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</si>
  <si>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</si>
  <si>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</si>
  <si>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</si>
  <si>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</si>
  <si>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</si>
  <si>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</si>
  <si>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</si>
  <si>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</si>
  <si>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</si>
  <si>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</si>
  <si>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</si>
  <si>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</si>
  <si>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</si>
  <si>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</si>
  <si>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</si>
  <si>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</si>
  <si>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</si>
  <si>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</si>
  <si>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</si>
  <si>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</si>
  <si>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</si>
  <si>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</si>
  <si>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</si>
  <si>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</si>
  <si>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</si>
  <si>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</si>
  <si>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</si>
  <si>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</si>
  <si>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</si>
  <si>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六</t>
  </si>
  <si>
    <t>未来第一年年总收益租金÷天数÷面积指标÷出租率</t>
  </si>
  <si>
    <t>天数（天）</t>
  </si>
  <si>
    <t>出租率（%）</t>
  </si>
  <si>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</si>
  <si>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</si>
  <si>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</si>
  <si>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</si>
  <si>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</si>
  <si>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</si>
  <si>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</si>
  <si>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</si>
  <si>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</si>
  <si>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</si>
  <si>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</si>
  <si>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</si>
  <si>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</si>
  <si>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</si>
  <si>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</si>
  <si>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</si>
  <si>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</si>
  <si>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</si>
  <si>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</si>
  <si>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</si>
  <si>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</si>
  <si>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</si>
  <si>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</si>
  <si>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</si>
  <si>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1层</t>
    <phoneticPr fontId="134" type="noConversion"/>
  </si>
  <si>
    <t>2层</t>
    <phoneticPr fontId="134" type="noConversion"/>
  </si>
  <si>
    <t>3层</t>
    <phoneticPr fontId="134" type="noConversion"/>
  </si>
  <si>
    <t>合计</t>
    <phoneticPr fontId="134" type="noConversion"/>
  </si>
  <si>
    <t>系数</t>
    <phoneticPr fontId="134" type="noConversion"/>
  </si>
  <si>
    <t>案例</t>
    <phoneticPr fontId="134" type="noConversion"/>
  </si>
  <si>
    <t>楼层</t>
    <phoneticPr fontId="134" type="noConversion"/>
  </si>
  <si>
    <t>1层</t>
    <phoneticPr fontId="134" type="noConversion"/>
  </si>
  <si>
    <t>租金</t>
    <phoneticPr fontId="134" type="noConversion"/>
  </si>
  <si>
    <t>小区路146号</t>
    <phoneticPr fontId="134" type="noConversion"/>
  </si>
  <si>
    <t>周边以配套商业为主</t>
    <phoneticPr fontId="24" type="noConversion"/>
  </si>
  <si>
    <r>
      <rPr>
        <sz val="10"/>
        <color theme="9" tint="-0.249977111117893"/>
        <rFont val="宋体"/>
        <family val="3"/>
        <charset val="134"/>
      </rPr>
      <t>周边有</t>
    </r>
    <r>
      <rPr>
        <sz val="10"/>
        <color theme="9" tint="-0.249977111117893"/>
        <rFont val="Arial"/>
        <family val="2"/>
      </rPr>
      <t>359</t>
    </r>
    <r>
      <rPr>
        <sz val="10"/>
        <color theme="9" tint="-0.249977111117893"/>
        <rFont val="宋体"/>
        <family val="3"/>
        <charset val="134"/>
      </rPr>
      <t>、空港</t>
    </r>
    <r>
      <rPr>
        <sz val="10"/>
        <color theme="9" tint="-0.249977111117893"/>
        <rFont val="Arial"/>
        <family val="2"/>
      </rPr>
      <t>1</t>
    </r>
    <r>
      <rPr>
        <sz val="10"/>
        <color theme="9" tint="-0.249977111117893"/>
        <rFont val="宋体"/>
        <family val="3"/>
        <charset val="134"/>
      </rPr>
      <t>、</t>
    </r>
    <r>
      <rPr>
        <sz val="10"/>
        <color theme="9" tint="-0.249977111117893"/>
        <rFont val="Arial"/>
        <family val="2"/>
      </rPr>
      <t>3</t>
    </r>
    <r>
      <rPr>
        <sz val="10"/>
        <color theme="9" tint="-0.249977111117893"/>
        <rFont val="宋体"/>
        <family val="3"/>
        <charset val="134"/>
      </rPr>
      <t>路等，周边道路密集一般，停车便捷程度一般，综合评价交通便捷度较差</t>
    </r>
    <phoneticPr fontId="24" type="noConversion"/>
  </si>
  <si>
    <t>估价对象所在区域银行、购物场所、学校等公共配套设施齐备，综合评价公共配套设施水平一般。</t>
    <phoneticPr fontId="24" type="noConversion"/>
  </si>
  <si>
    <t>城市支路</t>
    <phoneticPr fontId="24" type="noConversion"/>
  </si>
  <si>
    <t>单面临街</t>
    <phoneticPr fontId="3" type="noConversion"/>
  </si>
  <si>
    <t>一般</t>
  </si>
  <si>
    <t>较差</t>
  </si>
  <si>
    <t>差</t>
  </si>
  <si>
    <t>配套商业</t>
    <phoneticPr fontId="3" type="noConversion"/>
  </si>
  <si>
    <t>独立商业</t>
    <phoneticPr fontId="30"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</si>
  <si>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</si>
  <si>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</si>
  <si>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</si>
  <si>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</si>
  <si>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</si>
  <si>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六通</t>
    <phoneticPr fontId="3" type="noConversion"/>
  </si>
  <si>
    <t>标准</t>
  </si>
  <si>
    <t>标准</t>
    <phoneticPr fontId="30" type="noConversion"/>
  </si>
  <si>
    <t>可餐饮</t>
  </si>
  <si>
    <t>可餐饮</t>
    <phoneticPr fontId="30" type="noConversion"/>
  </si>
  <si>
    <t>西平街甲9号</t>
    <phoneticPr fontId="134" type="noConversion"/>
  </si>
  <si>
    <t>机场附近万家one超市</t>
    <phoneticPr fontId="134" type="noConversion"/>
  </si>
  <si>
    <t>商业</t>
    <phoneticPr fontId="30" type="noConversion"/>
  </si>
  <si>
    <t>单面临街</t>
  </si>
  <si>
    <t>差</t>
    <phoneticPr fontId="30" type="noConversion"/>
  </si>
  <si>
    <t>较好</t>
    <phoneticPr fontId="30" type="noConversion"/>
  </si>
  <si>
    <t>1-3</t>
  </si>
  <si>
    <t>1-3</t>
    <phoneticPr fontId="30" type="noConversion"/>
  </si>
  <si>
    <t>配套商业</t>
  </si>
  <si>
    <t>六通</t>
  </si>
  <si>
    <t>简装</t>
  </si>
  <si>
    <t>普装</t>
  </si>
  <si>
    <t>1-3层</t>
    <phoneticPr fontId="134" type="noConversion"/>
  </si>
  <si>
    <t>建筑面积</t>
    <phoneticPr fontId="134" type="noConversion"/>
  </si>
  <si>
    <t>市场租金（元/建筑㎡·天）</t>
  </si>
  <si>
    <r>
      <t>房地产价值×(Y-g)/{1-[(1+g)/(1+Y)]</t>
    </r>
    <r>
      <rPr>
        <vertAlign val="superscript"/>
        <sz val="10"/>
        <color theme="1"/>
        <rFont val="仿宋_GB2312"/>
        <charset val="134"/>
      </rPr>
      <t xml:space="preserve"> n</t>
    </r>
    <r>
      <rPr>
        <sz val="10"/>
        <color theme="1"/>
        <rFont val="仿宋_GB2312"/>
        <charset val="134"/>
      </rPr>
      <t xml:space="preserve"> }</t>
    </r>
  </si>
  <si>
    <r>
      <rPr>
        <sz val="10"/>
        <color theme="1"/>
        <rFont val="宋体"/>
        <family val="3"/>
        <charset val="134"/>
      </rPr>
      <t>0.2%-0.3%</t>
    </r>
  </si>
  <si>
    <r>
      <t>估价对象</t>
    </r>
    <r>
      <rPr>
        <b/>
        <sz val="9"/>
        <color theme="1"/>
        <rFont val="宋体"/>
        <family val="3"/>
        <charset val="134"/>
      </rPr>
      <t>1层商业用房结果一览表</t>
    </r>
  </si>
  <si>
    <t>自定义</t>
  </si>
  <si>
    <t>租金比较法</t>
    <phoneticPr fontId="134" type="noConversion"/>
  </si>
  <si>
    <t>收益法</t>
    <phoneticPr fontId="134" type="noConversion"/>
  </si>
  <si>
    <t>顺义.万科天竺悦城</t>
    <phoneticPr fontId="134" type="noConversion"/>
  </si>
  <si>
    <t>项目</t>
    <phoneticPr fontId="134" type="noConversion"/>
  </si>
  <si>
    <t>1层商业售价</t>
    <phoneticPr fontId="134" type="noConversion"/>
  </si>
  <si>
    <t>1层商业租金</t>
    <phoneticPr fontId="134" type="noConversion"/>
  </si>
  <si>
    <t>资本化率</t>
    <phoneticPr fontId="134" type="noConversion"/>
  </si>
  <si>
    <t>顺义.住总正华新国展满庭芳</t>
    <phoneticPr fontId="134" type="noConversion"/>
  </si>
  <si>
    <r>
      <rPr>
        <sz val="11"/>
        <color theme="9" tint="-0.249977111117893"/>
        <rFont val="宋体"/>
        <family val="3"/>
        <charset val="134"/>
      </rPr>
      <t>中国铁建</t>
    </r>
    <r>
      <rPr>
        <sz val="11"/>
        <color theme="9" tint="-0.249977111117893"/>
        <rFont val="Arial"/>
        <family val="2"/>
      </rPr>
      <t>·</t>
    </r>
    <r>
      <rPr>
        <sz val="11"/>
        <color theme="9" tint="-0.249977111117893"/>
        <rFont val="宋体"/>
        <family val="3"/>
        <charset val="134"/>
      </rPr>
      <t>顺新嘉苑</t>
    </r>
    <phoneticPr fontId="134" type="noConversion"/>
  </si>
  <si>
    <t>中国铁建·顺新嘉苑</t>
    <phoneticPr fontId="134" type="noConversion"/>
  </si>
  <si>
    <t>售价</t>
    <phoneticPr fontId="134" type="noConversion"/>
  </si>
  <si>
    <t>ID-PARK艾迪公园</t>
    <phoneticPr fontId="134" type="noConversion"/>
  </si>
  <si>
    <t>航城广场</t>
    <phoneticPr fontId="134" type="noConversion"/>
  </si>
  <si>
    <t>毛坯</t>
  </si>
  <si>
    <r>
      <t>估价对象</t>
    </r>
    <r>
      <rPr>
        <b/>
        <sz val="9"/>
        <color indexed="10"/>
        <rFont val="宋体"/>
        <family val="3"/>
        <charset val="134"/>
      </rPr>
      <t>1至3层商业用房</t>
    </r>
    <r>
      <rPr>
        <b/>
        <sz val="9"/>
        <rFont val="宋体"/>
        <family val="3"/>
        <charset val="134"/>
      </rPr>
      <t>结果一览表</t>
    </r>
    <phoneticPr fontId="134" type="noConversion"/>
  </si>
  <si>
    <t>售价比较法-中指</t>
    <phoneticPr fontId="134" type="noConversion"/>
  </si>
  <si>
    <t>艾迪城商铺</t>
    <phoneticPr fontId="134" type="noConversion"/>
  </si>
  <si>
    <t>金地中央世家</t>
    <phoneticPr fontId="134" type="noConversion"/>
  </si>
  <si>
    <t>万科城市花园</t>
    <phoneticPr fontId="134" type="noConversion"/>
  </si>
  <si>
    <t>绿地启航国际南区</t>
    <phoneticPr fontId="134" type="noConversion"/>
  </si>
  <si>
    <t>金地中央世家</t>
    <phoneticPr fontId="134" type="noConversion"/>
  </si>
  <si>
    <t>中粮祥云国际</t>
    <phoneticPr fontId="134" type="noConversion"/>
  </si>
  <si>
    <t>万科城市花园</t>
    <phoneticPr fontId="134" type="noConversion"/>
  </si>
  <si>
    <t>江山赋</t>
    <phoneticPr fontId="134" type="noConversion"/>
  </si>
  <si>
    <t>智地香蜜湾</t>
    <phoneticPr fontId="134" type="noConversion"/>
  </si>
  <si>
    <t>绿地启航国际北区</t>
    <phoneticPr fontId="134" type="noConversion"/>
  </si>
  <si>
    <t>东亚创展国际</t>
    <phoneticPr fontId="134" type="noConversion"/>
  </si>
  <si>
    <t>国门智慧城</t>
    <phoneticPr fontId="134" type="noConversion"/>
  </si>
  <si>
    <t>区域内有国航大学、天竺公园等自然及人文环境，综合评价自然及人文环境状况一般。</t>
    <phoneticPr fontId="24" type="noConversion"/>
  </si>
  <si>
    <t>临路情况</t>
    <phoneticPr fontId="30" type="noConversion"/>
  </si>
  <si>
    <t>内部道路</t>
    <phoneticPr fontId="30" type="noConversion"/>
  </si>
  <si>
    <t>市政道路</t>
    <phoneticPr fontId="30" type="noConversion"/>
  </si>
  <si>
    <t>内部道路</t>
    <phoneticPr fontId="30" type="noConversion"/>
  </si>
  <si>
    <t>区域产业发展方向</t>
    <phoneticPr fontId="30" type="noConversion"/>
  </si>
  <si>
    <t>机场相关产业</t>
    <phoneticPr fontId="30" type="noConversion"/>
  </si>
  <si>
    <t>较少限制</t>
    <phoneticPr fontId="30" type="noConversion"/>
  </si>
  <si>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</si>
  <si>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r>
      <rPr>
        <sz val="10"/>
        <color indexed="8"/>
        <rFont val="宋体"/>
        <family val="3"/>
        <charset val="134"/>
      </rPr>
      <t>0.2%-0.3%</t>
    </r>
  </si>
  <si>
    <r>
      <rPr>
        <sz val="10"/>
        <color theme="1"/>
        <rFont val="仿宋_GB2312"/>
        <charset val="134"/>
      </rPr>
      <t>市场租金（元/</t>
    </r>
    <r>
      <rPr>
        <sz val="10"/>
        <color indexed="10"/>
        <rFont val="仿宋_GB2312"/>
        <charset val="134"/>
      </rPr>
      <t>建筑</t>
    </r>
    <r>
      <rPr>
        <sz val="10"/>
        <color indexed="8"/>
        <rFont val="仿宋_GB2312"/>
        <charset val="134"/>
      </rPr>
      <t>㎡·天）</t>
    </r>
  </si>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</sst>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仿宋_GB2312"/>
      <charset val="134"/>
    </font>
    <font>
      <b/>
      <sz val="10"/>
      <color theme="1"/>
      <name val="仿宋_GB2312"/>
      <charset val="134"/>
    </font>
    <font>
      <sz val="10"/>
      <color theme="1"/>
      <name val="宋体"/>
      <family val="3"/>
      <charset val="134"/>
      <scheme val="major"/>
    </font>
    <font>
      <sz val="11"/>
      <color theme="1"/>
      <name val="Arial Unicode MS"/>
      <family val="2"/>
      <charset val="134"/>
    </font>
    <font>
      <vertAlign val="superscript"/>
      <sz val="10"/>
      <color theme="1"/>
      <name val="仿宋_GB2312"/>
      <charset val="134"/>
    </font>
    <font>
      <b/>
      <sz val="10"/>
      <color theme="1"/>
      <name val="宋体"/>
      <family val="3"/>
      <charset val="134"/>
      <scheme val="major"/>
    </font>
    <font>
      <b/>
      <sz val="9"/>
      <color theme="1"/>
      <name val="宋体"/>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charset val="134"/>
    </font>
    <font>
      <sz val="10"/>
      <color indexed="8"/>
      <name val="仿宋_GB2312"/>
      <charset val="134"/>
    </font>
    <font>
      <sz val="10"/>
      <color rgb="FFFF0000"/>
      <name val="仿宋_GB2312"/>
      <charset val="134"/>
    </font>
    <font>
      <b/>
      <sz val="10"/>
      <name val="宋体"/>
      <family val="3"/>
      <charset val="134"/>
      <scheme val="major"/>
    </font>
    <font>
      <sz val="10"/>
      <name val="宋体"/>
      <family val="3"/>
      <charset val="134"/>
      <scheme val="major"/>
    </font>
    <font>
      <sz val="10"/>
      <color indexed="10"/>
      <name val="仿宋_GB2312"/>
      <charset val="134"/>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82299264503923"/>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82909634693444"/>
        <bgColor indexed="64"/>
      </patternFill>
    </fill>
    <fill>
      <patternFill patternType="solid">
        <fgColor indexed="51"/>
        <bgColor indexed="64"/>
      </patternFill>
    </fill>
    <fill>
      <patternFill patternType="solid">
        <fgColor theme="5"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0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77" fillId="0" borderId="24" xfId="0" applyFont="1" applyBorder="1" applyAlignment="1" applyProtection="1">
      <alignment vertical="center"/>
      <protection locked="0"/>
    </xf>
    <xf numFmtId="0" fontId="77" fillId="7" borderId="54" xfId="0" applyFont="1" applyFill="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pplyFont="1" applyBorder="1" applyAlignment="1">
      <alignment vertical="center"/>
    </xf>
    <xf numFmtId="0" fontId="95" fillId="0" borderId="0" xfId="10" applyFont="1" applyAlignment="1">
      <alignment vertical="center" wrapText="1"/>
    </xf>
    <xf numFmtId="49" fontId="270" fillId="0" borderId="1" xfId="10" applyNumberFormat="1" applyFont="1" applyFill="1" applyBorder="1" applyAlignment="1">
      <alignment horizontal="center" vertical="center" wrapText="1" shrinkToFit="1"/>
    </xf>
    <xf numFmtId="0" fontId="270" fillId="0" borderId="1" xfId="10" applyFont="1" applyFill="1" applyBorder="1" applyAlignment="1">
      <alignment vertical="center" wrapText="1" shrinkToFit="1"/>
    </xf>
    <xf numFmtId="0" fontId="270" fillId="0" borderId="1" xfId="10" applyFont="1" applyFill="1" applyBorder="1" applyAlignment="1">
      <alignment horizontal="center" vertical="center" wrapText="1" shrinkToFit="1"/>
    </xf>
    <xf numFmtId="0" fontId="107" fillId="0" borderId="0" xfId="10" applyFont="1" applyAlignment="1">
      <alignment wrapText="1"/>
    </xf>
    <xf numFmtId="0" fontId="270" fillId="0" borderId="1" xfId="10" applyFont="1" applyBorder="1" applyAlignment="1">
      <alignment horizontal="center" vertical="center" wrapText="1" shrinkToFit="1"/>
    </xf>
    <xf numFmtId="0" fontId="270" fillId="0" borderId="1" xfId="10" applyFont="1" applyFill="1" applyBorder="1" applyAlignment="1">
      <alignment horizontal="left" vertical="center" wrapText="1" shrinkToFit="1"/>
    </xf>
    <xf numFmtId="0" fontId="270" fillId="0" borderId="1" xfId="10" applyFont="1" applyBorder="1" applyAlignment="1">
      <alignment horizontal="left" vertical="center" wrapText="1" shrinkToFit="1"/>
    </xf>
    <xf numFmtId="179" fontId="270" fillId="23" borderId="1" xfId="10" applyNumberFormat="1" applyFont="1" applyFill="1" applyBorder="1" applyAlignment="1">
      <alignment horizontal="center" vertical="center" wrapText="1" shrinkToFit="1"/>
    </xf>
    <xf numFmtId="0" fontId="107" fillId="0" borderId="0" xfId="10" applyFont="1" applyFill="1" applyAlignment="1">
      <alignment wrapText="1"/>
    </xf>
    <xf numFmtId="9" fontId="270" fillId="0" borderId="1" xfId="10" applyNumberFormat="1" applyFont="1" applyFill="1" applyBorder="1" applyAlignment="1">
      <alignment horizontal="left" vertical="center" wrapText="1" shrinkToFit="1"/>
    </xf>
    <xf numFmtId="0" fontId="270" fillId="0" borderId="0" xfId="10" applyFont="1" applyFill="1" applyBorder="1" applyAlignment="1">
      <alignment horizontal="center" vertical="center"/>
    </xf>
    <xf numFmtId="0" fontId="95" fillId="0" borderId="0" xfId="10" applyFont="1" applyAlignment="1">
      <alignment vertical="center" wrapText="1" shrinkToFit="1"/>
    </xf>
    <xf numFmtId="179" fontId="27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pplyAlignment="1">
      <alignment vertical="center"/>
    </xf>
    <xf numFmtId="10" fontId="107" fillId="0" borderId="1" xfId="10" applyNumberFormat="1" applyFont="1" applyBorder="1" applyAlignment="1">
      <alignment horizontal="center" vertical="center" wrapText="1"/>
    </xf>
    <xf numFmtId="9" fontId="107" fillId="24"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95" fillId="0" borderId="0" xfId="10" applyFont="1" applyAlignment="1">
      <alignment vertical="center"/>
    </xf>
    <xf numFmtId="0" fontId="122" fillId="0" borderId="0" xfId="1" applyFont="1" applyFill="1" applyBorder="1" applyAlignment="1" applyProtection="1">
      <alignment horizontal="left" vertical="center"/>
      <protection hidden="1"/>
    </xf>
    <xf numFmtId="179" fontId="246" fillId="0" borderId="0" xfId="10" applyNumberFormat="1" applyFont="1" applyAlignment="1">
      <alignment vertical="center" wrapText="1" shrinkToFit="1"/>
    </xf>
    <xf numFmtId="181" fontId="270" fillId="0" borderId="0" xfId="10" applyNumberFormat="1" applyFont="1" applyFill="1" applyBorder="1" applyAlignment="1">
      <alignment horizontal="center" vertical="center"/>
    </xf>
    <xf numFmtId="179" fontId="95" fillId="0" borderId="0" xfId="10" applyNumberFormat="1" applyFont="1" applyAlignment="1">
      <alignment vertical="center"/>
    </xf>
    <xf numFmtId="49" fontId="270" fillId="0" borderId="13" xfId="10" applyNumberFormat="1" applyFont="1" applyFill="1" applyBorder="1" applyAlignment="1">
      <alignment horizontal="center" vertical="center" wrapText="1" shrinkToFit="1"/>
    </xf>
    <xf numFmtId="0" fontId="270" fillId="0" borderId="13" xfId="10" applyFont="1" applyFill="1" applyBorder="1" applyAlignment="1">
      <alignment vertical="center" wrapText="1" shrinkToFit="1"/>
    </xf>
    <xf numFmtId="0" fontId="270" fillId="0" borderId="5" xfId="10" applyFont="1" applyFill="1" applyBorder="1" applyAlignment="1">
      <alignment horizontal="center" vertical="center" wrapText="1" shrinkToFit="1"/>
    </xf>
    <xf numFmtId="0" fontId="270" fillId="0" borderId="54" xfId="10" applyFont="1" applyFill="1" applyBorder="1" applyAlignment="1">
      <alignment horizontal="center" vertical="center" wrapText="1" shrinkToFit="1"/>
    </xf>
    <xf numFmtId="180" fontId="270" fillId="0" borderId="54" xfId="10" applyNumberFormat="1" applyFont="1" applyFill="1" applyBorder="1" applyAlignment="1">
      <alignment horizontal="center" vertical="center" wrapText="1" shrinkToFit="1"/>
    </xf>
    <xf numFmtId="0" fontId="270" fillId="0" borderId="3" xfId="10" applyFont="1" applyFill="1" applyBorder="1" applyAlignment="1">
      <alignment horizontal="left" vertical="center" wrapText="1" shrinkToFit="1"/>
    </xf>
    <xf numFmtId="10" fontId="270" fillId="9" borderId="1" xfId="10" applyNumberFormat="1" applyFont="1" applyFill="1" applyBorder="1" applyAlignment="1">
      <alignment horizontal="center" vertical="center" wrapText="1" shrinkToFit="1"/>
    </xf>
    <xf numFmtId="9" fontId="270" fillId="0" borderId="0" xfId="10" applyNumberFormat="1" applyFont="1" applyFill="1" applyBorder="1" applyAlignment="1">
      <alignment horizontal="center" vertical="center"/>
    </xf>
    <xf numFmtId="0" fontId="270" fillId="0" borderId="5" xfId="10" applyFont="1" applyFill="1" applyBorder="1" applyAlignment="1">
      <alignment horizontal="right" vertical="center" wrapText="1" shrinkToFit="1"/>
    </xf>
    <xf numFmtId="49" fontId="270" fillId="0" borderId="54" xfId="10" applyNumberFormat="1" applyFont="1" applyFill="1" applyBorder="1" applyAlignment="1">
      <alignment horizontal="center" vertical="center" wrapText="1" shrinkToFit="1"/>
    </xf>
    <xf numFmtId="10" fontId="271" fillId="0" borderId="0" xfId="10" applyNumberFormat="1" applyFont="1" applyFill="1" applyBorder="1" applyAlignment="1">
      <alignment horizontal="center" vertical="center"/>
    </xf>
    <xf numFmtId="0" fontId="272" fillId="0" borderId="0" xfId="10" applyFont="1" applyFill="1" applyAlignment="1">
      <alignment vertical="center"/>
    </xf>
    <xf numFmtId="182" fontId="270" fillId="0" borderId="0" xfId="10" applyNumberFormat="1" applyFont="1" applyFill="1" applyBorder="1" applyAlignment="1">
      <alignment horizontal="center" vertical="center"/>
    </xf>
    <xf numFmtId="10" fontId="270" fillId="0" borderId="0" xfId="10" applyNumberFormat="1" applyFont="1" applyFill="1" applyBorder="1" applyAlignment="1">
      <alignment horizontal="center" vertical="center"/>
    </xf>
    <xf numFmtId="0" fontId="270" fillId="0" borderId="0" xfId="10" applyFont="1" applyBorder="1" applyAlignment="1">
      <alignment horizontal="center" vertical="center"/>
    </xf>
    <xf numFmtId="9" fontId="270" fillId="0" borderId="1" xfId="10" applyNumberFormat="1" applyFont="1" applyFill="1" applyBorder="1" applyAlignment="1">
      <alignment horizontal="center" vertical="center" wrapText="1" shrinkToFit="1"/>
    </xf>
    <xf numFmtId="0" fontId="246" fillId="0" borderId="0" xfId="10" applyFont="1" applyAlignment="1">
      <alignment horizontal="center" vertical="center" wrapText="1"/>
    </xf>
    <xf numFmtId="0" fontId="246" fillId="0" borderId="0" xfId="10" applyFont="1" applyAlignment="1">
      <alignment vertical="center" wrapText="1"/>
    </xf>
    <xf numFmtId="0" fontId="246" fillId="5" borderId="0" xfId="10" applyFont="1" applyFill="1" applyAlignment="1">
      <alignment vertical="center" wrapText="1"/>
    </xf>
    <xf numFmtId="178" fontId="95" fillId="5" borderId="0" xfId="10" applyNumberFormat="1" applyFont="1" applyFill="1" applyAlignment="1">
      <alignment vertical="center" wrapText="1"/>
    </xf>
    <xf numFmtId="0" fontId="95" fillId="5" borderId="0" xfId="10" applyFont="1" applyFill="1" applyAlignment="1">
      <alignment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Fill="1" applyAlignment="1">
      <alignment vertical="center" wrapText="1"/>
    </xf>
    <xf numFmtId="0" fontId="246" fillId="0" borderId="0" xfId="10" applyFont="1" applyFill="1" applyAlignment="1">
      <alignment vertical="center" wrapText="1"/>
    </xf>
    <xf numFmtId="0" fontId="95" fillId="0" borderId="1" xfId="10" applyFont="1" applyBorder="1" applyAlignment="1">
      <alignment horizontal="center" vertical="center"/>
    </xf>
    <xf numFmtId="0" fontId="95" fillId="0" borderId="1" xfId="10" applyFont="1" applyBorder="1" applyAlignment="1">
      <alignment horizontal="center" vertical="center" wrapText="1"/>
    </xf>
    <xf numFmtId="10" fontId="95" fillId="0" borderId="1" xfId="10" applyNumberFormat="1" applyFont="1" applyBorder="1" applyAlignment="1">
      <alignment horizontal="center" vertical="center" wrapText="1"/>
    </xf>
    <xf numFmtId="0" fontId="95" fillId="0" borderId="0" xfId="10" applyFont="1" applyAlignment="1">
      <alignment horizontal="left" vertical="center" wrapText="1"/>
    </xf>
    <xf numFmtId="0" fontId="95" fillId="0" borderId="0" xfId="10" applyFont="1" applyFill="1" applyAlignment="1">
      <alignment vertical="center" wrapText="1"/>
    </xf>
    <xf numFmtId="0" fontId="95" fillId="0" borderId="0" xfId="10" applyFont="1" applyAlignment="1">
      <alignment horizontal="center" vertical="center" wrapText="1"/>
    </xf>
    <xf numFmtId="0" fontId="273" fillId="0" borderId="0" xfId="0" applyFont="1">
      <alignment vertical="center"/>
    </xf>
    <xf numFmtId="0" fontId="273" fillId="0" borderId="1" xfId="0" applyFont="1" applyBorder="1">
      <alignment vertical="center"/>
    </xf>
    <xf numFmtId="2" fontId="273" fillId="0" borderId="1" xfId="0" applyNumberFormat="1" applyFont="1" applyBorder="1">
      <alignment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2" fontId="70" fillId="3" borderId="20" xfId="0" applyNumberFormat="1" applyFont="1" applyFill="1" applyBorder="1" applyAlignment="1" applyProtection="1">
      <alignment vertical="center" wrapText="1"/>
      <protection locked="0"/>
    </xf>
    <xf numFmtId="0" fontId="107" fillId="0" borderId="1" xfId="10" applyNumberFormat="1" applyFont="1" applyBorder="1" applyAlignment="1">
      <alignment horizontal="left" vertical="center" wrapText="1" shrinkToFit="1"/>
    </xf>
    <xf numFmtId="9" fontId="107" fillId="0" borderId="1" xfId="10" applyNumberFormat="1" applyFont="1" applyBorder="1" applyAlignment="1">
      <alignment horizontal="center" vertical="center" wrapText="1" shrinkToFit="1"/>
    </xf>
    <xf numFmtId="0" fontId="95" fillId="0" borderId="0" xfId="10" applyFont="1" applyAlignment="1"/>
    <xf numFmtId="49" fontId="107" fillId="0" borderId="1" xfId="10" applyNumberFormat="1" applyFont="1" applyBorder="1" applyAlignment="1">
      <alignment horizontal="center" vertical="center" wrapText="1" shrinkToFit="1"/>
    </xf>
    <xf numFmtId="181" fontId="270" fillId="0" borderId="1" xfId="10" applyNumberFormat="1" applyFont="1" applyFill="1" applyBorder="1" applyAlignment="1">
      <alignment horizontal="center" vertical="center" wrapText="1" shrinkToFit="1"/>
    </xf>
    <xf numFmtId="9" fontId="275" fillId="0" borderId="1" xfId="10" applyNumberFormat="1" applyFont="1" applyFill="1" applyBorder="1" applyAlignment="1">
      <alignment horizontal="center" vertical="center" wrapText="1"/>
    </xf>
    <xf numFmtId="179" fontId="270" fillId="5" borderId="1" xfId="10" applyNumberFormat="1" applyFont="1" applyFill="1" applyBorder="1" applyAlignment="1">
      <alignment horizontal="center" vertical="center" wrapText="1" shrinkToFit="1"/>
    </xf>
    <xf numFmtId="9" fontId="272" fillId="24" borderId="1" xfId="10" applyNumberFormat="1" applyFont="1" applyFill="1" applyBorder="1" applyAlignment="1">
      <alignment horizontal="center" vertical="center" wrapText="1"/>
    </xf>
    <xf numFmtId="9" fontId="107" fillId="0" borderId="1" xfId="10" applyNumberFormat="1" applyFont="1" applyFill="1" applyBorder="1" applyAlignment="1">
      <alignment horizontal="center" vertical="center" wrapText="1"/>
    </xf>
    <xf numFmtId="0" fontId="270" fillId="0" borderId="1" xfId="10" applyNumberFormat="1" applyFont="1" applyFill="1" applyBorder="1" applyAlignment="1">
      <alignment horizontal="center" vertical="center" wrapText="1" shrinkToFit="1"/>
    </xf>
    <xf numFmtId="0" fontId="246" fillId="0" borderId="1" xfId="10" applyFont="1" applyFill="1" applyBorder="1" applyAlignment="1">
      <alignment horizontal="center" vertical="center" wrapText="1"/>
    </xf>
    <xf numFmtId="9" fontId="246" fillId="0" borderId="1" xfId="10" applyNumberFormat="1" applyFont="1" applyFill="1" applyBorder="1" applyAlignment="1">
      <alignment horizontal="center" vertical="center" wrapText="1"/>
    </xf>
    <xf numFmtId="178" fontId="246" fillId="0" borderId="1" xfId="10" applyNumberFormat="1" applyFont="1" applyFill="1" applyBorder="1" applyAlignment="1">
      <alignment horizontal="center" vertical="center" wrapText="1"/>
    </xf>
    <xf numFmtId="0" fontId="246" fillId="0" borderId="0" xfId="10" applyFont="1" applyFill="1" applyAlignment="1">
      <alignment horizontal="center" vertical="center" wrapText="1"/>
    </xf>
    <xf numFmtId="0" fontId="95" fillId="7" borderId="1" xfId="10" applyFont="1" applyFill="1" applyBorder="1" applyAlignment="1">
      <alignment horizontal="center" vertical="center"/>
    </xf>
    <xf numFmtId="0" fontId="95" fillId="0" borderId="0" xfId="10" applyFont="1" applyAlignment="1">
      <alignment horizontal="center" vertical="center"/>
    </xf>
    <xf numFmtId="0" fontId="95" fillId="5" borderId="1" xfId="10" applyFont="1" applyFill="1" applyBorder="1" applyAlignment="1">
      <alignment horizontal="center" vertical="center"/>
    </xf>
    <xf numFmtId="0" fontId="95" fillId="27" borderId="1" xfId="10" applyFont="1" applyFill="1" applyBorder="1" applyAlignment="1">
      <alignment horizontal="center" vertical="center"/>
    </xf>
    <xf numFmtId="0" fontId="95" fillId="7" borderId="0" xfId="10" applyFont="1" applyFill="1" applyAlignment="1">
      <alignment horizontal="center" vertical="center"/>
    </xf>
    <xf numFmtId="0" fontId="95" fillId="5" borderId="0" xfId="10" applyFont="1" applyFill="1" applyAlignment="1">
      <alignment horizontal="center" vertical="center"/>
    </xf>
    <xf numFmtId="0" fontId="52" fillId="6" borderId="13" xfId="0" applyFont="1" applyFill="1" applyBorder="1" applyAlignment="1">
      <alignment horizontal="center" vertical="center"/>
    </xf>
    <xf numFmtId="0" fontId="52" fillId="6" borderId="32" xfId="0" applyFont="1" applyFill="1" applyBorder="1" applyAlignment="1">
      <alignment horizontal="center" vertical="center"/>
    </xf>
    <xf numFmtId="0" fontId="0" fillId="0" borderId="0" xfId="0" applyFont="1" applyAlignment="1">
      <alignment vertical="center" wrapText="1"/>
    </xf>
    <xf numFmtId="0" fontId="246" fillId="0" borderId="0" xfId="0" applyFont="1" applyAlignment="1">
      <alignment horizontal="center" vertical="center" wrapText="1"/>
    </xf>
    <xf numFmtId="0" fontId="246" fillId="0" borderId="0" xfId="0" applyFont="1" applyAlignment="1">
      <alignment vertical="center" wrapText="1"/>
    </xf>
    <xf numFmtId="0" fontId="0" fillId="0" borderId="0" xfId="0" applyFont="1" applyAlignment="1">
      <alignment vertical="center" wrapText="1" shrinkToFit="1"/>
    </xf>
    <xf numFmtId="0" fontId="134" fillId="0" borderId="1" xfId="0" applyFont="1" applyBorder="1" applyAlignment="1">
      <alignment horizontal="center" vertical="center" wrapText="1"/>
    </xf>
    <xf numFmtId="0" fontId="134" fillId="0" borderId="1" xfId="0" applyFont="1" applyFill="1" applyBorder="1" applyAlignment="1">
      <alignment horizontal="center" vertical="center" wrapText="1"/>
    </xf>
    <xf numFmtId="9" fontId="134" fillId="0" borderId="1" xfId="0" applyNumberFormat="1" applyFont="1" applyFill="1" applyBorder="1" applyAlignment="1">
      <alignment horizontal="center" vertical="center" wrapText="1"/>
    </xf>
    <xf numFmtId="178" fontId="134" fillId="0" borderId="1" xfId="0" applyNumberFormat="1" applyFont="1" applyFill="1" applyBorder="1" applyAlignment="1">
      <alignment horizontal="center" vertical="center" wrapText="1"/>
    </xf>
    <xf numFmtId="0" fontId="280" fillId="0" borderId="0" xfId="0" applyFont="1" applyFill="1" applyAlignment="1">
      <alignment horizontal="center" vertical="center" wrapText="1"/>
    </xf>
    <xf numFmtId="0" fontId="246" fillId="0" borderId="1" xfId="0" applyFont="1" applyBorder="1" applyAlignment="1">
      <alignment horizontal="center" vertical="center" wrapText="1"/>
    </xf>
    <xf numFmtId="0" fontId="0" fillId="0" borderId="0" xfId="0" applyFont="1" applyBorder="1" applyAlignment="1">
      <alignment vertical="center"/>
    </xf>
    <xf numFmtId="0" fontId="246" fillId="0" borderId="0" xfId="0" applyFont="1" applyAlignment="1">
      <alignment horizontal="left" vertical="center" wrapText="1"/>
    </xf>
    <xf numFmtId="179" fontId="246" fillId="0" borderId="0" xfId="0" applyNumberFormat="1" applyFont="1" applyFill="1" applyAlignment="1">
      <alignment vertical="center" wrapText="1"/>
    </xf>
    <xf numFmtId="0" fontId="246"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0" fontId="273" fillId="0" borderId="1" xfId="17" applyNumberFormat="1" applyFont="1" applyBorder="1">
      <alignment vertical="center"/>
    </xf>
    <xf numFmtId="0" fontId="273" fillId="0" borderId="0" xfId="0" applyFont="1" applyBorder="1">
      <alignment vertical="center"/>
    </xf>
    <xf numFmtId="2" fontId="273" fillId="0" borderId="0" xfId="0" applyNumberFormat="1" applyFont="1" applyBorder="1">
      <alignment vertical="center"/>
    </xf>
    <xf numFmtId="0" fontId="273" fillId="0" borderId="1" xfId="0" applyFont="1" applyBorder="1" applyAlignment="1">
      <alignment vertical="center" wrapText="1"/>
    </xf>
    <xf numFmtId="1" fontId="70" fillId="3" borderId="20" xfId="0" applyNumberFormat="1" applyFont="1" applyFill="1" applyBorder="1" applyAlignment="1" applyProtection="1">
      <alignment vertical="center" wrapText="1"/>
      <protection locked="0"/>
    </xf>
    <xf numFmtId="10" fontId="273" fillId="0" borderId="0" xfId="17" applyNumberFormat="1" applyFont="1" applyBorder="1">
      <alignment vertical="center"/>
    </xf>
    <xf numFmtId="0" fontId="95" fillId="0" borderId="1" xfId="10" applyFont="1" applyBorder="1" applyAlignment="1">
      <alignment horizontal="center" vertical="center" wrapText="1"/>
    </xf>
    <xf numFmtId="0" fontId="270" fillId="0" borderId="5" xfId="10" applyFont="1" applyFill="1" applyBorder="1" applyAlignment="1">
      <alignment horizontal="center" vertical="center" wrapText="1" shrinkToFit="1"/>
    </xf>
    <xf numFmtId="0" fontId="270" fillId="0" borderId="54" xfId="10" applyFont="1" applyFill="1" applyBorder="1" applyAlignment="1">
      <alignment horizontal="center" vertical="center" wrapText="1" shrinkToFit="1"/>
    </xf>
    <xf numFmtId="0" fontId="270" fillId="0" borderId="1" xfId="10" applyFont="1" applyFill="1" applyBorder="1" applyAlignment="1">
      <alignment horizontal="center" vertical="center" wrapText="1" shrinkToFit="1"/>
    </xf>
    <xf numFmtId="0" fontId="270" fillId="0" borderId="1" xfId="10" applyFont="1" applyBorder="1" applyAlignment="1">
      <alignment horizontal="center" vertical="center" wrapText="1" shrinkToFit="1"/>
    </xf>
    <xf numFmtId="0" fontId="270" fillId="0" borderId="1" xfId="10" applyFont="1" applyFill="1" applyBorder="1" applyAlignment="1">
      <alignment horizontal="left" vertical="center" wrapText="1" shrinkToFit="1"/>
    </xf>
    <xf numFmtId="0" fontId="270" fillId="0" borderId="3" xfId="10" applyFont="1" applyFill="1" applyBorder="1" applyAlignment="1">
      <alignment horizontal="left" vertical="center" wrapText="1" shrinkToFit="1"/>
    </xf>
    <xf numFmtId="0" fontId="270" fillId="0" borderId="5" xfId="10" applyFont="1" applyFill="1" applyBorder="1" applyAlignment="1">
      <alignment horizontal="right" vertical="center" wrapText="1" shrinkToFit="1"/>
    </xf>
    <xf numFmtId="9" fontId="270" fillId="0" borderId="1" xfId="10" applyNumberFormat="1" applyFont="1" applyFill="1" applyBorder="1" applyAlignment="1">
      <alignment horizontal="center" vertical="center" wrapText="1" shrinkToFit="1"/>
    </xf>
    <xf numFmtId="0" fontId="246" fillId="0" borderId="1" xfId="10" applyFont="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178" fontId="134" fillId="0" borderId="1" xfId="0" applyNumberFormat="1" applyFont="1" applyFill="1" applyBorder="1" applyAlignment="1">
      <alignment horizontal="center" vertical="center" wrapText="1"/>
    </xf>
    <xf numFmtId="0" fontId="277" fillId="26" borderId="0" xfId="0" applyFont="1" applyFill="1" applyBorder="1" applyAlignment="1">
      <alignment horizontal="center" vertical="center" wrapText="1"/>
    </xf>
    <xf numFmtId="0" fontId="134" fillId="0" borderId="1" xfId="0" applyFont="1" applyFill="1" applyBorder="1" applyAlignment="1">
      <alignment horizontal="center" vertical="center" wrapText="1"/>
    </xf>
    <xf numFmtId="179" fontId="134" fillId="0" borderId="1" xfId="0" applyNumberFormat="1" applyFont="1" applyFill="1" applyBorder="1" applyAlignment="1">
      <alignment horizontal="center" vertical="center" wrapText="1"/>
    </xf>
    <xf numFmtId="0" fontId="134" fillId="0" borderId="1" xfId="0" applyFont="1" applyBorder="1" applyAlignment="1">
      <alignment horizontal="center" vertical="center" wrapText="1"/>
    </xf>
    <xf numFmtId="178" fontId="246" fillId="0" borderId="1" xfId="10" applyNumberFormat="1" applyFont="1" applyFill="1" applyBorder="1" applyAlignment="1">
      <alignment horizontal="center" vertical="center" wrapText="1"/>
    </xf>
    <xf numFmtId="0" fontId="95" fillId="27" borderId="1" xfId="10" applyFont="1" applyFill="1" applyBorder="1" applyAlignment="1">
      <alignment horizontal="center" vertical="center"/>
    </xf>
    <xf numFmtId="0" fontId="257" fillId="26" borderId="0" xfId="10" applyFont="1" applyFill="1" applyBorder="1" applyAlignment="1">
      <alignment horizontal="center" vertical="center" wrapText="1"/>
    </xf>
    <xf numFmtId="0" fontId="246" fillId="0" borderId="1" xfId="10" applyFont="1" applyFill="1" applyBorder="1" applyAlignment="1">
      <alignment horizontal="center" vertical="center" wrapText="1"/>
    </xf>
    <xf numFmtId="179" fontId="246" fillId="0" borderId="1" xfId="10" applyNumberFormat="1" applyFont="1" applyFill="1" applyBorder="1" applyAlignment="1">
      <alignment horizontal="center" vertical="center" wrapText="1"/>
    </xf>
    <xf numFmtId="0" fontId="246" fillId="0" borderId="1" xfId="10" applyFont="1" applyBorder="1" applyAlignment="1">
      <alignment horizontal="center" vertical="center" wrapText="1"/>
    </xf>
    <xf numFmtId="0" fontId="270" fillId="0" borderId="5" xfId="10" applyFont="1" applyFill="1" applyBorder="1" applyAlignment="1">
      <alignment horizontal="center" vertical="center" wrapText="1" shrinkToFit="1"/>
    </xf>
    <xf numFmtId="0" fontId="270" fillId="0" borderId="54" xfId="10" applyFont="1" applyFill="1" applyBorder="1" applyAlignment="1">
      <alignment horizontal="center" vertical="center" wrapText="1" shrinkToFit="1"/>
    </xf>
    <xf numFmtId="0" fontId="270" fillId="0" borderId="3" xfId="10" applyFont="1" applyFill="1" applyBorder="1" applyAlignment="1">
      <alignment horizontal="center" vertical="center" wrapText="1" shrinkToFit="1"/>
    </xf>
    <xf numFmtId="0" fontId="270" fillId="0" borderId="1" xfId="10" applyFont="1" applyBorder="1" applyAlignment="1">
      <alignment horizontal="center" vertical="center" wrapText="1" shrinkToFit="1"/>
    </xf>
    <xf numFmtId="0" fontId="270" fillId="0" borderId="1" xfId="10" applyFont="1" applyFill="1" applyBorder="1" applyAlignment="1">
      <alignment horizontal="left" vertical="center" wrapText="1" shrinkToFit="1"/>
    </xf>
    <xf numFmtId="179" fontId="270" fillId="25" borderId="46" xfId="10" applyNumberFormat="1" applyFont="1" applyFill="1" applyBorder="1" applyAlignment="1">
      <alignment horizontal="center" vertical="center" wrapText="1" shrinkToFit="1"/>
    </xf>
    <xf numFmtId="179" fontId="270" fillId="25" borderId="36" xfId="10" applyNumberFormat="1" applyFont="1" applyFill="1" applyBorder="1" applyAlignment="1">
      <alignment horizontal="center" vertical="center" wrapText="1" shrinkToFit="1"/>
    </xf>
    <xf numFmtId="179" fontId="270" fillId="25" borderId="22" xfId="10" applyNumberFormat="1" applyFont="1" applyFill="1" applyBorder="1" applyAlignment="1">
      <alignment horizontal="center" vertical="center" wrapText="1" shrinkToFit="1"/>
    </xf>
    <xf numFmtId="179" fontId="270" fillId="25" borderId="4" xfId="10" applyNumberFormat="1" applyFont="1" applyFill="1" applyBorder="1" applyAlignment="1">
      <alignment horizontal="center" vertical="center" wrapText="1" shrinkToFit="1"/>
    </xf>
    <xf numFmtId="179" fontId="270" fillId="25" borderId="60" xfId="10" applyNumberFormat="1" applyFont="1" applyFill="1" applyBorder="1" applyAlignment="1">
      <alignment horizontal="center" vertical="center" wrapText="1" shrinkToFit="1"/>
    </xf>
    <xf numFmtId="179" fontId="270" fillId="25" borderId="7" xfId="10" applyNumberFormat="1" applyFont="1" applyFill="1" applyBorder="1" applyAlignment="1">
      <alignment horizontal="center" vertical="center" wrapText="1" shrinkToFit="1"/>
    </xf>
    <xf numFmtId="0" fontId="270" fillId="0" borderId="1" xfId="10" applyFont="1" applyFill="1" applyBorder="1" applyAlignment="1">
      <alignment horizontal="center" vertical="center" wrapText="1" shrinkToFit="1"/>
    </xf>
    <xf numFmtId="10" fontId="270" fillId="0" borderId="1" xfId="10" applyNumberFormat="1" applyFont="1" applyFill="1" applyBorder="1" applyAlignment="1">
      <alignment horizontal="center" vertical="center" wrapText="1" shrinkToFit="1"/>
    </xf>
    <xf numFmtId="182" fontId="270" fillId="0" borderId="1" xfId="10" applyNumberFormat="1" applyFont="1" applyFill="1" applyBorder="1" applyAlignment="1">
      <alignment horizontal="center" vertical="center" wrapText="1" shrinkToFit="1"/>
    </xf>
    <xf numFmtId="0" fontId="270" fillId="0" borderId="5" xfId="10" applyFont="1" applyFill="1" applyBorder="1" applyAlignment="1">
      <alignment horizontal="right" vertical="center" wrapText="1" shrinkToFit="1"/>
    </xf>
    <xf numFmtId="0" fontId="270" fillId="0" borderId="54" xfId="10" applyFont="1" applyFill="1" applyBorder="1" applyAlignment="1">
      <alignment horizontal="right" vertical="center" wrapText="1" shrinkToFit="1"/>
    </xf>
    <xf numFmtId="10" fontId="270" fillId="0" borderId="54" xfId="10" applyNumberFormat="1" applyFont="1" applyFill="1" applyBorder="1" applyAlignment="1">
      <alignment horizontal="left" vertical="center" wrapText="1" shrinkToFit="1"/>
    </xf>
    <xf numFmtId="10" fontId="270" fillId="0" borderId="3" xfId="10" applyNumberFormat="1" applyFont="1" applyFill="1" applyBorder="1" applyAlignment="1">
      <alignment horizontal="left" vertical="center" wrapText="1" shrinkToFit="1"/>
    </xf>
    <xf numFmtId="10" fontId="270" fillId="7" borderId="54" xfId="10" applyNumberFormat="1" applyFont="1" applyFill="1" applyBorder="1" applyAlignment="1">
      <alignment horizontal="left" vertical="center" wrapText="1" shrinkToFit="1"/>
    </xf>
    <xf numFmtId="10" fontId="270" fillId="7" borderId="3" xfId="10" applyNumberFormat="1" applyFont="1" applyFill="1" applyBorder="1" applyAlignment="1">
      <alignment horizontal="left" vertical="center" wrapText="1" shrinkToFit="1"/>
    </xf>
    <xf numFmtId="10" fontId="270" fillId="0" borderId="5" xfId="10" applyNumberFormat="1" applyFont="1" applyFill="1" applyBorder="1" applyAlignment="1">
      <alignment horizontal="center" vertical="center" wrapText="1" shrinkToFit="1"/>
    </xf>
    <xf numFmtId="10" fontId="270" fillId="0" borderId="3" xfId="10" applyNumberFormat="1" applyFont="1" applyFill="1" applyBorder="1" applyAlignment="1">
      <alignment horizontal="center" vertical="center" wrapText="1" shrinkToFit="1"/>
    </xf>
    <xf numFmtId="184" fontId="270" fillId="0" borderId="54" xfId="10" applyNumberFormat="1" applyFont="1" applyFill="1" applyBorder="1" applyAlignment="1">
      <alignment horizontal="left" vertical="center" wrapText="1" shrinkToFit="1"/>
    </xf>
    <xf numFmtId="9" fontId="270" fillId="0" borderId="13" xfId="10" applyNumberFormat="1" applyFont="1" applyFill="1" applyBorder="1" applyAlignment="1">
      <alignment horizontal="left" vertical="center" wrapText="1" shrinkToFit="1"/>
    </xf>
    <xf numFmtId="9" fontId="270" fillId="0" borderId="2" xfId="10" applyNumberFormat="1" applyFont="1" applyFill="1" applyBorder="1" applyAlignment="1">
      <alignment horizontal="left" vertical="center" wrapText="1" shrinkToFit="1"/>
    </xf>
    <xf numFmtId="9" fontId="270" fillId="0" borderId="1" xfId="10" applyNumberFormat="1" applyFont="1" applyFill="1" applyBorder="1" applyAlignment="1">
      <alignment horizontal="center" vertical="center" wrapText="1" shrinkToFit="1"/>
    </xf>
    <xf numFmtId="0" fontId="270" fillId="0" borderId="5" xfId="10" applyNumberFormat="1" applyFont="1" applyFill="1" applyBorder="1" applyAlignment="1">
      <alignment horizontal="right" vertical="center" wrapText="1" shrinkToFit="1"/>
    </xf>
    <xf numFmtId="0" fontId="270" fillId="0" borderId="54" xfId="10" applyNumberFormat="1" applyFont="1" applyFill="1" applyBorder="1" applyAlignment="1">
      <alignment horizontal="right" vertical="center" wrapText="1" shrinkToFit="1"/>
    </xf>
    <xf numFmtId="0" fontId="270" fillId="0" borderId="54" xfId="10" applyFont="1" applyFill="1" applyBorder="1" applyAlignment="1">
      <alignment horizontal="left" vertical="center" wrapText="1" shrinkToFit="1"/>
    </xf>
    <xf numFmtId="0" fontId="270" fillId="0" borderId="3" xfId="10" applyFont="1" applyFill="1" applyBorder="1" applyAlignment="1">
      <alignment horizontal="left" vertical="center" wrapText="1" shrinkToFit="1"/>
    </xf>
    <xf numFmtId="181" fontId="270" fillId="0" borderId="1" xfId="10" applyNumberFormat="1" applyFont="1" applyFill="1" applyBorder="1" applyAlignment="1">
      <alignment horizontal="center" vertical="center" wrapText="1" shrinkToFit="1"/>
    </xf>
    <xf numFmtId="180" fontId="270" fillId="0" borderId="5" xfId="10" applyNumberFormat="1" applyFont="1" applyFill="1" applyBorder="1" applyAlignment="1">
      <alignment horizontal="right" vertical="center" wrapText="1" shrinkToFit="1"/>
    </xf>
    <xf numFmtId="180" fontId="270" fillId="0" borderId="54" xfId="10" applyNumberFormat="1" applyFont="1" applyFill="1" applyBorder="1" applyAlignment="1">
      <alignment horizontal="right" vertical="center" wrapText="1" shrinkToFit="1"/>
    </xf>
    <xf numFmtId="0" fontId="112" fillId="0" borderId="0" xfId="10" applyFont="1" applyFill="1" applyBorder="1" applyAlignment="1">
      <alignment horizontal="center" vertical="center" wrapText="1"/>
    </xf>
    <xf numFmtId="0" fontId="95" fillId="0" borderId="1" xfId="10" applyFont="1" applyBorder="1" applyAlignment="1">
      <alignment horizontal="center" vertical="center" wrapText="1"/>
    </xf>
    <xf numFmtId="0" fontId="270" fillId="22" borderId="5" xfId="10" applyFont="1" applyFill="1" applyBorder="1" applyAlignment="1">
      <alignment horizontal="center" vertical="center" wrapText="1" shrinkToFit="1"/>
    </xf>
    <xf numFmtId="0" fontId="270" fillId="22" borderId="54" xfId="10" applyFont="1" applyFill="1" applyBorder="1" applyAlignment="1">
      <alignment horizontal="center" vertical="center" wrapText="1" shrinkToFit="1"/>
    </xf>
    <xf numFmtId="0" fontId="270" fillId="22" borderId="3" xfId="10" applyFont="1" applyFill="1" applyBorder="1" applyAlignment="1">
      <alignment horizontal="center" vertical="center" wrapText="1" shrinkToFit="1"/>
    </xf>
    <xf numFmtId="0" fontId="270" fillId="0" borderId="46" xfId="10" applyFont="1" applyFill="1" applyBorder="1" applyAlignment="1">
      <alignment horizontal="center" vertical="center" wrapText="1" shrinkToFit="1"/>
    </xf>
    <xf numFmtId="0" fontId="270" fillId="0" borderId="36" xfId="10" applyFont="1" applyFill="1" applyBorder="1" applyAlignment="1">
      <alignment horizontal="center" vertical="center" wrapText="1" shrinkToFit="1"/>
    </xf>
    <xf numFmtId="0" fontId="270" fillId="0" borderId="22" xfId="10" applyFont="1" applyFill="1" applyBorder="1" applyAlignment="1">
      <alignment horizontal="center" vertical="center" wrapText="1" shrinkToFit="1"/>
    </xf>
    <xf numFmtId="0" fontId="270" fillId="0" borderId="58" xfId="10" applyFont="1" applyFill="1" applyBorder="1" applyAlignment="1">
      <alignment horizontal="center" vertical="center" wrapText="1" shrinkToFit="1"/>
    </xf>
    <xf numFmtId="0" fontId="270" fillId="0" borderId="0" xfId="10" applyFont="1" applyFill="1" applyBorder="1" applyAlignment="1">
      <alignment horizontal="center" vertical="center" wrapText="1" shrinkToFit="1"/>
    </xf>
    <xf numFmtId="0" fontId="270" fillId="0" borderId="35" xfId="10" applyFont="1" applyFill="1" applyBorder="1" applyAlignment="1">
      <alignment horizontal="center" vertical="center" wrapText="1" shrinkToFit="1"/>
    </xf>
    <xf numFmtId="0" fontId="270" fillId="0" borderId="4" xfId="10" applyFont="1" applyFill="1" applyBorder="1" applyAlignment="1">
      <alignment horizontal="center" vertical="center" wrapText="1" shrinkToFit="1"/>
    </xf>
    <xf numFmtId="0" fontId="270" fillId="0" borderId="60" xfId="10" applyFont="1" applyFill="1" applyBorder="1" applyAlignment="1">
      <alignment horizontal="center" vertical="center" wrapText="1" shrinkToFit="1"/>
    </xf>
    <xf numFmtId="0" fontId="270" fillId="0" borderId="7" xfId="10" applyFont="1" applyFill="1" applyBorder="1" applyAlignment="1">
      <alignment horizontal="center" vertical="center" wrapText="1" shrinkToFit="1"/>
    </xf>
    <xf numFmtId="0" fontId="95" fillId="0" borderId="1" xfId="10" applyFont="1" applyBorder="1" applyAlignment="1">
      <alignment horizontal="center" vertical="center" wrapText="1" shrinkToFi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5" xfId="0" applyFont="1" applyFill="1" applyBorder="1" applyAlignment="1" applyProtection="1">
      <alignment horizontal="center" vertical="center" wrapText="1"/>
      <protection locked="0"/>
    </xf>
    <xf numFmtId="0" fontId="44" fillId="8" borderId="41" xfId="0" applyNumberFormat="1" applyFont="1" applyFill="1" applyBorder="1" applyAlignment="1" applyProtection="1">
      <alignment horizontal="center" vertical="center" wrapText="1"/>
      <protection locked="0"/>
    </xf>
    <xf numFmtId="0" fontId="51" fillId="8" borderId="41" xfId="0" applyNumberFormat="1" applyFont="1" applyFill="1" applyBorder="1" applyAlignment="1" applyProtection="1">
      <alignment horizontal="center" vertical="center" wrapText="1"/>
      <protection locked="0"/>
    </xf>
    <xf numFmtId="0" fontId="44" fillId="8" borderId="46" xfId="0" applyFont="1" applyFill="1" applyBorder="1" applyAlignment="1" applyProtection="1">
      <alignment horizontal="center" vertical="center" wrapText="1"/>
    </xf>
    <xf numFmtId="0" fontId="281" fillId="0" borderId="1" xfId="10" applyNumberFormat="1" applyFont="1" applyBorder="1" applyAlignment="1">
      <alignment horizontal="left" vertical="center" wrapText="1" shrinkToFit="1"/>
    </xf>
    <xf numFmtId="9" fontId="282" fillId="0" borderId="1" xfId="10" applyNumberFormat="1" applyFont="1" applyBorder="1" applyAlignment="1">
      <alignment horizontal="center" vertical="center" wrapText="1" shrinkToFit="1"/>
    </xf>
    <xf numFmtId="0" fontId="95" fillId="0" borderId="0" xfId="10" applyAlignment="1"/>
    <xf numFmtId="49" fontId="281" fillId="0" borderId="1" xfId="10" applyNumberFormat="1" applyFont="1" applyBorder="1" applyAlignment="1">
      <alignment horizontal="center" vertical="center" wrapText="1" shrinkToFit="1"/>
    </xf>
    <xf numFmtId="181" fontId="285" fillId="0" borderId="1" xfId="10" applyNumberFormat="1" applyFont="1" applyFill="1" applyBorder="1" applyAlignment="1">
      <alignment horizontal="center" vertical="center" wrapText="1" shrinkToFit="1"/>
    </xf>
    <xf numFmtId="9" fontId="286" fillId="0" borderId="1" xfId="10" applyNumberFormat="1" applyFont="1" applyFill="1" applyBorder="1" applyAlignment="1">
      <alignment horizontal="center" vertical="center" wrapText="1"/>
    </xf>
    <xf numFmtId="179" fontId="285" fillId="0" borderId="1" xfId="10" applyNumberFormat="1" applyFont="1" applyFill="1" applyBorder="1" applyAlignment="1">
      <alignment horizontal="center" vertical="center" wrapText="1" shrinkToFit="1"/>
    </xf>
    <xf numFmtId="9" fontId="287" fillId="24" borderId="1" xfId="10" applyNumberFormat="1" applyFont="1" applyFill="1" applyBorder="1" applyAlignment="1">
      <alignment horizontal="center" vertical="center" wrapText="1"/>
    </xf>
    <xf numFmtId="9" fontId="281" fillId="0" borderId="1" xfId="10" applyNumberFormat="1" applyFont="1" applyFill="1" applyBorder="1" applyAlignment="1">
      <alignment horizontal="center" vertical="center" wrapText="1"/>
    </xf>
    <xf numFmtId="181" fontId="285" fillId="0" borderId="1" xfId="10" applyNumberFormat="1" applyFont="1" applyFill="1" applyBorder="1" applyAlignment="1">
      <alignment horizontal="center" vertical="center" wrapText="1" shrinkToFit="1"/>
    </xf>
    <xf numFmtId="0" fontId="285" fillId="0" borderId="1" xfId="10" applyNumberFormat="1" applyFont="1" applyFill="1" applyBorder="1" applyAlignment="1">
      <alignment horizontal="center" vertical="center" wrapText="1" shrinkToFit="1"/>
    </xf>
    <xf numFmtId="10" fontId="285" fillId="0" borderId="1" xfId="10" applyNumberFormat="1" applyFont="1" applyFill="1" applyBorder="1" applyAlignment="1">
      <alignment horizontal="center" vertical="center" wrapText="1" shrinkToFit="1"/>
    </xf>
    <xf numFmtId="182" fontId="285" fillId="0" borderId="1" xfId="10" applyNumberFormat="1" applyFont="1" applyFill="1" applyBorder="1" applyAlignment="1">
      <alignment horizontal="center" vertical="center" wrapText="1" shrinkToFit="1"/>
    </xf>
    <xf numFmtId="0" fontId="95" fillId="0" borderId="0" xfId="10" applyAlignment="1">
      <alignment horizontal="left" vertical="center" wrapText="1"/>
    </xf>
    <xf numFmtId="0" fontId="95" fillId="0" borderId="0" xfId="10" applyFill="1" applyAlignment="1">
      <alignment vertical="center" wrapText="1"/>
    </xf>
    <xf numFmtId="0" fontId="95" fillId="0" borderId="0" xfId="10" applyAlignment="1">
      <alignment horizontal="center" vertical="center" wrapText="1"/>
    </xf>
    <xf numFmtId="0" fontId="95" fillId="0" borderId="0" xfId="10" applyAlignment="1">
      <alignment vertical="center" wrapText="1"/>
    </xf>
    <xf numFmtId="0" fontId="277" fillId="26" borderId="0" xfId="10" applyFont="1" applyFill="1" applyBorder="1" applyAlignment="1">
      <alignment horizontal="center" vertical="center" wrapText="1"/>
    </xf>
    <xf numFmtId="0" fontId="289" fillId="0" borderId="0" xfId="10" applyFont="1" applyAlignment="1">
      <alignment vertical="center" wrapText="1"/>
    </xf>
    <xf numFmtId="0" fontId="134" fillId="0" borderId="1" xfId="10" applyFont="1" applyBorder="1" applyAlignment="1">
      <alignment horizontal="center" vertical="center" wrapText="1"/>
    </xf>
    <xf numFmtId="0" fontId="134" fillId="0" borderId="1" xfId="10" applyFont="1" applyFill="1" applyBorder="1" applyAlignment="1">
      <alignment horizontal="center" vertical="center" wrapText="1"/>
    </xf>
    <xf numFmtId="0" fontId="134" fillId="0" borderId="1" xfId="10" applyFont="1" applyFill="1" applyBorder="1" applyAlignment="1">
      <alignment horizontal="center" vertical="center" wrapText="1"/>
    </xf>
    <xf numFmtId="9" fontId="134" fillId="0" borderId="1" xfId="10" applyNumberFormat="1" applyFont="1" applyFill="1" applyBorder="1" applyAlignment="1">
      <alignment horizontal="center" vertical="center" wrapText="1"/>
    </xf>
    <xf numFmtId="179" fontId="134" fillId="0" borderId="1" xfId="10" applyNumberFormat="1" applyFont="1" applyFill="1" applyBorder="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Fill="1" applyBorder="1" applyAlignment="1">
      <alignment horizontal="center" vertical="center" wrapText="1"/>
    </xf>
    <xf numFmtId="178" fontId="134" fillId="0" borderId="1" xfId="10" applyNumberFormat="1" applyFont="1" applyFill="1" applyBorder="1" applyAlignment="1">
      <alignment horizontal="center" vertical="center" wrapText="1"/>
    </xf>
    <xf numFmtId="0" fontId="280" fillId="0" borderId="0" xfId="10" applyFont="1" applyFill="1" applyAlignment="1">
      <alignment horizontal="center" vertical="center" wrapText="1"/>
    </xf>
    <xf numFmtId="0" fontId="95" fillId="27" borderId="1" xfId="10" applyFill="1" applyBorder="1" applyAlignment="1">
      <alignment horizontal="center" vertical="center"/>
    </xf>
    <xf numFmtId="0" fontId="95" fillId="7" borderId="1" xfId="10" applyFill="1" applyBorder="1" applyAlignment="1">
      <alignment horizontal="center" vertical="center"/>
    </xf>
    <xf numFmtId="0" fontId="95" fillId="0" borderId="1" xfId="10" applyBorder="1" applyAlignment="1">
      <alignment horizontal="center" vertical="center"/>
    </xf>
    <xf numFmtId="0" fontId="95" fillId="0" borderId="0" xfId="10" applyAlignment="1">
      <alignment horizontal="center" vertical="center"/>
    </xf>
    <xf numFmtId="0" fontId="95" fillId="5" borderId="1" xfId="10" applyFill="1" applyBorder="1" applyAlignment="1">
      <alignment horizontal="center" vertical="center"/>
    </xf>
    <xf numFmtId="0" fontId="95" fillId="27" borderId="1" xfId="10" applyFill="1" applyBorder="1" applyAlignment="1">
      <alignment horizontal="center" vertical="center"/>
    </xf>
    <xf numFmtId="0" fontId="95" fillId="7" borderId="0" xfId="10" applyFill="1" applyAlignment="1">
      <alignment horizontal="center" vertical="center"/>
    </xf>
    <xf numFmtId="0" fontId="95" fillId="5" borderId="0" xfId="10" applyFill="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4892;&#31199;&#37329;--&#21335;&#37045;--&#19968;&#23457;%20-%20&#21103;&#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807;&#31243;/&#20013;&#34892;&#31199;&#37329;--&#21335;&#37045;--&#19968;&#23457;%20-%20&#21103;&#26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9">
          <cell r="C49">
            <v>31839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9">
          <cell r="C49">
            <v>7.4</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ow r="49">
          <cell r="C49">
            <v>31839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ow r="48">
          <cell r="C48">
            <v>7.4</v>
          </cell>
        </row>
        <row r="49">
          <cell r="C49">
            <v>7.4</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北京市朝阳区首都机场航平西路银行附属办公楼房地产抵押价值预评估</v>
      </c>
    </row>
    <row r="3" spans="1:2" s="1201" customFormat="1">
      <c r="A3" s="1199" t="s">
        <v>523</v>
      </c>
      <c r="B3" s="1200" t="str">
        <f>'预评函-封皮'!B40</f>
        <v>华夏银行</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受贵公司委托，我公司对北京市朝阳区首都机场航平西路银行附属办公楼房地产抵押价值进行了预评估。</v>
      </c>
    </row>
    <row r="7" spans="1:2" s="1201" customFormat="1">
      <c r="A7" s="1199" t="s">
        <v>566</v>
      </c>
      <c r="B7" s="1200" t="str">
        <f>'预评函-1'!A7</f>
        <v>估价对象为北京市朝阳区首都机场航平西路银行附属办公楼房地产，为中国银行北京市首都机场支行所有。根据《国有土地使用证》[]，估价对象（分摊）出让国有建设用地使用权面积为202.08平方米，建筑面积为466.83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首都机场航平西路银行附属办公楼房地产,属中国银行北京市首都机场支行开发建设的办公项目，该项目尚在开发建设中。根据《国有土地使用证》[]，估价对象（分摊）出让国有建设用地使用权面积为202.08平方米，规划建筑面积为466.83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2023年2月14日（评估专业人员实地查勘之日）</v>
      </c>
    </row>
    <row r="13" spans="1:2" s="1201" customFormat="1">
      <c r="A13" s="1199" t="s">
        <v>529</v>
      </c>
      <c r="B13" s="1200"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0</v>
      </c>
    </row>
    <row r="21" spans="1:2" s="1201" customFormat="1">
      <c r="A21" s="1199" t="s">
        <v>537</v>
      </c>
      <c r="B21" s="1200">
        <f ca="1">'预评函-2'!D7</f>
        <v>25041</v>
      </c>
    </row>
    <row r="22" spans="1:2" s="1201" customFormat="1">
      <c r="A22" s="1199" t="s">
        <v>538</v>
      </c>
      <c r="B22" s="1200" t="str">
        <f ca="1">'预评函-2'!D6</f>
        <v>零元整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0</v>
      </c>
    </row>
    <row r="31" spans="1:2" s="1201" customFormat="1">
      <c r="A31" s="1199" t="s">
        <v>576</v>
      </c>
      <c r="B31" s="1200">
        <f ca="1">'预评函-2'!D15</f>
        <v>25041</v>
      </c>
    </row>
    <row r="32" spans="1:2" s="1201" customFormat="1">
      <c r="A32" s="1199" t="s">
        <v>543</v>
      </c>
      <c r="B32" s="1200" t="str">
        <f ca="1">'预评函-2'!D14</f>
        <v>零元整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北京市朝阳区首都机场航平西路银行附属办公楼房地产</v>
      </c>
    </row>
    <row r="42" spans="1:2" s="1201" customFormat="1">
      <c r="A42" s="1199" t="s">
        <v>590</v>
      </c>
      <c r="B42" s="1200" t="str">
        <f>'预评函-3'!B2</f>
        <v>建筑面积</v>
      </c>
    </row>
    <row r="43" spans="1:2" s="1201" customFormat="1">
      <c r="A43" s="1199" t="s">
        <v>591</v>
      </c>
      <c r="B43" s="1200">
        <f>'预评函-3'!B4</f>
        <v>466.83</v>
      </c>
    </row>
    <row r="44" spans="1:2" s="1201" customFormat="1">
      <c r="A44" s="1199" t="s">
        <v>575</v>
      </c>
      <c r="B44" s="1200" t="str">
        <f>'预评函-3'!C2</f>
        <v>(分摊)土地面积</v>
      </c>
    </row>
    <row r="45" spans="1:2" s="1201" customFormat="1">
      <c r="A45" s="1199" t="s">
        <v>547</v>
      </c>
      <c r="B45" s="1200">
        <f>'预评函-3'!C4</f>
        <v>202.08</v>
      </c>
    </row>
    <row r="46" spans="1:2" s="1201" customFormat="1">
      <c r="A46" s="1199" t="s">
        <v>573</v>
      </c>
      <c r="B46" s="1200" t="str">
        <f>'预评函-3'!D2</f>
        <v>出让国有建设用地使用权价值</v>
      </c>
    </row>
    <row r="47" spans="1:2" s="1201" customFormat="1">
      <c r="A47" s="1199" t="s">
        <v>548</v>
      </c>
      <c r="B47" s="1200">
        <f ca="1">'预评函-3'!D4</f>
        <v>0</v>
      </c>
    </row>
    <row r="48" spans="1:2" s="1201" customFormat="1">
      <c r="A48" s="1199" t="s">
        <v>549</v>
      </c>
      <c r="B48" s="1200">
        <f ca="1">'预评函-3'!E4</f>
        <v>16302</v>
      </c>
    </row>
    <row r="49" spans="1:2" s="1201" customFormat="1">
      <c r="A49" s="1199" t="s">
        <v>550</v>
      </c>
      <c r="B49" s="1200" t="str">
        <f ca="1">'预评函-3'!D5</f>
        <v>零元整</v>
      </c>
    </row>
    <row r="50" spans="1:2" s="1201" customFormat="1">
      <c r="A50" s="1199" t="s">
        <v>574</v>
      </c>
      <c r="B50" s="1200" t="str">
        <f>'预评函-3'!F2</f>
        <v>在建建筑物价值</v>
      </c>
    </row>
    <row r="51" spans="1:2" s="1201" customFormat="1">
      <c r="A51" s="1199" t="s">
        <v>551</v>
      </c>
      <c r="B51" s="1200">
        <f ca="1">'预评函-3'!F4</f>
        <v>0</v>
      </c>
    </row>
    <row r="52" spans="1:2" s="1201" customFormat="1">
      <c r="A52" s="1199" t="s">
        <v>552</v>
      </c>
      <c r="B52" s="1200">
        <f ca="1">'预评函-3'!G4</f>
        <v>8739</v>
      </c>
    </row>
    <row r="53" spans="1:2" s="1201" customFormat="1">
      <c r="A53" s="1199" t="s">
        <v>580</v>
      </c>
      <c r="B53" s="1200" t="str">
        <f ca="1">'预评函-3'!F5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2572</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2573</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2285</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2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9"/>
      <c r="B54" s="1552" t="s">
        <v>385</v>
      </c>
      <c r="C54" s="1549" t="s">
        <v>583</v>
      </c>
    </row>
    <row r="55" spans="1:4">
      <c r="A55" s="3629"/>
      <c r="B55" s="1552" t="s">
        <v>386</v>
      </c>
      <c r="C55" s="1549" t="s">
        <v>584</v>
      </c>
    </row>
    <row r="56" spans="1:4">
      <c r="A56" s="3629"/>
      <c r="B56" s="1552" t="s">
        <v>387</v>
      </c>
      <c r="C56" s="1549" t="s">
        <v>588</v>
      </c>
    </row>
    <row r="57" spans="1:4">
      <c r="A57" s="362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2495</v>
      </c>
      <c r="B1" s="3007"/>
      <c r="C1" s="3007"/>
      <c r="D1" s="3007"/>
      <c r="E1" s="3007"/>
      <c r="F1" s="3008"/>
      <c r="I1" s="3432" t="s">
        <v>2588</v>
      </c>
      <c r="J1" s="3220"/>
      <c r="K1" s="3220"/>
      <c r="L1" s="3220"/>
      <c r="M1" s="3220"/>
      <c r="N1" s="3433"/>
      <c r="O1" s="3433"/>
      <c r="P1" s="3433"/>
      <c r="Q1" s="3433"/>
      <c r="R1" s="3433"/>
    </row>
    <row r="2" spans="1:18">
      <c r="A2" s="3010"/>
      <c r="B2" s="3011"/>
      <c r="C2" s="3011"/>
      <c r="D2" s="3011"/>
      <c r="E2" s="3011"/>
      <c r="F2" s="3012"/>
      <c r="I2" s="3630" t="s">
        <v>2575</v>
      </c>
      <c r="J2" s="3630"/>
      <c r="K2" s="3630"/>
      <c r="L2" s="3630"/>
      <c r="M2" s="3630"/>
      <c r="N2" s="3630"/>
      <c r="O2" s="3630"/>
      <c r="P2" s="3630"/>
      <c r="Q2" s="3630"/>
      <c r="R2" s="3630"/>
    </row>
    <row r="3" spans="1:18">
      <c r="A3" s="3013" t="s">
        <v>2496</v>
      </c>
      <c r="B3" s="3014">
        <f>项目基本情况!D3</f>
        <v>44971</v>
      </c>
      <c r="C3" s="3016"/>
      <c r="D3" s="3016"/>
      <c r="E3" s="3016"/>
      <c r="F3" s="3012"/>
      <c r="I3" s="3434"/>
      <c r="J3" s="3434" t="s">
        <v>2579</v>
      </c>
      <c r="K3" s="3434" t="s">
        <v>2580</v>
      </c>
      <c r="L3" s="3434" t="s">
        <v>2581</v>
      </c>
      <c r="M3" s="3434" t="s">
        <v>2582</v>
      </c>
      <c r="N3" s="3435" t="s">
        <v>2583</v>
      </c>
      <c r="O3" s="3435" t="s">
        <v>2584</v>
      </c>
      <c r="P3" s="3435" t="s">
        <v>2585</v>
      </c>
      <c r="Q3" s="3435" t="s">
        <v>2586</v>
      </c>
      <c r="R3" s="3435" t="s">
        <v>2587</v>
      </c>
    </row>
    <row r="4" spans="1:18">
      <c r="A4" s="3013" t="s">
        <v>2497</v>
      </c>
      <c r="B4" s="3016" t="s">
        <v>2498</v>
      </c>
      <c r="C4" s="3016" t="s">
        <v>2499</v>
      </c>
      <c r="D4" s="3016" t="s">
        <v>2500</v>
      </c>
      <c r="E4" s="3016" t="s">
        <v>2501</v>
      </c>
      <c r="F4" s="3012"/>
      <c r="I4" s="3434" t="s">
        <v>2576</v>
      </c>
      <c r="J4" s="3434">
        <v>80</v>
      </c>
      <c r="K4" s="3434">
        <v>70</v>
      </c>
      <c r="L4" s="3434">
        <v>20</v>
      </c>
      <c r="M4" s="3434">
        <v>30</v>
      </c>
      <c r="N4" s="3016">
        <v>45</v>
      </c>
      <c r="O4" s="3016">
        <v>60</v>
      </c>
      <c r="P4" s="3016">
        <v>50</v>
      </c>
      <c r="Q4" s="3016">
        <v>20</v>
      </c>
      <c r="R4" s="3016">
        <v>375</v>
      </c>
    </row>
    <row r="5" spans="1:18">
      <c r="A5" s="3017">
        <v>40</v>
      </c>
      <c r="B5" s="3014">
        <v>46375</v>
      </c>
      <c r="C5" s="3016">
        <f>ROUNDDOWN(MIN((B5-B3)/365,A5),2)</f>
        <v>3.84</v>
      </c>
      <c r="D5" s="3018">
        <f>IF(ISERROR(ROUND(POWER(1+E5,A5-C5)*(POWER(1+E5,C5)-1)/(POWER(1+E5,A5)-1),3)),0,ROUND(POWER(1+E5,A5-C5)*(POWER(1+E5,C5)-1)/(POWER(1+E5,A5)-1),4))</f>
        <v>0.17660000000000001</v>
      </c>
      <c r="E5" s="3019">
        <v>0.04</v>
      </c>
      <c r="F5" s="3012"/>
      <c r="I5" s="3434" t="s">
        <v>2577</v>
      </c>
      <c r="J5" s="3434">
        <v>70</v>
      </c>
      <c r="K5" s="3434">
        <v>60</v>
      </c>
      <c r="L5" s="3434">
        <v>15</v>
      </c>
      <c r="M5" s="3434">
        <v>25</v>
      </c>
      <c r="N5" s="3016">
        <v>40</v>
      </c>
      <c r="O5" s="3016">
        <v>50</v>
      </c>
      <c r="P5" s="3016">
        <v>40</v>
      </c>
      <c r="Q5" s="3016">
        <v>15</v>
      </c>
      <c r="R5" s="3016">
        <v>315</v>
      </c>
    </row>
    <row r="6" spans="1:18">
      <c r="A6" s="3017">
        <v>50</v>
      </c>
      <c r="B6" s="3014">
        <v>50028</v>
      </c>
      <c r="C6" s="3016">
        <f>ROUNDDOWN(MIN((B6-B3)/365,A6),2)</f>
        <v>13.85</v>
      </c>
      <c r="D6" s="3018">
        <f>IF(ISERROR(ROUND(POWER(1+E6,A6-C6)*(POWER(1+E6,C6)-1)/(POWER(1+E6,A6)-1),3)),0,ROUND(POWER(1+E6,A6-C6)*(POWER(1+E6,C6)-1)/(POWER(1+E6,A6)-1),4))</f>
        <v>0.48780000000000001</v>
      </c>
      <c r="E6" s="3019">
        <v>0.04</v>
      </c>
      <c r="F6" s="3012"/>
      <c r="I6" s="3434" t="s">
        <v>2578</v>
      </c>
      <c r="J6" s="3434">
        <v>60</v>
      </c>
      <c r="K6" s="3434">
        <v>50</v>
      </c>
      <c r="L6" s="3434">
        <v>10</v>
      </c>
      <c r="M6" s="3434">
        <v>20</v>
      </c>
      <c r="N6" s="3016">
        <v>35</v>
      </c>
      <c r="O6" s="3016">
        <v>40</v>
      </c>
      <c r="P6" s="3016">
        <v>30</v>
      </c>
      <c r="Q6" s="3016">
        <v>10</v>
      </c>
      <c r="R6" s="3016">
        <v>255</v>
      </c>
    </row>
    <row r="7" spans="1:18">
      <c r="A7" s="3017">
        <v>70</v>
      </c>
      <c r="B7" s="3014">
        <v>57333</v>
      </c>
      <c r="C7" s="3016">
        <f>ROUNDDOWN(MIN((B7-B3)/365,A7),2)</f>
        <v>33.86</v>
      </c>
      <c r="D7" s="3018">
        <f>IF(ISERROR(ROUND(POWER(1+E7,A7-C7)*(POWER(1+E7,C7)-1)/(POWER(1+E7,A7)-1),3)),0,ROUND(POWER(1+E7,A7-C7)*(POWER(1+E7,C7)-1)/(POWER(1+E7,A7)-1),4))</f>
        <v>0.78539999999999999</v>
      </c>
      <c r="E7" s="3019">
        <v>0.04</v>
      </c>
      <c r="F7" s="3012"/>
    </row>
    <row r="8" spans="1:18">
      <c r="A8" s="3010"/>
      <c r="B8" s="3011"/>
      <c r="C8" s="3011"/>
      <c r="D8" s="3011"/>
      <c r="E8" s="3011"/>
      <c r="F8" s="3012"/>
    </row>
    <row r="9" spans="1:18">
      <c r="A9" s="3013" t="s">
        <v>2502</v>
      </c>
      <c r="B9" s="3016"/>
      <c r="C9" s="3016"/>
      <c r="D9" s="3016"/>
      <c r="E9" s="3016"/>
      <c r="F9" s="3020"/>
    </row>
    <row r="10" spans="1:18">
      <c r="A10" s="3013" t="s">
        <v>2503</v>
      </c>
      <c r="B10" s="3016"/>
      <c r="C10" s="3016"/>
      <c r="D10" s="3016" t="s">
        <v>2501</v>
      </c>
      <c r="E10" s="3016"/>
      <c r="F10" s="3020" t="s">
        <v>2500</v>
      </c>
    </row>
    <row r="11" spans="1:18">
      <c r="A11" s="3013" t="s">
        <v>2504</v>
      </c>
      <c r="B11" s="3021">
        <v>70</v>
      </c>
      <c r="C11" s="3016" t="s">
        <v>2505</v>
      </c>
      <c r="D11" s="3022">
        <v>4.4999999999999998E-2</v>
      </c>
      <c r="E11" s="3016" t="s">
        <v>2506</v>
      </c>
      <c r="F11" s="3023">
        <f>ROUND(1-(1/(POWER(1+D11,B11))),4)</f>
        <v>0.95409999999999995</v>
      </c>
    </row>
    <row r="12" spans="1:18">
      <c r="A12" s="3013" t="s">
        <v>2507</v>
      </c>
      <c r="B12" s="3021">
        <v>40</v>
      </c>
      <c r="C12" s="3016" t="s">
        <v>2508</v>
      </c>
      <c r="D12" s="3022">
        <v>4.4999999999999998E-2</v>
      </c>
      <c r="E12" s="3016" t="s">
        <v>2509</v>
      </c>
      <c r="F12" s="3023">
        <f>ROUND(1-(1/(POWER(1+D12,B12))),4)</f>
        <v>0.82809999999999995</v>
      </c>
    </row>
    <row r="13" spans="1:18">
      <c r="A13" s="3013" t="s">
        <v>2510</v>
      </c>
      <c r="B13" s="3016"/>
      <c r="C13" s="3016"/>
      <c r="D13" s="3011"/>
      <c r="E13" s="3011"/>
      <c r="F13" s="3012"/>
    </row>
    <row r="14" spans="1:18">
      <c r="A14" s="3013" t="s">
        <v>2511</v>
      </c>
      <c r="B14" s="3021">
        <v>5000</v>
      </c>
      <c r="C14" s="3015"/>
      <c r="D14" s="3011"/>
      <c r="E14" s="3011"/>
      <c r="F14" s="3012"/>
    </row>
    <row r="15" spans="1:18">
      <c r="A15" s="3013" t="s">
        <v>2512</v>
      </c>
      <c r="B15" s="3016">
        <f>ROUND(B14*F12/F11,2)</f>
        <v>4339.6899999999996</v>
      </c>
      <c r="C15" s="3016">
        <f>ROUND(F12/F11,4)</f>
        <v>0.8679</v>
      </c>
      <c r="D15" s="3011"/>
      <c r="E15" s="3011"/>
      <c r="F15" s="3012"/>
    </row>
    <row r="16" spans="1:18">
      <c r="A16" s="3013" t="s">
        <v>2513</v>
      </c>
      <c r="B16" s="3016"/>
      <c r="C16" s="3016"/>
      <c r="D16" s="3011"/>
      <c r="E16" s="3011"/>
      <c r="F16" s="3012"/>
    </row>
    <row r="17" spans="1:13">
      <c r="A17" s="3013" t="s">
        <v>2512</v>
      </c>
      <c r="B17" s="3022">
        <v>4810</v>
      </c>
      <c r="C17" s="3015"/>
      <c r="D17" s="3011"/>
      <c r="E17" s="3011"/>
      <c r="F17" s="3012"/>
    </row>
    <row r="18" spans="1:13" ht="14.25" thickBot="1">
      <c r="A18" s="3024" t="s">
        <v>2511</v>
      </c>
      <c r="B18" s="3025">
        <f>ROUND(B17*F11/F12,2)</f>
        <v>5541.87</v>
      </c>
      <c r="C18" s="3025">
        <f>ROUND(F11/F12,4)</f>
        <v>1.1521999999999999</v>
      </c>
      <c r="D18" s="3026"/>
      <c r="E18" s="3026"/>
      <c r="F18" s="3027"/>
    </row>
    <row r="19" spans="1:13" ht="14.25" thickBot="1"/>
    <row r="20" spans="1:13" s="3062" customFormat="1" ht="14.25" thickTop="1">
      <c r="A20" s="3059" t="s">
        <v>2514</v>
      </c>
      <c r="B20" s="3060"/>
      <c r="C20" s="3060"/>
      <c r="D20" s="3060"/>
      <c r="E20" s="3060"/>
      <c r="F20" s="3060"/>
      <c r="G20" s="3061"/>
      <c r="I20" s="3063" t="s">
        <v>2559</v>
      </c>
      <c r="J20" s="3063" t="s">
        <v>2564</v>
      </c>
      <c r="K20" s="3063"/>
      <c r="L20" s="3063"/>
      <c r="M20" s="3063"/>
    </row>
    <row r="21" spans="1:13">
      <c r="A21" s="3028"/>
      <c r="B21" s="3029" t="s">
        <v>2515</v>
      </c>
      <c r="C21" s="3029" t="s">
        <v>2516</v>
      </c>
      <c r="D21" s="3029" t="s">
        <v>2517</v>
      </c>
      <c r="E21" s="3029" t="s">
        <v>2518</v>
      </c>
      <c r="F21" s="3029" t="s">
        <v>2519</v>
      </c>
      <c r="G21" s="3030" t="s">
        <v>2520</v>
      </c>
      <c r="I21" s="3051">
        <v>5</v>
      </c>
      <c r="J21" s="3051">
        <v>54.2</v>
      </c>
    </row>
    <row r="22" spans="1:13">
      <c r="A22" s="3028" t="s">
        <v>2521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2562</v>
      </c>
      <c r="M23" s="3051" t="s">
        <v>2563</v>
      </c>
    </row>
    <row r="24" spans="1:13">
      <c r="A24" s="3028" t="s">
        <v>2523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2561</v>
      </c>
      <c r="M24" s="3051">
        <v>10</v>
      </c>
    </row>
    <row r="25" spans="1:13">
      <c r="A25" s="3028" t="s">
        <v>2524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2565</v>
      </c>
      <c r="M25" s="3051">
        <v>8</v>
      </c>
    </row>
    <row r="26" spans="1:13">
      <c r="A26" s="3033"/>
      <c r="B26" s="3034"/>
      <c r="C26" s="3034"/>
      <c r="D26" s="3034"/>
      <c r="E26" s="3034"/>
      <c r="F26" s="3034"/>
      <c r="G26" s="3035"/>
      <c r="I26" s="3051">
        <v>30</v>
      </c>
      <c r="J26" s="3051">
        <v>90.5</v>
      </c>
      <c r="K26" s="3051">
        <f t="shared" si="2"/>
        <v>4.2000000000000028</v>
      </c>
      <c r="L26" s="3051" t="s">
        <v>2566</v>
      </c>
      <c r="M26" s="3051">
        <v>5</v>
      </c>
    </row>
    <row r="27" spans="1:13">
      <c r="A27" s="3033" t="s">
        <v>2525</v>
      </c>
      <c r="B27" s="3034"/>
      <c r="C27" s="3034"/>
      <c r="D27" s="3034"/>
      <c r="E27" s="3034"/>
      <c r="F27" s="3034"/>
      <c r="G27" s="3035"/>
      <c r="I27" s="3051">
        <v>35</v>
      </c>
      <c r="J27" s="3051">
        <v>93.8</v>
      </c>
      <c r="K27" s="3051">
        <f t="shared" si="2"/>
        <v>3.2999999999999972</v>
      </c>
      <c r="L27" s="3051" t="s">
        <v>2567</v>
      </c>
      <c r="M27" s="3051">
        <v>3</v>
      </c>
    </row>
    <row r="28" spans="1:13">
      <c r="A28" s="3033" t="s">
        <v>2526</v>
      </c>
      <c r="B28" s="3034"/>
      <c r="C28" s="3034"/>
      <c r="D28" s="3034"/>
      <c r="E28" s="3034"/>
      <c r="F28" s="3034"/>
      <c r="G28" s="3035"/>
      <c r="I28" s="3051">
        <v>40</v>
      </c>
      <c r="J28" s="3051">
        <v>96.4</v>
      </c>
      <c r="K28" s="3051">
        <f t="shared" si="2"/>
        <v>2.6000000000000085</v>
      </c>
      <c r="L28" s="3051" t="s">
        <v>2568</v>
      </c>
      <c r="M28" s="3051">
        <v>2</v>
      </c>
    </row>
    <row r="29" spans="1:13">
      <c r="A29" s="3033" t="s">
        <v>2527</v>
      </c>
      <c r="B29" s="3034"/>
      <c r="C29" s="3034"/>
      <c r="D29" s="3034"/>
      <c r="E29" s="3034"/>
      <c r="F29" s="3034"/>
      <c r="G29" s="3035"/>
      <c r="I29" s="3051">
        <v>45</v>
      </c>
      <c r="J29" s="3051">
        <v>98.4</v>
      </c>
      <c r="K29" s="3051">
        <f t="shared" si="2"/>
        <v>2</v>
      </c>
    </row>
    <row r="30" spans="1:13">
      <c r="A30" s="3033" t="s">
        <v>2528</v>
      </c>
      <c r="B30" s="3034"/>
      <c r="C30" s="3034"/>
      <c r="D30" s="3034"/>
      <c r="E30" s="3034"/>
      <c r="F30" s="3034"/>
      <c r="G30" s="3035"/>
      <c r="I30" s="3051">
        <v>50</v>
      </c>
      <c r="J30" s="3051">
        <v>100</v>
      </c>
      <c r="K30" s="3051">
        <f t="shared" si="2"/>
        <v>1.5999999999999943</v>
      </c>
    </row>
    <row r="31" spans="1:13">
      <c r="A31" s="3033" t="s">
        <v>2529</v>
      </c>
      <c r="B31" s="3034"/>
      <c r="C31" s="3034"/>
      <c r="D31" s="3034"/>
      <c r="E31" s="3034"/>
      <c r="F31" s="3034"/>
      <c r="G31" s="3035"/>
      <c r="I31" s="3051" t="s">
        <v>2560</v>
      </c>
    </row>
    <row r="32" spans="1:13">
      <c r="A32" s="3033" t="s">
        <v>2530</v>
      </c>
      <c r="B32" s="3034"/>
      <c r="C32" s="3034"/>
      <c r="D32" s="3034"/>
      <c r="E32" s="3034"/>
      <c r="F32" s="3034"/>
      <c r="G32" s="3035"/>
    </row>
    <row r="33" spans="1:13">
      <c r="A33" s="3033" t="s">
        <v>2531</v>
      </c>
      <c r="B33" s="3034"/>
      <c r="C33" s="3034"/>
      <c r="D33" s="3034"/>
      <c r="E33" s="3034"/>
      <c r="F33" s="3034"/>
      <c r="G33" s="3035"/>
      <c r="I33" s="3051" t="s">
        <v>2559</v>
      </c>
      <c r="J33" s="3051" t="s">
        <v>2569</v>
      </c>
    </row>
    <row r="34" spans="1:13">
      <c r="A34" s="3033" t="s">
        <v>2532</v>
      </c>
      <c r="B34" s="3034"/>
      <c r="C34" s="3034"/>
      <c r="D34" s="3034"/>
      <c r="E34" s="3034"/>
      <c r="F34" s="3034"/>
      <c r="G34" s="3035"/>
      <c r="I34" s="3051">
        <v>5</v>
      </c>
      <c r="J34" s="3051">
        <v>55.1</v>
      </c>
    </row>
    <row r="35" spans="1:13">
      <c r="A35" s="3033" t="s">
        <v>2533</v>
      </c>
      <c r="B35" s="3034"/>
      <c r="C35" s="3034"/>
      <c r="D35" s="3034"/>
      <c r="E35" s="3034"/>
      <c r="F35" s="3034"/>
      <c r="G35" s="3035"/>
      <c r="I35" s="3051">
        <v>10</v>
      </c>
      <c r="J35" s="3051">
        <v>67</v>
      </c>
      <c r="K35" s="3051">
        <f>J35-J34</f>
        <v>11.899999999999999</v>
      </c>
    </row>
    <row r="36" spans="1:13">
      <c r="A36" s="3033" t="s">
        <v>2534</v>
      </c>
      <c r="B36" s="3034"/>
      <c r="C36" s="3034"/>
      <c r="D36" s="3034"/>
      <c r="E36" s="3034"/>
      <c r="F36" s="3034"/>
      <c r="G36" s="3035"/>
      <c r="I36" s="3051">
        <v>15</v>
      </c>
      <c r="J36" s="3051">
        <v>76.3</v>
      </c>
      <c r="K36" s="3051">
        <f t="shared" ref="K36:K41" si="3">J36-J35</f>
        <v>9.2999999999999972</v>
      </c>
      <c r="L36" s="3051" t="s">
        <v>2562</v>
      </c>
      <c r="M36" s="3051" t="s">
        <v>2563</v>
      </c>
    </row>
    <row r="37" spans="1:13">
      <c r="A37" s="3033" t="s">
        <v>2535</v>
      </c>
      <c r="B37" s="3034"/>
      <c r="C37" s="3034"/>
      <c r="D37" s="3034"/>
      <c r="E37" s="3034"/>
      <c r="F37" s="3034"/>
      <c r="G37" s="3035"/>
      <c r="I37" s="3051">
        <v>20</v>
      </c>
      <c r="J37" s="3051">
        <v>83.6</v>
      </c>
      <c r="K37" s="3051">
        <f t="shared" si="3"/>
        <v>7.2999999999999972</v>
      </c>
      <c r="L37" s="3051" t="s">
        <v>2561</v>
      </c>
      <c r="M37" s="3051">
        <v>10</v>
      </c>
    </row>
    <row r="38" spans="1:13">
      <c r="A38" s="3033" t="s">
        <v>2536</v>
      </c>
      <c r="B38" s="3034"/>
      <c r="C38" s="3034"/>
      <c r="D38" s="3034"/>
      <c r="E38" s="3034"/>
      <c r="F38" s="3034"/>
      <c r="G38" s="3035"/>
      <c r="I38" s="3051">
        <v>25</v>
      </c>
      <c r="J38" s="3051">
        <v>89.3</v>
      </c>
      <c r="K38" s="3051">
        <f t="shared" si="3"/>
        <v>5.7000000000000028</v>
      </c>
      <c r="L38" s="3051" t="s">
        <v>2565</v>
      </c>
      <c r="M38" s="3051">
        <v>8</v>
      </c>
    </row>
    <row r="39" spans="1:13">
      <c r="A39" s="3033"/>
      <c r="B39" s="3034"/>
      <c r="C39" s="3034"/>
      <c r="D39" s="3034"/>
      <c r="E39" s="3034"/>
      <c r="F39" s="3034"/>
      <c r="G39" s="3035"/>
      <c r="I39" s="3051">
        <v>30</v>
      </c>
      <c r="J39" s="3051">
        <v>93.8</v>
      </c>
      <c r="K39" s="3051">
        <f t="shared" si="3"/>
        <v>4.5</v>
      </c>
      <c r="L39" s="3051" t="s">
        <v>2566</v>
      </c>
      <c r="M39" s="3051">
        <v>6</v>
      </c>
    </row>
    <row r="40" spans="1:13">
      <c r="A40" s="3036" t="s">
        <v>2537</v>
      </c>
      <c r="B40" s="3037"/>
      <c r="C40" s="3037"/>
      <c r="D40" s="3037"/>
      <c r="E40" s="3037"/>
      <c r="F40" s="3037"/>
      <c r="G40" s="3038"/>
      <c r="I40" s="3051">
        <v>35</v>
      </c>
      <c r="J40" s="3051">
        <v>97.2</v>
      </c>
      <c r="K40" s="3051">
        <f t="shared" si="3"/>
        <v>3.4000000000000057</v>
      </c>
      <c r="L40" s="3051" t="s">
        <v>2567</v>
      </c>
      <c r="M40" s="3051">
        <v>3</v>
      </c>
    </row>
    <row r="41" spans="1:13">
      <c r="A41" s="3039" t="s">
        <v>2538</v>
      </c>
      <c r="B41" s="3040" t="s">
        <v>2539</v>
      </c>
      <c r="C41" s="3041" t="s">
        <v>2540</v>
      </c>
      <c r="D41" s="3041" t="s">
        <v>2541</v>
      </c>
      <c r="E41" s="3042"/>
      <c r="F41" s="3043"/>
      <c r="G41" s="3044"/>
      <c r="I41" s="3051">
        <v>40</v>
      </c>
      <c r="J41" s="3051">
        <v>100</v>
      </c>
      <c r="K41" s="3051">
        <f t="shared" si="3"/>
        <v>2.7999999999999972</v>
      </c>
    </row>
    <row r="42" spans="1:13">
      <c r="A42" s="3039" t="s">
        <v>2542</v>
      </c>
      <c r="B42" s="3040" t="s">
        <v>2543</v>
      </c>
      <c r="C42" s="3041" t="s">
        <v>2544</v>
      </c>
      <c r="D42" s="3045" t="s">
        <v>2545</v>
      </c>
      <c r="E42" s="3037" t="s">
        <v>2546</v>
      </c>
      <c r="F42" s="3037"/>
      <c r="G42" s="3038"/>
    </row>
    <row r="43" spans="1:13">
      <c r="A43" s="3039" t="s">
        <v>2547</v>
      </c>
      <c r="B43" s="3040" t="s">
        <v>2548</v>
      </c>
      <c r="C43" s="3041" t="s">
        <v>2549</v>
      </c>
      <c r="D43" s="3041" t="s">
        <v>2550</v>
      </c>
      <c r="E43" s="3042" t="s">
        <v>2551</v>
      </c>
      <c r="F43" s="3043"/>
      <c r="G43" s="3044"/>
      <c r="I43" s="3051" t="s">
        <v>2559</v>
      </c>
      <c r="J43" s="3051" t="s">
        <v>2570</v>
      </c>
    </row>
    <row r="44" spans="1:13">
      <c r="A44" s="3039" t="s">
        <v>2552</v>
      </c>
      <c r="B44" s="3040" t="s">
        <v>2553</v>
      </c>
      <c r="C44" s="3041" t="s">
        <v>2554</v>
      </c>
      <c r="D44" s="3045">
        <v>0.5</v>
      </c>
      <c r="E44" s="3042" t="s">
        <v>2555</v>
      </c>
      <c r="F44" s="3043"/>
      <c r="G44" s="3044"/>
      <c r="I44" s="3051">
        <v>30</v>
      </c>
      <c r="J44" s="3051">
        <v>81.7</v>
      </c>
    </row>
    <row r="45" spans="1:13" ht="14.25" thickBot="1">
      <c r="A45" s="3046" t="s">
        <v>2556</v>
      </c>
      <c r="B45" s="3047" t="s">
        <v>2543</v>
      </c>
      <c r="C45" s="3048" t="s">
        <v>2543</v>
      </c>
      <c r="D45" s="3048" t="s">
        <v>2557</v>
      </c>
      <c r="E45" s="3049" t="s">
        <v>2558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14" sqref="N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2164</v>
      </c>
      <c r="B1" s="3639" t="str">
        <f>IF(B10="北京市","北京市",C10)&amp;F10&amp;IF(结果表!G1="在建","出让国有建设用地使用权及在建建筑物",IF(结果表!G1="土地","出让国有建设用地使用权",))&amp;B9&amp;"预评估"</f>
        <v>北京市朝阳区首都机场航平西路银行附属办公楼房地产抵押价值预评估</v>
      </c>
      <c r="C1" s="3640"/>
      <c r="D1" s="3640"/>
      <c r="E1" s="3640"/>
      <c r="F1" s="3640"/>
      <c r="G1" s="3640"/>
      <c r="H1" s="3640"/>
      <c r="I1" s="3641"/>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北京市朝阳区首都机场航平西路银行附属办公楼房地产抵押价值</v>
      </c>
      <c r="T1" s="1743"/>
      <c r="U1" s="1743"/>
      <c r="V1" s="1743"/>
      <c r="W1" s="1743"/>
      <c r="X1" s="1743"/>
      <c r="Y1" s="1743"/>
      <c r="Z1" s="1743"/>
      <c r="AA1" s="1743"/>
      <c r="AB1" s="1743"/>
    </row>
    <row r="2" spans="1:30">
      <c r="A2" s="2365" t="s">
        <v>2165</v>
      </c>
      <c r="B2" s="2369"/>
      <c r="C2" s="2370"/>
      <c r="D2" s="2663"/>
      <c r="E2" s="2656"/>
      <c r="F2" s="2656"/>
      <c r="G2" s="2657"/>
      <c r="H2" s="2657"/>
      <c r="I2" s="2657"/>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北京市朝阳区首都机场航平西路银行附属办公楼房地产</v>
      </c>
      <c r="T2" s="1743"/>
      <c r="U2" s="1743"/>
      <c r="V2" s="1743"/>
      <c r="W2" s="1743"/>
      <c r="X2" s="1743"/>
      <c r="Y2" s="1743"/>
      <c r="Z2" s="1743"/>
      <c r="AA2" s="1743"/>
      <c r="AB2" s="1743"/>
    </row>
    <row r="3" spans="1:30">
      <c r="A3" s="302" t="s">
        <v>2166</v>
      </c>
      <c r="B3" s="2371">
        <v>44971</v>
      </c>
      <c r="C3" s="2372" t="s">
        <v>2167</v>
      </c>
      <c r="D3" s="2371">
        <f>B3</f>
        <v>44971</v>
      </c>
      <c r="E3" s="2657"/>
      <c r="F3" s="2657"/>
      <c r="G3" s="2657"/>
      <c r="H3" s="2657"/>
      <c r="I3" s="2657"/>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2168</v>
      </c>
      <c r="B4" s="2373" t="s">
        <v>3440</v>
      </c>
      <c r="C4" s="2374">
        <f ca="1">SUMIF(注册房地产估价师,B4,估价师及机构信息!B3:B24)</f>
        <v>1120070131</v>
      </c>
      <c r="D4" s="2373" t="s">
        <v>3441</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4"/>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2169</v>
      </c>
      <c r="B5" s="3451" t="s">
        <v>3439</v>
      </c>
      <c r="C5" s="2378"/>
      <c r="D5" s="2379"/>
      <c r="E5" s="2658"/>
      <c r="F5" s="2658"/>
      <c r="G5" s="2658"/>
      <c r="H5" s="2658"/>
      <c r="I5" s="2658"/>
      <c r="J5" s="2434"/>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2170</v>
      </c>
      <c r="B6" s="3451" t="s">
        <v>3439</v>
      </c>
      <c r="C6" s="2382"/>
      <c r="D6" s="2383"/>
      <c r="E6" s="2656"/>
      <c r="F6" s="2658"/>
      <c r="G6" s="2658"/>
      <c r="H6" s="2658"/>
      <c r="I6" s="2658"/>
      <c r="J6" s="2434"/>
      <c r="K6" s="2609" t="str">
        <f>IF(COUNTIF(B6,"*上海银行*"),"上海银行","")</f>
        <v/>
      </c>
      <c r="L6" s="2607"/>
      <c r="M6" s="2607"/>
      <c r="N6" s="2434"/>
      <c r="O6" s="2445"/>
      <c r="P6" s="2434"/>
      <c r="Q6" s="2434"/>
      <c r="R6" s="2434"/>
    </row>
    <row r="7" spans="1:30">
      <c r="A7" s="2380" t="s">
        <v>2171</v>
      </c>
      <c r="B7" s="2381" t="s">
        <v>3438</v>
      </c>
      <c r="C7" s="2382"/>
      <c r="D7" s="2383"/>
      <c r="E7" s="2656"/>
      <c r="F7" s="2658"/>
      <c r="G7" s="2658"/>
      <c r="H7" s="2658"/>
      <c r="I7" s="2658"/>
      <c r="J7" s="2434"/>
      <c r="K7" s="2610"/>
      <c r="L7" s="2607"/>
      <c r="M7" s="2607"/>
      <c r="N7" s="2434"/>
      <c r="O7" s="2445"/>
      <c r="P7" s="2434"/>
      <c r="Q7" s="2434"/>
      <c r="R7" s="2434"/>
    </row>
    <row r="8" spans="1:30">
      <c r="A8" s="2384" t="s">
        <v>2172</v>
      </c>
      <c r="B8" s="2385" t="s">
        <v>3367</v>
      </c>
      <c r="C8" s="2386"/>
      <c r="D8" s="3642" t="s">
        <v>2173</v>
      </c>
      <c r="E8" s="2387" t="s">
        <v>3368</v>
      </c>
      <c r="F8" s="2388"/>
      <c r="G8" s="2657"/>
      <c r="H8" s="2657"/>
      <c r="I8" s="2657"/>
      <c r="J8" s="2434"/>
      <c r="K8" s="2608"/>
      <c r="L8" s="2607"/>
      <c r="M8" s="2607"/>
      <c r="N8" s="2434"/>
      <c r="O8" s="2445"/>
      <c r="P8" s="2434"/>
      <c r="Q8" s="2434"/>
      <c r="R8" s="2434"/>
    </row>
    <row r="9" spans="1:30" ht="13.5" thickBot="1">
      <c r="A9" s="2389" t="s">
        <v>2174</v>
      </c>
      <c r="B9" s="2390" t="s">
        <v>3368</v>
      </c>
      <c r="C9" s="2391"/>
      <c r="D9" s="3643"/>
      <c r="E9" s="2390" t="s">
        <v>43</v>
      </c>
      <c r="F9" s="2392"/>
      <c r="G9" s="2659"/>
      <c r="H9" s="2659"/>
      <c r="I9" s="2659"/>
      <c r="J9" s="2434"/>
      <c r="K9" s="2610"/>
      <c r="L9" s="2607"/>
      <c r="M9" s="2607"/>
      <c r="N9" s="2434"/>
      <c r="O9" s="2445"/>
      <c r="P9" s="2434"/>
      <c r="Q9" s="2434"/>
      <c r="R9" s="2434"/>
    </row>
    <row r="10" spans="1:30" ht="13.5" thickTop="1">
      <c r="A10" s="2393" t="s">
        <v>2175</v>
      </c>
      <c r="B10" s="2394" t="s">
        <v>3369</v>
      </c>
      <c r="C10" s="2395"/>
      <c r="D10" s="2379"/>
      <c r="E10" s="2396" t="s">
        <v>2176</v>
      </c>
      <c r="F10" s="3455" t="s">
        <v>3460</v>
      </c>
      <c r="G10" s="2660"/>
      <c r="H10" s="2661"/>
      <c r="I10" s="2662"/>
      <c r="J10" s="2434"/>
      <c r="K10" s="2610"/>
      <c r="L10" s="2607"/>
      <c r="M10" s="2607"/>
      <c r="N10" s="2434"/>
      <c r="O10" s="2445"/>
      <c r="P10" s="2434"/>
      <c r="Q10" s="2434"/>
      <c r="R10" s="2434"/>
    </row>
    <row r="11" spans="1:30">
      <c r="A11" s="2397" t="s">
        <v>2177</v>
      </c>
      <c r="B11" s="2398" t="s">
        <v>3437</v>
      </c>
      <c r="C11" s="3456" t="s">
        <v>3461</v>
      </c>
      <c r="D11" s="2399"/>
      <c r="E11" s="2368"/>
      <c r="F11" s="2368"/>
      <c r="G11" s="2368"/>
      <c r="H11" s="2368"/>
      <c r="I11" s="2368"/>
      <c r="J11" s="3054"/>
      <c r="K11" s="3053"/>
      <c r="L11" s="2607"/>
      <c r="M11" s="2607"/>
      <c r="N11" s="2434"/>
      <c r="O11" s="2445"/>
      <c r="P11" s="2434"/>
      <c r="Q11" s="2434"/>
      <c r="R11" s="2434"/>
    </row>
    <row r="12" spans="1:30">
      <c r="A12" s="2400" t="s">
        <v>2178</v>
      </c>
      <c r="B12" s="323" t="s">
        <v>2179</v>
      </c>
      <c r="C12" s="2401" t="s">
        <v>2180</v>
      </c>
      <c r="D12" s="2401" t="s">
        <v>2181</v>
      </c>
      <c r="E12" s="2401" t="s">
        <v>2182</v>
      </c>
      <c r="F12" s="2401" t="s">
        <v>2183</v>
      </c>
      <c r="G12" s="2401" t="s">
        <v>2184</v>
      </c>
      <c r="H12" s="2401" t="s">
        <v>2185</v>
      </c>
      <c r="I12" s="3052" t="s">
        <v>2571</v>
      </c>
      <c r="J12" s="3055"/>
      <c r="K12" s="2607"/>
      <c r="L12" s="2607"/>
      <c r="M12" s="2434"/>
      <c r="N12" s="2445"/>
      <c r="O12" s="2434"/>
      <c r="P12" s="2434"/>
      <c r="Q12" s="2434"/>
      <c r="AD12" s="1743"/>
    </row>
    <row r="13" spans="1:30">
      <c r="A13" s="3418" t="s">
        <v>3333</v>
      </c>
      <c r="B13" s="2402" t="s">
        <v>2186</v>
      </c>
      <c r="C13" s="854"/>
      <c r="D13" s="854"/>
      <c r="E13" s="3450"/>
      <c r="F13" s="854"/>
      <c r="G13" s="854"/>
      <c r="H13" s="854"/>
      <c r="I13" s="854"/>
      <c r="J13" s="3055"/>
      <c r="K13" s="2607" t="s">
        <v>3436</v>
      </c>
      <c r="L13" s="2607"/>
      <c r="M13" s="2434"/>
      <c r="N13" s="2445"/>
      <c r="O13" s="2434"/>
      <c r="P13" s="2434"/>
      <c r="Q13" s="2434"/>
      <c r="AD13" s="1743"/>
    </row>
    <row r="14" spans="1:30">
      <c r="A14" s="1079"/>
      <c r="B14" s="2402" t="s">
        <v>2187</v>
      </c>
      <c r="C14" s="2403"/>
      <c r="D14" s="2403"/>
      <c r="E14" s="2403"/>
      <c r="F14" s="2403"/>
      <c r="G14" s="2403"/>
      <c r="H14" s="2403"/>
      <c r="I14" s="2403"/>
      <c r="J14" s="3056"/>
      <c r="K14" s="2607"/>
      <c r="L14" s="2607"/>
      <c r="M14" s="2434"/>
      <c r="N14" s="2445"/>
      <c r="O14" s="2434"/>
      <c r="P14" s="2434"/>
      <c r="Q14" s="2434"/>
      <c r="AD14" s="1743"/>
    </row>
    <row r="15" spans="1:30">
      <c r="A15" s="320"/>
      <c r="B15" s="2404" t="s">
        <v>2188</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3"/>
      <c r="N15" s="2446"/>
      <c r="O15" s="2503"/>
      <c r="P15" s="2434"/>
      <c r="Q15" s="2434"/>
      <c r="AD15" s="1743"/>
    </row>
    <row r="16" spans="1:30">
      <c r="A16" s="2396" t="s">
        <v>2189</v>
      </c>
      <c r="B16" s="3649"/>
      <c r="C16" s="3650"/>
      <c r="D16" s="3651"/>
      <c r="E16" s="2408" t="s">
        <v>2190</v>
      </c>
      <c r="F16" s="3652"/>
      <c r="G16" s="3653"/>
      <c r="H16" s="3653"/>
      <c r="I16" s="3654"/>
      <c r="J16" s="2434"/>
      <c r="K16" s="2611"/>
      <c r="L16" s="2446"/>
      <c r="M16" s="2446"/>
      <c r="N16" s="2503"/>
      <c r="O16" s="2446"/>
      <c r="P16" s="2503"/>
      <c r="Q16" s="2434"/>
      <c r="R16" s="2434"/>
    </row>
    <row r="17" spans="1:28">
      <c r="A17" s="313" t="s">
        <v>2191</v>
      </c>
      <c r="B17" s="302" t="s">
        <v>2192</v>
      </c>
      <c r="C17" s="8">
        <f>'数据-汇总表'!E3</f>
        <v>466.83</v>
      </c>
      <c r="D17" s="2320" t="s">
        <v>2193</v>
      </c>
      <c r="E17" s="3655" t="s">
        <v>2194</v>
      </c>
      <c r="F17" s="3656"/>
      <c r="G17" s="3656"/>
      <c r="H17" s="3656"/>
      <c r="I17" s="3657"/>
      <c r="J17" s="2434"/>
      <c r="K17" s="2612"/>
      <c r="L17" s="2446"/>
      <c r="M17" s="2446"/>
      <c r="N17" s="2503"/>
      <c r="O17" s="2446"/>
      <c r="P17" s="2503"/>
      <c r="Q17" s="2434"/>
      <c r="R17" s="2434"/>
      <c r="S17" s="2434"/>
      <c r="T17" s="2434"/>
      <c r="U17" s="2434"/>
      <c r="V17" s="2434"/>
    </row>
    <row r="18" spans="1:28" ht="24.75" thickBot="1">
      <c r="A18" s="2409" t="s">
        <v>2195</v>
      </c>
      <c r="B18" s="1088" t="s">
        <v>2196</v>
      </c>
      <c r="C18" s="2410">
        <f>'数据-汇总表'!D3</f>
        <v>202.08</v>
      </c>
      <c r="D18" s="1090" t="s">
        <v>2197</v>
      </c>
      <c r="E18" s="3658" t="s">
        <v>2198</v>
      </c>
      <c r="F18" s="3659"/>
      <c r="G18" s="3659"/>
      <c r="H18" s="3659"/>
      <c r="I18" s="3660"/>
      <c r="J18" s="2434"/>
      <c r="K18" s="2612"/>
      <c r="L18" s="2446"/>
      <c r="M18" s="2446"/>
      <c r="N18" s="2503"/>
      <c r="O18" s="2446"/>
      <c r="P18" s="2503"/>
      <c r="Q18" s="2434"/>
      <c r="R18" s="2434"/>
      <c r="S18" s="2434"/>
      <c r="T18" s="2434"/>
      <c r="U18" s="2434"/>
      <c r="V18" s="2434"/>
    </row>
    <row r="19" spans="1:28" ht="39.75" thickTop="1" thickBot="1">
      <c r="A19" s="327" t="s">
        <v>1055</v>
      </c>
      <c r="B19" s="307" t="s">
        <v>2199</v>
      </c>
      <c r="C19" s="1561" t="s">
        <v>3380</v>
      </c>
      <c r="D19" s="1562" t="s">
        <v>2200</v>
      </c>
      <c r="E19" s="1563" t="s">
        <v>3370</v>
      </c>
      <c r="F19" s="1564" t="str">
        <f>IF(AND(C19="是",E19="否"),"是否提供他项权证或相关说明","")</f>
        <v>是否提供他项权证或相关说明</v>
      </c>
      <c r="G19" s="1565" t="s">
        <v>3370</v>
      </c>
      <c r="H19" s="2658"/>
      <c r="I19" s="2658"/>
      <c r="J19" s="2434"/>
      <c r="K19" s="2610"/>
      <c r="L19" s="2607"/>
      <c r="M19" s="2607"/>
      <c r="N19" s="2503"/>
      <c r="O19" s="2446"/>
      <c r="P19" s="2503"/>
      <c r="Q19" s="2434"/>
      <c r="R19" s="2434"/>
      <c r="S19" s="2434"/>
      <c r="T19" s="2434"/>
      <c r="U19" s="2434"/>
      <c r="V19" s="2434"/>
    </row>
    <row r="20" spans="1:28">
      <c r="A20" s="2626" t="s">
        <v>2201</v>
      </c>
      <c r="B20" s="3645" t="s">
        <v>2202</v>
      </c>
      <c r="C20" s="3646"/>
      <c r="D20" s="3647" t="s">
        <v>2203</v>
      </c>
      <c r="E20" s="3648"/>
      <c r="F20" s="2641" t="s">
        <v>1056</v>
      </c>
      <c r="G20" s="2658"/>
      <c r="H20" s="2658"/>
      <c r="I20" s="2658"/>
      <c r="J20" s="2434"/>
      <c r="K20" s="3644" t="s">
        <v>2204</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7"/>
      <c r="O20" s="2406"/>
      <c r="P20" s="2407"/>
      <c r="Q20" s="2368"/>
      <c r="R20" s="2368"/>
      <c r="S20" s="2368"/>
      <c r="T20" s="2368"/>
      <c r="U20" s="2368"/>
      <c r="V20" s="2368"/>
      <c r="W20" s="1743"/>
      <c r="X20" s="1743"/>
      <c r="Y20" s="1743"/>
      <c r="Z20" s="1743"/>
      <c r="AA20" s="1743"/>
      <c r="AB20" s="1743"/>
    </row>
    <row r="21" spans="1:28" ht="24.75" thickBot="1">
      <c r="A21" s="2626"/>
      <c r="B21" s="2627" t="s">
        <v>2205</v>
      </c>
      <c r="C21" s="2628" t="s">
        <v>3442</v>
      </c>
      <c r="D21" s="1566" t="s">
        <v>2206</v>
      </c>
      <c r="E21" s="2629" t="s">
        <v>43</v>
      </c>
      <c r="F21" s="2642"/>
      <c r="G21" s="2658"/>
      <c r="H21" s="2658"/>
      <c r="I21" s="2658"/>
      <c r="J21" s="2434"/>
      <c r="K21" s="364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3"/>
      <c r="X21" s="1743"/>
      <c r="Y21" s="1743"/>
      <c r="Z21" s="1743"/>
      <c r="AA21" s="1743"/>
      <c r="AB21" s="1743"/>
    </row>
    <row r="22" spans="1:28" ht="24.75" thickBot="1">
      <c r="A22" s="2626"/>
      <c r="B22" s="2630" t="s">
        <v>2207</v>
      </c>
      <c r="C22" s="2628" t="s">
        <v>3442</v>
      </c>
      <c r="D22" s="2657"/>
      <c r="E22" s="2657"/>
      <c r="F22" s="2657"/>
      <c r="G22" s="2658"/>
      <c r="H22" s="2658"/>
      <c r="I22" s="2658"/>
      <c r="J22" s="2434"/>
      <c r="K22" s="364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3"/>
      <c r="X22" s="1743"/>
      <c r="Y22" s="1743"/>
      <c r="Z22" s="1743"/>
      <c r="AA22" s="1743"/>
      <c r="AB22" s="1743"/>
    </row>
    <row r="23" spans="1:28">
      <c r="A23" s="2631" t="s">
        <v>2208</v>
      </c>
      <c r="B23" s="2496" t="s">
        <v>2209</v>
      </c>
      <c r="C23" s="2632"/>
      <c r="D23" s="2633" t="s">
        <v>2209</v>
      </c>
      <c r="E23" s="2634"/>
      <c r="F23" s="2657"/>
      <c r="G23" s="2658"/>
      <c r="H23" s="2658"/>
      <c r="I23" s="2658"/>
      <c r="J23" s="2434"/>
      <c r="K23" s="2613"/>
      <c r="L23" s="2470"/>
      <c r="M23" s="2607"/>
      <c r="N23" s="2503"/>
      <c r="O23" s="2446"/>
      <c r="P23" s="2503"/>
      <c r="Q23" s="2434"/>
      <c r="R23" s="2434"/>
      <c r="S23" s="2434"/>
      <c r="T23" s="2434"/>
      <c r="U23" s="2434"/>
      <c r="V23" s="2434"/>
    </row>
    <row r="24" spans="1:28">
      <c r="A24" s="2631"/>
      <c r="B24" s="2496" t="s">
        <v>1057</v>
      </c>
      <c r="C24" s="2635"/>
      <c r="D24" s="2631" t="s">
        <v>1057</v>
      </c>
      <c r="E24" s="2636"/>
      <c r="F24" s="2657"/>
      <c r="G24" s="2658"/>
      <c r="H24" s="2658"/>
      <c r="I24" s="2658"/>
      <c r="J24" s="2434"/>
      <c r="K24" s="2613"/>
      <c r="L24" s="2470"/>
      <c r="M24" s="2607"/>
      <c r="N24" s="2503"/>
      <c r="O24" s="2446"/>
      <c r="P24" s="2503"/>
      <c r="Q24" s="2434"/>
      <c r="R24" s="2434"/>
      <c r="S24" s="2434"/>
      <c r="T24" s="2434"/>
      <c r="U24" s="2434"/>
      <c r="V24" s="2434"/>
    </row>
    <row r="25" spans="1:28">
      <c r="A25" s="2631"/>
      <c r="B25" s="2496" t="s">
        <v>1058</v>
      </c>
      <c r="C25" s="2635"/>
      <c r="D25" s="2631" t="s">
        <v>1058</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1059</v>
      </c>
      <c r="C26" s="2639"/>
      <c r="D26" s="2637" t="s">
        <v>1059</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632" t="s">
        <v>2210</v>
      </c>
      <c r="B27" s="320" t="s">
        <v>2211</v>
      </c>
      <c r="C27" s="2411" t="s">
        <v>3378</v>
      </c>
      <c r="D27" s="2412"/>
      <c r="E27" s="2658"/>
      <c r="F27" s="2658"/>
      <c r="G27" s="2658"/>
      <c r="H27" s="2658"/>
      <c r="I27" s="2658"/>
      <c r="J27" s="2434"/>
      <c r="K27" s="2611"/>
      <c r="L27" s="2446"/>
      <c r="M27" s="2446"/>
      <c r="N27" s="2503"/>
      <c r="O27" s="2446"/>
      <c r="P27" s="2503"/>
      <c r="Q27" s="2434"/>
      <c r="R27" s="2434"/>
      <c r="S27" s="2434"/>
      <c r="T27" s="2434"/>
      <c r="U27" s="2434"/>
      <c r="V27" s="2434"/>
    </row>
    <row r="28" spans="1:28">
      <c r="A28" s="3632"/>
      <c r="B28" s="302" t="s">
        <v>2212</v>
      </c>
      <c r="C28" s="2413"/>
      <c r="D28" s="2414" t="s">
        <v>3379</v>
      </c>
      <c r="E28" s="2658"/>
      <c r="F28" s="2658"/>
      <c r="G28" s="2658"/>
      <c r="H28" s="2658"/>
      <c r="I28" s="2658"/>
      <c r="J28" s="2434"/>
      <c r="K28" s="2610"/>
      <c r="L28" s="2607"/>
      <c r="M28" s="2607"/>
      <c r="N28" s="2434"/>
      <c r="O28" s="2445"/>
      <c r="P28" s="2434"/>
      <c r="Q28" s="2434"/>
      <c r="R28" s="2434"/>
      <c r="S28" s="2434"/>
      <c r="T28" s="2434"/>
      <c r="U28" s="2434"/>
      <c r="V28" s="2434"/>
    </row>
    <row r="29" spans="1:28">
      <c r="A29" s="3632"/>
      <c r="B29" s="302" t="s">
        <v>2213</v>
      </c>
      <c r="C29" s="2415"/>
      <c r="D29" s="2416"/>
      <c r="E29" s="2658"/>
      <c r="F29" s="2658"/>
      <c r="G29" s="2658"/>
      <c r="H29" s="2658"/>
      <c r="I29" s="2658"/>
      <c r="J29" s="2434"/>
      <c r="K29" s="2610"/>
      <c r="L29" s="2607"/>
      <c r="M29" s="2607"/>
      <c r="N29" s="2434"/>
      <c r="O29" s="2445"/>
      <c r="P29" s="2434"/>
      <c r="Q29" s="2434"/>
      <c r="R29" s="2434"/>
      <c r="S29" s="2434"/>
      <c r="T29" s="2434"/>
      <c r="U29" s="2434"/>
      <c r="V29" s="2434"/>
    </row>
    <row r="30" spans="1:28">
      <c r="A30" s="3633"/>
      <c r="B30" s="302" t="s">
        <v>2214</v>
      </c>
      <c r="C30" s="3634"/>
      <c r="D30" s="3635"/>
      <c r="E30" s="2658"/>
      <c r="F30" s="2658"/>
      <c r="G30" s="2658"/>
      <c r="H30" s="2658"/>
      <c r="I30" s="2658"/>
      <c r="J30" s="2434"/>
      <c r="K30" s="2610"/>
      <c r="L30" s="2607"/>
      <c r="M30" s="2607"/>
      <c r="N30" s="2434"/>
      <c r="O30" s="2445"/>
      <c r="P30" s="2434"/>
      <c r="Q30" s="2434"/>
      <c r="R30" s="2434"/>
      <c r="S30" s="2434"/>
      <c r="T30" s="2434"/>
      <c r="U30" s="2434"/>
      <c r="V30" s="2434"/>
    </row>
    <row r="31" spans="1:28">
      <c r="A31" s="3636" t="s">
        <v>2215</v>
      </c>
      <c r="B31" s="2417" t="s">
        <v>3377</v>
      </c>
      <c r="C31" s="2321" t="str">
        <f>IF(B31="现房","成新及维护状况正常否",IF(B31="在建","工程状态是否正常",IF(B31="土地","是否闲置","-")))</f>
        <v>成新及维护状况正常否</v>
      </c>
      <c r="D31" s="1371"/>
      <c r="E31" s="2418"/>
      <c r="F31" s="2658"/>
      <c r="G31" s="2658"/>
      <c r="H31" s="2658"/>
      <c r="I31" s="2658"/>
      <c r="J31" s="2434"/>
      <c r="K31" s="2609"/>
      <c r="L31" s="2607"/>
      <c r="M31" s="2607"/>
      <c r="N31" s="2434"/>
      <c r="O31" s="2445"/>
      <c r="P31" s="2434"/>
      <c r="Q31" s="2434"/>
      <c r="R31" s="2434"/>
      <c r="S31" s="2434"/>
      <c r="T31" s="2434"/>
      <c r="U31" s="2434"/>
      <c r="V31" s="2434"/>
    </row>
    <row r="32" spans="1:28">
      <c r="A32" s="3637"/>
      <c r="B32" s="2417"/>
      <c r="C32" s="2321" t="str">
        <f>IF(B32="现房","成新及维护状况是否正常",IF(B32="在建","工程状态是否正常",IF(B32="土地","是否闲置","-")))</f>
        <v>-</v>
      </c>
      <c r="D32" s="1371"/>
      <c r="E32" s="2418"/>
      <c r="F32" s="2658"/>
      <c r="G32" s="2658"/>
      <c r="H32" s="2658"/>
      <c r="I32" s="2658"/>
      <c r="J32" s="2434"/>
      <c r="K32" s="2610"/>
      <c r="L32" s="2607"/>
      <c r="M32" s="2607"/>
      <c r="N32" s="2434"/>
      <c r="O32" s="2445"/>
      <c r="P32" s="2434"/>
      <c r="Q32" s="2434"/>
      <c r="R32" s="2434"/>
      <c r="S32" s="2434"/>
      <c r="T32" s="2434"/>
      <c r="U32" s="2434"/>
      <c r="V32" s="2434"/>
    </row>
    <row r="33" spans="1:30">
      <c r="A33" s="3637"/>
      <c r="B33" s="2420"/>
      <c r="C33" s="1588" t="str">
        <f>IF(B33="现房","成新及维护状况是否正常",IF(B33="在建","工程状态是否正常",IF(B33="土地","是否闲置","-")))</f>
        <v>-</v>
      </c>
      <c r="D33" s="1363"/>
      <c r="E33" s="2421"/>
      <c r="F33" s="2658"/>
      <c r="G33" s="2658"/>
      <c r="H33" s="2658"/>
      <c r="I33" s="2658"/>
      <c r="J33" s="2434"/>
      <c r="K33" s="2610"/>
      <c r="L33" s="2607"/>
      <c r="M33" s="2607"/>
      <c r="N33" s="2434"/>
      <c r="O33" s="2445"/>
      <c r="P33" s="2434"/>
      <c r="Q33" s="2434"/>
      <c r="R33" s="2434"/>
      <c r="S33" s="2434"/>
      <c r="T33" s="2434"/>
      <c r="U33" s="2434"/>
      <c r="V33" s="2434"/>
    </row>
    <row r="34" spans="1:30">
      <c r="A34" s="302" t="s">
        <v>2216</v>
      </c>
      <c r="B34" s="2024" t="s">
        <v>3371</v>
      </c>
      <c r="C34" s="2024" t="s">
        <v>3372</v>
      </c>
      <c r="D34" s="2024" t="s">
        <v>3373</v>
      </c>
      <c r="E34" s="2024" t="s">
        <v>3374</v>
      </c>
      <c r="F34" s="2024" t="s">
        <v>3375</v>
      </c>
      <c r="G34" s="2024" t="s">
        <v>3376</v>
      </c>
      <c r="H34" s="2024"/>
      <c r="I34" s="2658"/>
      <c r="J34" s="2434"/>
      <c r="K34" s="2422">
        <f>COUNTIF(B34:H34,"——")</f>
        <v>0</v>
      </c>
      <c r="L34" s="323" t="s">
        <v>2217</v>
      </c>
      <c r="M34" s="323" t="s">
        <v>2218</v>
      </c>
      <c r="N34" s="323" t="s">
        <v>2219</v>
      </c>
      <c r="O34" s="323" t="s">
        <v>2220</v>
      </c>
      <c r="P34" s="323" t="s">
        <v>2221</v>
      </c>
      <c r="Q34" s="323" t="s">
        <v>2222</v>
      </c>
      <c r="R34" s="323" t="s">
        <v>2223</v>
      </c>
      <c r="S34" s="3631" t="s">
        <v>2224</v>
      </c>
      <c r="T34" s="2423" t="str">
        <f>NUMBERSTRING(7-K34,1)&amp;"通"</f>
        <v>七通</v>
      </c>
      <c r="U34" s="2434"/>
      <c r="V34" s="2434"/>
    </row>
    <row r="35" spans="1:30">
      <c r="A35" s="2424"/>
      <c r="B35" s="3638" t="s">
        <v>2225</v>
      </c>
      <c r="C35" s="3638"/>
      <c r="D35" s="3638"/>
      <c r="E35" s="3638"/>
      <c r="F35" s="662">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31"/>
      <c r="T35" s="329" t="str">
        <f>IF(T34="一通",L35,IF(T34="二通",M35,IF(T34="三通",N35,IF(T34="四通",O35,IF(T34="五通",P35,IF(T34="六通",Q35,R35))))))</f>
        <v>通路、通电、通讯、通上水、通下水、平整、</v>
      </c>
      <c r="U35" s="2434"/>
      <c r="V35" s="2434"/>
    </row>
    <row r="36" spans="1:30">
      <c r="A36" s="2425"/>
      <c r="B36" s="662" t="s">
        <v>2181</v>
      </c>
      <c r="C36" s="662" t="s">
        <v>2182</v>
      </c>
      <c r="D36" s="662" t="s">
        <v>2180</v>
      </c>
      <c r="E36" s="662" t="s">
        <v>2185</v>
      </c>
      <c r="F36" s="3058" t="s">
        <v>2574</v>
      </c>
      <c r="G36" s="2658"/>
      <c r="H36" s="2658"/>
      <c r="I36" s="2658"/>
      <c r="J36" s="2434"/>
      <c r="K36" s="2610"/>
      <c r="L36" s="2607"/>
      <c r="M36" s="2607"/>
      <c r="N36" s="2434"/>
      <c r="O36" s="2445"/>
      <c r="P36" s="2434"/>
      <c r="Q36" s="2434"/>
      <c r="R36" s="2434"/>
      <c r="S36" s="2434"/>
      <c r="T36" s="2434"/>
      <c r="U36" s="2434"/>
      <c r="V36" s="2434"/>
    </row>
    <row r="37" spans="1:30">
      <c r="A37" s="2624" t="s">
        <v>2226</v>
      </c>
      <c r="B37" s="2426"/>
      <c r="C37" s="2426" t="s">
        <v>144</v>
      </c>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2227</v>
      </c>
      <c r="B38" s="2427"/>
      <c r="C38" s="2427" t="s">
        <v>145</v>
      </c>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2228</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6"/>
      <c r="M40" s="2446"/>
      <c r="N40" s="2503"/>
      <c r="O40" s="2446"/>
      <c r="P40" s="2434"/>
      <c r="Q40" s="2434"/>
      <c r="R40" s="2434"/>
      <c r="S40" s="2434"/>
      <c r="T40" s="2434"/>
      <c r="U40" s="2434"/>
      <c r="V40" s="2434"/>
    </row>
    <row r="41" spans="1:30">
      <c r="A41" s="2431" t="s">
        <v>2229</v>
      </c>
      <c r="B41" s="1755"/>
      <c r="C41" s="1371"/>
      <c r="D41" s="2368"/>
      <c r="E41" s="2368"/>
      <c r="F41" s="2368"/>
      <c r="G41" s="2368"/>
      <c r="H41" s="2368"/>
      <c r="I41" s="1574"/>
      <c r="J41" s="2434"/>
      <c r="K41" s="2610"/>
      <c r="L41" s="2607"/>
      <c r="M41" s="2607"/>
      <c r="N41" s="2434"/>
      <c r="O41" s="2445"/>
      <c r="P41" s="2434"/>
      <c r="Q41" s="2434"/>
      <c r="R41" s="2434"/>
      <c r="S41" s="2434"/>
      <c r="T41" s="2434"/>
      <c r="U41" s="2434"/>
      <c r="V41" s="2434"/>
    </row>
    <row r="42" spans="1:30" ht="25.5">
      <c r="A42" s="323" t="s">
        <v>2230</v>
      </c>
      <c r="B42" s="8" t="s">
        <v>2231</v>
      </c>
      <c r="C42" s="8" t="s">
        <v>2232</v>
      </c>
      <c r="D42" s="8" t="s">
        <v>2233</v>
      </c>
      <c r="E42" s="8" t="s">
        <v>2234</v>
      </c>
      <c r="F42" s="8" t="s">
        <v>2235</v>
      </c>
      <c r="G42" s="8" t="s">
        <v>2236</v>
      </c>
      <c r="H42" s="8" t="s">
        <v>2237</v>
      </c>
      <c r="I42" s="8" t="s">
        <v>2238</v>
      </c>
      <c r="J42" s="2620" t="s">
        <v>2239</v>
      </c>
      <c r="K42" s="2621" t="s">
        <v>2240</v>
      </c>
      <c r="L42" s="2621" t="s">
        <v>2241</v>
      </c>
      <c r="M42" s="2621" t="s">
        <v>2242</v>
      </c>
      <c r="N42" s="2614" t="s">
        <v>2243</v>
      </c>
      <c r="O42" s="2614" t="s">
        <v>2244</v>
      </c>
      <c r="P42" s="2614" t="s">
        <v>2245</v>
      </c>
      <c r="Q42" s="2615" t="s">
        <v>2246</v>
      </c>
      <c r="R42" s="2615" t="s">
        <v>2247</v>
      </c>
      <c r="S42" s="2434"/>
      <c r="T42" s="2434"/>
      <c r="U42" s="2434"/>
      <c r="V42" s="2434"/>
    </row>
    <row r="43" spans="1:30" s="1741" customFormat="1">
      <c r="A43" s="1568"/>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1" customFormat="1">
      <c r="A44" s="1568"/>
      <c r="B44" s="1568"/>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1" customFormat="1">
      <c r="A45" s="1568"/>
      <c r="B45" s="1568"/>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1" customFormat="1">
      <c r="A46" s="1568"/>
      <c r="B46" s="1568"/>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1" customFormat="1">
      <c r="A47" s="1568"/>
      <c r="B47" s="1568"/>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1" customFormat="1">
      <c r="A48" s="1568"/>
      <c r="B48" s="1568"/>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1" customFormat="1">
      <c r="A49" s="1568"/>
      <c r="B49" s="1568"/>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1" customFormat="1">
      <c r="A50" s="1568"/>
      <c r="B50" s="1568"/>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1" customFormat="1">
      <c r="A51" s="1568"/>
      <c r="B51" s="1568"/>
      <c r="C51" s="1049"/>
      <c r="D51" s="1049"/>
      <c r="E51" s="1049"/>
      <c r="F51" s="1049"/>
      <c r="G51" s="1049"/>
      <c r="H51" s="1049"/>
      <c r="I51" s="1049"/>
      <c r="J51" s="2432"/>
      <c r="K51" s="2433"/>
      <c r="L51" s="2433"/>
      <c r="M51" s="1049"/>
      <c r="N51" s="1049"/>
      <c r="O51" s="1049"/>
      <c r="P51" s="1049"/>
      <c r="Q51" s="1049"/>
      <c r="R51" s="1049"/>
    </row>
    <row r="52" spans="1:22" s="1741" customFormat="1">
      <c r="A52" s="1568"/>
      <c r="B52" s="1568"/>
      <c r="C52" s="1568"/>
      <c r="D52" s="1568"/>
      <c r="E52" s="1568"/>
      <c r="F52" s="1049"/>
      <c r="G52" s="1568"/>
      <c r="H52" s="1568"/>
      <c r="I52" s="1568"/>
      <c r="J52" s="2435"/>
      <c r="K52" s="2433"/>
      <c r="L52" s="2433"/>
      <c r="M52" s="2433"/>
      <c r="N52" s="1568"/>
      <c r="O52" s="1568"/>
      <c r="P52" s="1568"/>
      <c r="Q52" s="1568"/>
      <c r="R52" s="1568"/>
    </row>
    <row r="53" spans="1:22" s="1741" customFormat="1">
      <c r="A53" s="1568"/>
      <c r="B53" s="1568"/>
      <c r="C53" s="1568"/>
      <c r="D53" s="1568"/>
      <c r="E53" s="1568"/>
      <c r="F53" s="1049"/>
      <c r="G53" s="1568"/>
      <c r="H53" s="1568"/>
      <c r="I53" s="1568"/>
      <c r="J53" s="2435"/>
      <c r="K53" s="2433"/>
      <c r="L53" s="2433"/>
      <c r="M53" s="2433"/>
      <c r="N53" s="1568"/>
      <c r="O53" s="1568"/>
      <c r="P53" s="1568"/>
      <c r="Q53" s="1568"/>
      <c r="R53" s="1568"/>
    </row>
    <row r="54" spans="1:22" s="1741" customFormat="1">
      <c r="A54" s="1568"/>
      <c r="B54" s="1568"/>
      <c r="C54" s="1568"/>
      <c r="D54" s="1568"/>
      <c r="E54" s="1568"/>
      <c r="F54" s="1049"/>
      <c r="G54" s="1568"/>
      <c r="H54" s="1568"/>
      <c r="I54" s="1568"/>
      <c r="J54" s="2435"/>
      <c r="K54" s="2433"/>
      <c r="L54" s="2433"/>
      <c r="M54" s="2433"/>
      <c r="N54" s="1568"/>
      <c r="O54" s="1568"/>
      <c r="P54" s="1568"/>
      <c r="Q54" s="1568"/>
      <c r="R54" s="1568"/>
    </row>
    <row r="55" spans="1:22" s="1741" customFormat="1">
      <c r="A55" s="1568"/>
      <c r="B55" s="1568"/>
      <c r="C55" s="1568"/>
      <c r="D55" s="1568"/>
      <c r="E55" s="1568"/>
      <c r="F55" s="1049"/>
      <c r="G55" s="1568"/>
      <c r="H55" s="1568"/>
      <c r="I55" s="1568"/>
      <c r="J55" s="2435"/>
      <c r="K55" s="2433"/>
      <c r="L55" s="2433"/>
      <c r="M55" s="2433"/>
      <c r="N55" s="1568"/>
      <c r="O55" s="1568"/>
      <c r="P55" s="1568"/>
      <c r="Q55" s="1568"/>
      <c r="R55" s="1568"/>
    </row>
    <row r="56" spans="1:22" s="1741" customFormat="1">
      <c r="A56" s="1568"/>
      <c r="B56" s="1568"/>
      <c r="C56" s="1568"/>
      <c r="D56" s="1568"/>
      <c r="E56" s="1568"/>
      <c r="F56" s="1049"/>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202.08</v>
      </c>
      <c r="B3" s="11">
        <f>IF(C3="否",G5-AT5,G5)</f>
        <v>466.83</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466.83</v>
      </c>
      <c r="H5" s="13">
        <f t="shared" ref="H5:AT5" si="0">SUM(H13:H656)</f>
        <v>466.83</v>
      </c>
      <c r="I5" s="13">
        <f t="shared" si="0"/>
        <v>466.83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466.83</v>
      </c>
      <c r="BA5" s="15">
        <f t="shared" si="1"/>
        <v>466.83</v>
      </c>
      <c r="BB5" s="15">
        <f t="shared" si="1"/>
        <v>466.83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202.08</v>
      </c>
      <c r="F6" s="13" t="s">
        <v>0</v>
      </c>
      <c r="G6" s="13" t="s">
        <v>1</v>
      </c>
      <c r="H6" s="17">
        <f>SUMIF(I$12:AB$12,"总值",I6:AB6)</f>
        <v>202.08</v>
      </c>
      <c r="I6" s="13">
        <f t="shared" ref="I6:AB6" si="2">ROUND($A$3*I5/$B$3,2)</f>
        <v>202.08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202.08</v>
      </c>
      <c r="AZ6" s="13" t="s">
        <v>2</v>
      </c>
      <c r="BA6" s="13">
        <f>ROUND($AY$6*BA5/$AZ$5,2)</f>
        <v>202.08</v>
      </c>
      <c r="BB6" s="13">
        <f>ROUND($AY$6*BB5/$AZ$5,2)</f>
        <v>202.08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3381</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3462</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独立商业</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3380</v>
      </c>
      <c r="E13" s="13">
        <f>IF($C$3="是",ROUND($A$3*G13/$B$3,2),ROUND($A$3*(G13-AT13)/$B$3,2))</f>
        <v>202.08</v>
      </c>
      <c r="F13" s="29"/>
      <c r="G13" s="30">
        <f>H13+AC13+AT13</f>
        <v>466.83</v>
      </c>
      <c r="H13" s="17">
        <f>SUMIF(I$12:AB$12,"总值",I13:AB13)</f>
        <v>466.83</v>
      </c>
      <c r="I13" s="1624">
        <v>466.83</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202.08</v>
      </c>
      <c r="AZ13" s="13">
        <f>BA13+BL13</f>
        <v>466.83</v>
      </c>
      <c r="BA13" s="13">
        <f>SUM(BB13:BK13)</f>
        <v>466.83</v>
      </c>
      <c r="BB13" s="13">
        <f>IF($D13="是",I13-J13,0)</f>
        <v>466.83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c r="D14" s="1623" t="s">
        <v>3370</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t="s">
        <v>3370</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39" sqref="C3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670" t="s">
        <v>1129</v>
      </c>
      <c r="B2" s="3670"/>
      <c r="C2" s="3670"/>
      <c r="D2" s="794" t="s">
        <v>1105</v>
      </c>
      <c r="E2" s="1637" t="s">
        <v>1106</v>
      </c>
      <c r="F2" s="2653"/>
      <c r="G2" s="2644"/>
      <c r="H2" s="2645"/>
      <c r="I2" s="2323" t="s">
        <v>1130</v>
      </c>
      <c r="J2" s="2653"/>
      <c r="K2" s="2653"/>
      <c r="L2" s="2653"/>
      <c r="M2" s="2653"/>
      <c r="N2" s="2655"/>
      <c r="O2" s="2653"/>
      <c r="P2" s="2653"/>
    </row>
    <row r="3" spans="1:16" ht="15.75" thickBot="1">
      <c r="A3" s="3671" t="s">
        <v>1103</v>
      </c>
      <c r="B3" s="3671"/>
      <c r="C3" s="3671"/>
      <c r="D3" s="43">
        <f>'数据-基础表'!AY6</f>
        <v>202.08</v>
      </c>
      <c r="E3" s="43">
        <f>'数据-基础表'!AZ5</f>
        <v>466.83</v>
      </c>
      <c r="F3" s="2653"/>
      <c r="G3" s="1143"/>
      <c r="H3" s="1024" t="s">
        <v>1104</v>
      </c>
      <c r="I3" s="853">
        <f>ROUND('数据-基础表'!B3/'数据-基础表'!A3,2)</f>
        <v>2.31</v>
      </c>
      <c r="J3" s="2653"/>
      <c r="K3" s="2653"/>
      <c r="L3" s="2653"/>
      <c r="M3" s="2653"/>
      <c r="N3" s="2655"/>
      <c r="O3" s="2653"/>
      <c r="P3" s="2653"/>
    </row>
    <row r="4" spans="1:16" ht="15">
      <c r="A4" s="3672"/>
      <c r="B4" s="3673"/>
      <c r="C4" s="3674"/>
      <c r="D4" s="1639" t="s">
        <v>1105</v>
      </c>
      <c r="E4" s="1640" t="s">
        <v>1106</v>
      </c>
      <c r="F4" s="2653"/>
      <c r="G4" s="2646" t="s">
        <v>1131</v>
      </c>
      <c r="H4" s="1024" t="s">
        <v>1111</v>
      </c>
      <c r="I4" s="853">
        <f>ROUND(SUMIF('数据-基础表'!I9:AS9,"地上",'数据-基础表'!I5:AS5)/'数据-基础表'!A3,2)</f>
        <v>2.31</v>
      </c>
      <c r="J4" s="2653"/>
      <c r="K4" s="2653"/>
      <c r="L4" s="2653"/>
      <c r="M4" s="2653"/>
      <c r="N4" s="2655"/>
      <c r="O4" s="2653"/>
      <c r="P4" s="2653"/>
    </row>
    <row r="5" spans="1:16">
      <c r="A5" s="44" t="s">
        <v>1107</v>
      </c>
      <c r="B5" s="3675" t="s">
        <v>1108</v>
      </c>
      <c r="C5" s="3675"/>
      <c r="D5" s="45">
        <f>ROUND($D$3*E5/$E$3,2)</f>
        <v>0</v>
      </c>
      <c r="E5" s="46">
        <f>SUMIF('数据-基础表'!$11:$11,"住宅",'数据-基础表'!$5:$5)</f>
        <v>0</v>
      </c>
      <c r="F5" s="2653"/>
      <c r="G5" s="1143"/>
      <c r="H5" s="1024" t="s">
        <v>1104</v>
      </c>
      <c r="I5" s="853">
        <f>ROUND(E31/D31,2)</f>
        <v>2.31</v>
      </c>
      <c r="J5" s="2653"/>
      <c r="K5" s="2653"/>
      <c r="L5" s="2653"/>
      <c r="M5" s="2653"/>
      <c r="N5" s="2653"/>
      <c r="O5" s="2653"/>
      <c r="P5" s="2653"/>
    </row>
    <row r="6" spans="1:16" ht="15" thickBot="1">
      <c r="A6" s="1642"/>
      <c r="B6" s="3675" t="s">
        <v>1109</v>
      </c>
      <c r="C6" s="3675"/>
      <c r="D6" s="45">
        <f>ROUND($D$3*E6/$E$3,2)</f>
        <v>202.08</v>
      </c>
      <c r="E6" s="46">
        <f>E3-E5</f>
        <v>466.83</v>
      </c>
      <c r="F6" s="2653"/>
      <c r="G6" s="2647" t="s">
        <v>1110</v>
      </c>
      <c r="H6" s="1144" t="s">
        <v>1111</v>
      </c>
      <c r="I6" s="2648">
        <f>ROUND(F31/D31,2)</f>
        <v>2.31</v>
      </c>
      <c r="J6" s="2653"/>
      <c r="K6" s="2653"/>
      <c r="L6" s="2653"/>
      <c r="M6" s="2653"/>
      <c r="N6" s="2653"/>
      <c r="O6" s="2653"/>
      <c r="P6" s="2653"/>
    </row>
    <row r="7" spans="1:16" ht="15.75" thickBot="1">
      <c r="A7" s="3667"/>
      <c r="B7" s="3668"/>
      <c r="C7" s="3669"/>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202.08</v>
      </c>
      <c r="E8" s="48">
        <f>SUMIF('数据-基础表'!BB10:BK10,"地上",'数据-基础表'!BB5:BK5)</f>
        <v>466.83</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202.08</v>
      </c>
      <c r="E16" s="50">
        <f>SUM(E8:E15)</f>
        <v>466.83</v>
      </c>
      <c r="F16" s="2653"/>
      <c r="G16" s="2654"/>
      <c r="H16" s="1646" t="s">
        <v>1133</v>
      </c>
      <c r="I16" s="1647"/>
      <c r="J16" s="1137"/>
      <c r="K16" s="3664" t="s">
        <v>1133</v>
      </c>
      <c r="L16" s="3665"/>
      <c r="M16" s="3665"/>
      <c r="N16" s="3665"/>
      <c r="O16" s="3665"/>
      <c r="P16" s="3666"/>
    </row>
    <row r="17" spans="1:19" ht="15">
      <c r="A17" s="1648" t="s">
        <v>1134</v>
      </c>
      <c r="B17" s="1649" t="s">
        <v>1135</v>
      </c>
      <c r="C17" s="1650" t="s">
        <v>1136</v>
      </c>
      <c r="D17" s="1651" t="s">
        <v>1124</v>
      </c>
      <c r="E17" s="1652" t="s">
        <v>1125</v>
      </c>
      <c r="F17" s="1653"/>
      <c r="G17" s="1654"/>
      <c r="H17" s="1655" t="s">
        <v>1137</v>
      </c>
      <c r="I17" s="1656" t="s">
        <v>1122</v>
      </c>
      <c r="J17" s="1137"/>
      <c r="K17" s="3661" t="s">
        <v>1138</v>
      </c>
      <c r="L17" s="3662"/>
      <c r="M17" s="3663"/>
      <c r="N17" s="3661" t="s">
        <v>1139</v>
      </c>
      <c r="O17" s="3662"/>
      <c r="P17" s="3663"/>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3463</v>
      </c>
      <c r="D19" s="45">
        <f>ROUND($D$3*E19/$E$3,2)</f>
        <v>202.08</v>
      </c>
      <c r="E19" s="53">
        <f t="shared" ref="E19:E26" si="1">SUM(F19:G19)</f>
        <v>466.83</v>
      </c>
      <c r="F19" s="2788">
        <f>'数据-基础表'!I13</f>
        <v>466.83</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202.08</v>
      </c>
      <c r="S19" s="1025">
        <f t="shared" si="5"/>
        <v>466.83</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202.08</v>
      </c>
      <c r="E27" s="1139">
        <f>IF(SUM(E19:E26)='数据-基础表'!BA5,SUM(E19:E26),IF(F27="地上面积有误","面积有误","地下面积有误"))</f>
        <v>466.83</v>
      </c>
      <c r="F27" s="1138">
        <f>IF(SUM(F19:F26)=E8,SUM(F19:F26),"地上面积有误")</f>
        <v>466.83</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202.08</v>
      </c>
      <c r="S27" s="1024">
        <f>IF(SUM(S19:S26)=$E$3,SUM(S19:S26),SUM(S19:S26)&amp;"误差"&amp;ROUND(SUM(S19:S26)-E3,2))</f>
        <v>466.83</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202.08</v>
      </c>
      <c r="E31" s="674">
        <f>E27+E30</f>
        <v>466.83</v>
      </c>
      <c r="F31" s="675">
        <f>F27+F30</f>
        <v>466.83</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5" sqref="B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44971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3382</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21</v>
      </c>
      <c r="D6" s="856">
        <f>SUMIF(项目基本情况!C$12:I$12,C6,项目基本情况!C$14:I$14)</f>
        <v>0</v>
      </c>
      <c r="E6" s="855">
        <f>IF(B6="","",SUMIF(项目基本情况!C$12:H$12,C6,项目基本情况!C$13:H$13))</f>
        <v>0</v>
      </c>
      <c r="F6" s="64">
        <f>SUMIF(项目基本情况!C$12:I$12,C6,项目基本情况!C$15:I$15)</f>
        <v>0</v>
      </c>
      <c r="G6" s="65">
        <f>IF(ISERROR(ROUND(POWER(1+H6,D6-F6)*(POWER(1+H6,F6)-1)/(POWER(1+H6,D6)-1),3)),0,ROUND(POWER(1+H6,D6-F6)*(POWER(1+H6,F6)-1)/(POWER(1+H6,D6)-1),3))</f>
        <v>0</v>
      </c>
      <c r="H6" s="730">
        <v>0.05</v>
      </c>
      <c r="I6" s="730">
        <v>5.5E-2</v>
      </c>
      <c r="J6" s="66">
        <v>0.08</v>
      </c>
      <c r="K6" s="1028">
        <f>SUMIF('数据-汇总表'!C$19:C$33,A6,'数据-汇总表'!E$19:E$33)</f>
        <v>466.83</v>
      </c>
      <c r="L6" s="731">
        <v>2500</v>
      </c>
      <c r="M6" s="67">
        <f t="shared" ref="M6:M14" si="0">ROUND(K6*L6/10000,0)</f>
        <v>117</v>
      </c>
      <c r="N6" s="729">
        <v>0.6</v>
      </c>
      <c r="O6" s="67" t="str">
        <f>IF($N$5="成新度","——",ROUND(M6*N6,0))</f>
        <v>——</v>
      </c>
      <c r="P6" s="68" t="str">
        <f>IF($N$5="成新度","——",M6-O6)</f>
        <v>——</v>
      </c>
      <c r="Q6" s="732">
        <v>0.15</v>
      </c>
      <c r="R6" s="69">
        <f ca="1">SUMIF('数据-汇总表'!C$19:C$33,A6,'数据-汇总表'!R$19:R$27)</f>
        <v>202.08</v>
      </c>
      <c r="S6" s="51">
        <f>IF('数据-汇总表'!$I$17="按面积比例",SUMIF('数据-汇总表'!C$19:C$33,A6,'数据-汇总表'!K$19:K$33),SUMIF('数据-汇总表'!C$19:C$33,A6,'数据-汇总表'!N$19:N$33))</f>
        <v>0</v>
      </c>
      <c r="T6" s="1170">
        <f>ROUND($L$14*S6/10000,0)</f>
        <v>0</v>
      </c>
      <c r="U6" s="3423">
        <v>8771</v>
      </c>
      <c r="V6" s="70">
        <v>0.03</v>
      </c>
      <c r="W6" s="70">
        <v>0.1</v>
      </c>
      <c r="X6" s="1038"/>
      <c r="Y6" s="71">
        <f>N6</f>
        <v>0.6</v>
      </c>
      <c r="Z6" s="72"/>
      <c r="AA6" s="66"/>
      <c r="AB6" s="66"/>
      <c r="AC6" s="1038"/>
      <c r="AD6" s="73"/>
      <c r="AE6" s="1039">
        <f ca="1">IF(AN6="",0,SUMIF(INDIRECT("'"&amp;AN6&amp;"'"&amp;"!E:E"),$AE$5,INDIRECT("'"&amp;AN6&amp;"'"&amp;"!F:F")))</f>
        <v>0</v>
      </c>
      <c r="AF6" s="1346"/>
      <c r="AG6" s="138">
        <f>IF(AF6="",0,AE6-AF6)</f>
        <v>0</v>
      </c>
      <c r="AH6" s="74"/>
      <c r="AI6" s="76">
        <v>365</v>
      </c>
      <c r="AJ6" s="77"/>
      <c r="AK6" s="78">
        <v>0.01</v>
      </c>
      <c r="AL6" s="79">
        <v>1E-3</v>
      </c>
      <c r="AM6" s="80">
        <v>0.01</v>
      </c>
      <c r="AN6" s="1713" t="s">
        <v>3387</v>
      </c>
      <c r="AO6" s="52">
        <f ca="1">SUMIF(INDIRECT("'"&amp;AN6&amp;"'"&amp;"!A:A"),"总价",INDIRECT("'"&amp;AN6&amp;"'"&amp;"!B:B"))</f>
        <v>578.16899999999998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t="e">
        <f>ROUND(SUMPRODUCT(G6:G13,K6:K13)/SUMPRODUCT((G6:G13&gt;0)*(K6:K13)),3)</f>
        <v>#DIV/0!</v>
      </c>
      <c r="H16" s="90">
        <f>ROUND(SUMPRODUCT(H6:H13,K6:K13)/SUMPRODUCT((H6:H13&gt;0)*(K6:K13)),3)</f>
        <v>0.05</v>
      </c>
      <c r="I16" s="91"/>
      <c r="J16" s="91"/>
      <c r="K16" s="92">
        <f>SUM(K6:K15)</f>
        <v>466.83</v>
      </c>
      <c r="L16" s="93">
        <f>ROUND(M16*10000/SUM(K6:K14),0)</f>
        <v>2506</v>
      </c>
      <c r="M16" s="93">
        <f>SUM(M6:M14)</f>
        <v>117</v>
      </c>
      <c r="N16" s="94">
        <f>ROUND(SUMPRODUCT(M6:M14,N6:N14)/M16,3)</f>
        <v>0.6</v>
      </c>
      <c r="O16" s="93">
        <f>SUM(O6:O14)</f>
        <v>0</v>
      </c>
      <c r="P16" s="93">
        <f>SUM(P6:P14)</f>
        <v>0</v>
      </c>
      <c r="Q16" s="95">
        <f>ROUND(SUMPRODUCT(Q6:Q13,K6:K13)/SUMPRODUCT((Q6:Q13&gt;0)*(K6:K13)),2)</f>
        <v>0.15</v>
      </c>
      <c r="R16" s="1032">
        <f ca="1">SUM(R6:R13)</f>
        <v>202.08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2297</v>
      </c>
      <c r="D19" s="2669"/>
      <c r="E19" s="2666"/>
      <c r="F19" s="2666"/>
      <c r="G19" s="2666"/>
      <c r="H19" s="2666"/>
      <c r="I19" s="2666"/>
      <c r="J19" s="2666"/>
      <c r="K19" s="2665"/>
      <c r="L19" s="2665"/>
      <c r="M19" s="2664"/>
      <c r="N19" s="3441" t="s">
        <v>3383</v>
      </c>
      <c r="O19" s="3442">
        <f>ROUND(1-(2023-1996)/60,2)</f>
        <v>0.55000000000000004</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1</v>
      </c>
      <c r="C20" s="2793" t="s">
        <v>2295</v>
      </c>
      <c r="D20" s="2669"/>
      <c r="E20" s="2666"/>
      <c r="F20" s="2666"/>
      <c r="G20" s="2666"/>
      <c r="H20" s="2666"/>
      <c r="I20" s="2666"/>
      <c r="J20" s="2666"/>
      <c r="K20" s="2665"/>
      <c r="L20" s="2665"/>
      <c r="M20" s="2664"/>
      <c r="N20" s="3441" t="s">
        <v>3384</v>
      </c>
      <c r="O20" s="3442">
        <v>0.85</v>
      </c>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1</v>
      </c>
      <c r="C21" s="2666"/>
      <c r="D21" s="2669"/>
      <c r="E21" s="2666"/>
      <c r="F21" s="2666"/>
      <c r="G21" s="2666"/>
      <c r="H21" s="2666"/>
      <c r="I21" s="2666"/>
      <c r="J21" s="2666"/>
      <c r="K21" s="2665"/>
      <c r="L21" s="2665"/>
      <c r="M21" s="2664"/>
      <c r="N21" s="3441" t="s">
        <v>3385</v>
      </c>
      <c r="O21" s="3442">
        <f>ROUND((O19+O20)/2,2)</f>
        <v>0.7</v>
      </c>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9</v>
      </c>
      <c r="C29" s="2795" t="s">
        <v>2286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2288</v>
      </c>
      <c r="D34" s="2677" t="s">
        <v>2296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2290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1.4999999999999999E-2</v>
      </c>
      <c r="C37" s="2796" t="s">
        <v>2291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1.4999999999999999E-2</v>
      </c>
      <c r="C38" s="2796" t="s">
        <v>2291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3386</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2300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c r="C53" s="2655" t="s">
        <v>1244</v>
      </c>
      <c r="D53" s="2797" t="s">
        <v>2298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2" customFormat="1" ht="18.75" thickBot="1">
      <c r="A1" s="3676" t="s">
        <v>2278</v>
      </c>
      <c r="B1" s="3677"/>
      <c r="C1" s="3677"/>
      <c r="D1" s="3677"/>
      <c r="E1" s="3677"/>
      <c r="F1" s="3677"/>
      <c r="G1" s="36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2274</v>
      </c>
      <c r="D2" s="2456"/>
      <c r="E2" s="2453"/>
      <c r="F2" s="2457"/>
      <c r="G2" s="2455" t="s">
        <v>2275</v>
      </c>
      <c r="H2" s="797"/>
      <c r="I2" s="797"/>
      <c r="J2" s="797"/>
      <c r="K2" s="797"/>
      <c r="L2" s="797"/>
      <c r="M2" s="797"/>
      <c r="N2" s="797"/>
      <c r="O2" s="797"/>
      <c r="P2" s="797"/>
      <c r="Q2" s="797"/>
      <c r="R2" s="797"/>
    </row>
    <row r="3" spans="1:29" ht="25.5">
      <c r="A3" s="2436" t="s">
        <v>2276</v>
      </c>
      <c r="B3" s="2458" t="s">
        <v>2248</v>
      </c>
      <c r="C3" s="2459"/>
      <c r="D3" s="2460"/>
      <c r="E3" s="2437" t="s">
        <v>2276</v>
      </c>
      <c r="F3" s="2461" t="s">
        <v>2249</v>
      </c>
      <c r="G3" s="2462" t="s">
        <v>2277</v>
      </c>
      <c r="H3" s="797"/>
      <c r="I3" s="797"/>
      <c r="J3" s="797"/>
      <c r="K3" s="797"/>
      <c r="L3" s="797"/>
      <c r="M3" s="797"/>
      <c r="N3" s="797"/>
      <c r="O3" s="797"/>
      <c r="P3" s="797"/>
      <c r="Q3" s="797"/>
      <c r="R3" s="797"/>
    </row>
    <row r="4" spans="1:29" ht="36">
      <c r="A4" s="2437"/>
      <c r="B4" s="323" t="s">
        <v>2250</v>
      </c>
      <c r="C4" s="3526" t="s">
        <v>3611</v>
      </c>
      <c r="D4" s="2460"/>
      <c r="E4" s="2464"/>
      <c r="F4" s="1371" t="s">
        <v>2251</v>
      </c>
      <c r="G4" s="2465" t="s">
        <v>2252</v>
      </c>
      <c r="H4" s="797"/>
      <c r="I4" s="797"/>
      <c r="J4" s="797"/>
      <c r="K4" s="797"/>
      <c r="L4" s="797"/>
      <c r="M4" s="797"/>
      <c r="N4" s="797"/>
      <c r="O4" s="797"/>
      <c r="P4" s="797"/>
      <c r="Q4" s="797"/>
      <c r="R4" s="797"/>
    </row>
    <row r="5" spans="1:29" ht="24">
      <c r="A5" s="2437"/>
      <c r="B5" s="323" t="s">
        <v>2253</v>
      </c>
      <c r="C5" s="2463"/>
      <c r="D5" s="2460"/>
      <c r="E5" s="2464"/>
      <c r="F5" s="323" t="s">
        <v>2254</v>
      </c>
      <c r="G5" s="2465" t="s">
        <v>2255</v>
      </c>
      <c r="H5" s="797"/>
      <c r="I5" s="797"/>
      <c r="J5" s="797"/>
      <c r="K5" s="797"/>
      <c r="L5" s="797"/>
      <c r="M5" s="797"/>
      <c r="N5" s="797"/>
      <c r="O5" s="797"/>
      <c r="P5" s="797"/>
      <c r="Q5" s="797"/>
      <c r="R5" s="797"/>
    </row>
    <row r="6" spans="1:29" ht="57" customHeight="1">
      <c r="A6" s="2437"/>
      <c r="B6" s="323" t="s">
        <v>2256</v>
      </c>
      <c r="C6" s="2465" t="s">
        <v>3612</v>
      </c>
      <c r="D6" s="2460"/>
      <c r="E6" s="2464"/>
      <c r="F6" s="323" t="s">
        <v>2257</v>
      </c>
      <c r="G6" s="2465" t="s">
        <v>2258</v>
      </c>
      <c r="H6" s="797"/>
      <c r="I6" s="797"/>
      <c r="J6" s="797"/>
      <c r="K6" s="797"/>
      <c r="L6" s="797"/>
      <c r="M6" s="797"/>
      <c r="N6" s="797"/>
      <c r="O6" s="797"/>
      <c r="P6" s="797"/>
      <c r="Q6" s="797"/>
      <c r="R6" s="797"/>
    </row>
    <row r="7" spans="1:29" ht="48.75" thickBot="1">
      <c r="A7" s="2437"/>
      <c r="B7" s="323" t="s">
        <v>2254</v>
      </c>
      <c r="C7" s="3527" t="s">
        <v>3613</v>
      </c>
      <c r="D7" s="2466"/>
      <c r="E7" s="2467"/>
      <c r="F7" s="2468" t="s">
        <v>2259</v>
      </c>
      <c r="G7" s="2469" t="s">
        <v>2260</v>
      </c>
      <c r="H7" s="797"/>
      <c r="I7" s="797"/>
      <c r="J7" s="797"/>
      <c r="K7" s="797"/>
      <c r="L7" s="797"/>
      <c r="M7" s="797"/>
      <c r="N7" s="797"/>
      <c r="O7" s="797"/>
      <c r="P7" s="797"/>
      <c r="Q7" s="797"/>
      <c r="R7" s="797"/>
    </row>
    <row r="8" spans="1:29" ht="25.5">
      <c r="A8" s="2437"/>
      <c r="B8" s="323" t="s">
        <v>2257</v>
      </c>
      <c r="C8" s="2465" t="s">
        <v>3443</v>
      </c>
      <c r="D8" s="2466"/>
      <c r="E8" s="2466"/>
      <c r="F8" s="2470"/>
      <c r="G8" s="2470"/>
      <c r="H8" s="797"/>
      <c r="I8" s="797"/>
      <c r="J8" s="797"/>
      <c r="K8" s="797"/>
      <c r="L8" s="797"/>
      <c r="M8" s="797"/>
      <c r="N8" s="797"/>
      <c r="O8" s="797"/>
      <c r="P8" s="797"/>
      <c r="Q8" s="797"/>
      <c r="R8" s="797"/>
    </row>
    <row r="9" spans="1:29" ht="36">
      <c r="A9" s="2437"/>
      <c r="B9" s="323" t="s">
        <v>2261</v>
      </c>
      <c r="C9" s="3526" t="s">
        <v>3678</v>
      </c>
      <c r="D9" s="2460"/>
      <c r="E9" s="2466"/>
      <c r="F9" s="2470"/>
      <c r="G9" s="2470"/>
      <c r="H9" s="797"/>
      <c r="I9" s="797"/>
      <c r="J9" s="797"/>
      <c r="K9" s="797"/>
      <c r="L9" s="797"/>
      <c r="M9" s="797"/>
      <c r="N9" s="797"/>
      <c r="O9" s="797"/>
      <c r="P9" s="797"/>
      <c r="Q9" s="797"/>
      <c r="R9" s="797"/>
    </row>
    <row r="10" spans="1:29" s="2475" customFormat="1" ht="15" thickBot="1">
      <c r="A10" s="2438"/>
      <c r="B10" s="2471" t="s">
        <v>2262</v>
      </c>
      <c r="C10" s="3528" t="s">
        <v>3614</v>
      </c>
      <c r="D10" s="2460"/>
      <c r="E10" s="2460"/>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0"/>
      <c r="D11" s="2460"/>
      <c r="E11" s="2460"/>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2" customFormat="1" ht="18">
      <c r="A12" s="2476"/>
      <c r="B12" s="2466"/>
      <c r="C12" s="2460"/>
      <c r="D12" s="2478"/>
      <c r="E12" s="2460"/>
      <c r="F12" s="2466"/>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2279</v>
      </c>
      <c r="B13" s="2478"/>
      <c r="C13" s="2478"/>
      <c r="D13" s="2476"/>
      <c r="E13" s="2478"/>
      <c r="F13" s="2478"/>
      <c r="G13" s="2478"/>
    </row>
    <row r="14" spans="1:29" ht="15" thickBot="1">
      <c r="A14" s="2488"/>
      <c r="B14" s="2488"/>
      <c r="C14" s="2489" t="s">
        <v>2263</v>
      </c>
      <c r="D14" s="2460"/>
      <c r="E14" s="2490"/>
      <c r="F14" s="2490"/>
      <c r="G14" s="2455" t="s">
        <v>2264</v>
      </c>
    </row>
    <row r="15" spans="1:29" ht="25.5">
      <c r="A15" s="2439" t="s">
        <v>2265</v>
      </c>
      <c r="B15" s="2491" t="s">
        <v>2248</v>
      </c>
      <c r="C15" s="2492">
        <f>C3</f>
        <v>0</v>
      </c>
      <c r="D15" s="2460"/>
      <c r="E15" s="2440" t="s">
        <v>2266</v>
      </c>
      <c r="F15" s="2491" t="s">
        <v>2267</v>
      </c>
      <c r="G15" s="2493" t="str">
        <f>G3</f>
        <v>估价对象位于XX开发区，园区建设成熟度XX，产业集聚程度XX</v>
      </c>
    </row>
    <row r="16" spans="1:29" ht="38.25">
      <c r="A16" s="2441"/>
      <c r="B16" s="2494" t="s">
        <v>2250</v>
      </c>
      <c r="C16" s="2495" t="str">
        <f>C4</f>
        <v>周边以配套商业为主</v>
      </c>
      <c r="D16" s="2460"/>
      <c r="E16" s="2442"/>
      <c r="F16" s="2496" t="s">
        <v>2251</v>
      </c>
      <c r="G16" s="2497" t="str">
        <f>G4</f>
        <v>估价对象周边道路状况、公共交通通达情况、停车便捷程度，综合评价交通便捷度较好</v>
      </c>
    </row>
    <row r="17" spans="1:18">
      <c r="A17" s="2441"/>
      <c r="B17" s="2494" t="s">
        <v>2253</v>
      </c>
      <c r="C17" s="2495">
        <f>C5</f>
        <v>0</v>
      </c>
      <c r="D17" s="2466"/>
      <c r="E17" s="2442"/>
      <c r="F17" s="2496" t="s">
        <v>2268</v>
      </c>
      <c r="G17" s="2498"/>
    </row>
    <row r="18" spans="1:18" ht="38.25">
      <c r="A18" s="2441"/>
      <c r="B18" s="2496" t="s">
        <v>2256</v>
      </c>
      <c r="C18" s="2497" t="str">
        <f>C6</f>
        <v>周边有359、空港1、3路等，周边道路密集一般，停车便捷程度一般，综合评价交通便捷度较差</v>
      </c>
      <c r="D18" s="2466"/>
      <c r="E18" s="2442"/>
      <c r="F18" s="2496" t="s">
        <v>2259</v>
      </c>
      <c r="G18" s="2497" t="str">
        <f>G7</f>
        <v>该园区内是否有污染型企业，绿化情况，卫生条件，整体环境状况判断</v>
      </c>
    </row>
    <row r="19" spans="1:18" ht="25.5">
      <c r="A19" s="2441"/>
      <c r="B19" s="2496" t="s">
        <v>2269</v>
      </c>
      <c r="C19" s="2498"/>
      <c r="D19" s="2460"/>
      <c r="E19" s="2442"/>
      <c r="F19" s="323" t="s">
        <v>2254</v>
      </c>
      <c r="G19" s="2497" t="str">
        <f>G5</f>
        <v>估价对象所在区域公共配套设施齐备情况</v>
      </c>
    </row>
    <row r="20" spans="1:18" ht="38.25">
      <c r="A20" s="2441"/>
      <c r="B20" s="2496" t="s">
        <v>2270</v>
      </c>
      <c r="C20" s="2495" t="str">
        <f>C9</f>
        <v>区域内有国航大学、天竺公园等自然及人文环境，综合评价自然及人文环境状况一般。</v>
      </c>
      <c r="D20" s="2466"/>
      <c r="E20" s="2442"/>
      <c r="F20" s="323" t="s">
        <v>2257</v>
      </c>
      <c r="G20" s="2497" t="str">
        <f>G6</f>
        <v>估价对象所在区域基础设施水平</v>
      </c>
    </row>
    <row r="21" spans="1:18" ht="51">
      <c r="A21" s="2441"/>
      <c r="B21" s="323" t="s">
        <v>2254</v>
      </c>
      <c r="C21" s="2497" t="str">
        <f>C7</f>
        <v>估价对象所在区域银行、购物场所、学校等公共配套设施齐备，综合评价公共配套设施水平一般。</v>
      </c>
      <c r="D21" s="2460"/>
      <c r="E21" s="2442"/>
      <c r="F21" s="2496" t="s">
        <v>2271</v>
      </c>
      <c r="G21" s="2499"/>
    </row>
    <row r="22" spans="1:18" ht="13.5" customHeight="1">
      <c r="A22" s="2441"/>
      <c r="B22" s="323" t="s">
        <v>2257</v>
      </c>
      <c r="C22" s="2497" t="str">
        <f>C8</f>
        <v>估价对象所在区域基础设施水平“七通一平</v>
      </c>
      <c r="D22" s="2460"/>
      <c r="E22" s="2442"/>
      <c r="F22" s="2496" t="s">
        <v>2262</v>
      </c>
      <c r="G22" s="2498"/>
    </row>
    <row r="23" spans="1:18" s="797" customFormat="1" ht="15" thickBot="1">
      <c r="A23" s="2441"/>
      <c r="B23" s="2496" t="s">
        <v>2271</v>
      </c>
      <c r="C23" s="2499"/>
      <c r="D23" s="1739"/>
      <c r="E23" s="2443"/>
      <c r="F23" s="2500" t="s">
        <v>2272</v>
      </c>
      <c r="G23" s="2501"/>
      <c r="H23" s="2485"/>
      <c r="I23" s="2486"/>
      <c r="J23" s="2485"/>
      <c r="K23" s="2485"/>
      <c r="L23" s="2486"/>
      <c r="M23" s="2485"/>
      <c r="N23" s="2485"/>
      <c r="O23" s="2486"/>
      <c r="P23" s="2485"/>
      <c r="Q23" s="2485"/>
      <c r="R23" s="2487"/>
    </row>
    <row r="24" spans="1:18" s="797" customFormat="1" ht="15" thickBot="1">
      <c r="A24" s="2444"/>
      <c r="B24" s="2500" t="s">
        <v>2273</v>
      </c>
      <c r="C24" s="2502" t="str">
        <f>C10</f>
        <v>城市支路</v>
      </c>
      <c r="D24" s="1739"/>
      <c r="E24" s="2434"/>
      <c r="F24" s="2434"/>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21" sqref="O21"/>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466.83</v>
      </c>
      <c r="C1" s="2679"/>
      <c r="D1" s="2679"/>
      <c r="E1" s="2679"/>
      <c r="F1" s="2679"/>
      <c r="G1" s="2680"/>
      <c r="H1" s="2681"/>
      <c r="I1" s="2681"/>
      <c r="J1" s="2681"/>
      <c r="K1" s="2681"/>
    </row>
    <row r="2" spans="1:11" ht="16.5">
      <c r="A2" s="2506" t="s">
        <v>653</v>
      </c>
      <c r="B2" s="2506">
        <f>SUM(C14:C23)</f>
        <v>0</v>
      </c>
      <c r="C2" s="2679"/>
      <c r="D2" s="2679"/>
      <c r="E2" s="2679"/>
      <c r="F2" s="2679"/>
      <c r="G2" s="2680"/>
      <c r="H2" s="2681"/>
      <c r="I2" s="2681"/>
      <c r="J2" s="2681"/>
      <c r="K2" s="2681"/>
    </row>
    <row r="3" spans="1:11" ht="16.5">
      <c r="A3" s="2506" t="s">
        <v>662</v>
      </c>
      <c r="B3" s="2508">
        <f>项目基本情况!D3</f>
        <v>44971</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SUM(D14:D23)</f>
        <v>465</v>
      </c>
      <c r="C5" s="2506">
        <f ca="1">IF(B5=D14,结果表!H102,ROUND(B5*10000/$B$1,0))</f>
        <v>25041</v>
      </c>
      <c r="D5" s="2506" t="e">
        <f>ROUND(B5*10000/$B$2,0)</f>
        <v>#DIV/0!</v>
      </c>
      <c r="E5" s="2679"/>
      <c r="F5" s="2680"/>
      <c r="G5" s="2680"/>
      <c r="H5" s="2681"/>
      <c r="I5" s="2681"/>
      <c r="J5" s="2681"/>
      <c r="K5" s="2681"/>
    </row>
    <row r="6" spans="1:11" ht="16.5">
      <c r="A6" s="2506" t="s">
        <v>656</v>
      </c>
      <c r="B6" s="2506">
        <f>SUM(G14:G23)</f>
        <v>465</v>
      </c>
      <c r="C6" s="2506">
        <f ca="1">IF(B6=G14,结果表!H108,ROUND(B6*10000/$B$1,0))</f>
        <v>25041</v>
      </c>
      <c r="D6" s="2506" t="e">
        <f>ROUND(B6*10000/$B$2,0)</f>
        <v>#DIV/0!</v>
      </c>
      <c r="E6" s="2679"/>
      <c r="F6" s="2680"/>
      <c r="G6" s="2680"/>
      <c r="H6" s="2681"/>
      <c r="I6" s="2681"/>
      <c r="J6" s="2681"/>
      <c r="K6" s="2681"/>
    </row>
    <row r="7" spans="1:11" ht="16.5">
      <c r="A7" s="2506" t="s">
        <v>664</v>
      </c>
      <c r="B7" s="2506">
        <f>SUM(H14:H23)</f>
        <v>0</v>
      </c>
      <c r="C7" s="2506" t="str">
        <f>IF(B7=H14,结果表!H110,ROUND(B7*10000/$B$1,0))</f>
        <v>——</v>
      </c>
      <c r="D7" s="2506" t="e">
        <f>ROUND(B7*10000/$B$2,0)</f>
        <v>#DIV/0!</v>
      </c>
      <c r="E7" s="2679"/>
      <c r="F7" s="2680"/>
      <c r="G7" s="2680"/>
      <c r="H7" s="2681"/>
      <c r="I7" s="2681"/>
      <c r="J7" s="2681"/>
      <c r="K7" s="2681"/>
    </row>
    <row r="8" spans="1:11" ht="16.5">
      <c r="A8" s="2506" t="s">
        <v>587</v>
      </c>
      <c r="B8" s="2506">
        <f>SUM(I14:I23)</f>
        <v>0</v>
      </c>
      <c r="C8" s="2506" t="str">
        <f>IF(B8=I14,结果表!H112,ROUND(B8*10000/$B$1,0))</f>
        <v>——</v>
      </c>
      <c r="D8" s="2506" t="e">
        <f>ROUND(B8*10000/$B$2,0)</f>
        <v>#DIV/0!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465</v>
      </c>
      <c r="C10" s="2506" t="s">
        <v>3359</v>
      </c>
      <c r="D10" s="2506" t="s">
        <v>3360</v>
      </c>
      <c r="E10" s="3436">
        <f>租金结果表!D6</f>
        <v>1.5</v>
      </c>
      <c r="F10" s="3440" t="s">
        <v>3361</v>
      </c>
      <c r="G10" s="3437">
        <v>5.5E-2</v>
      </c>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466.83</v>
      </c>
      <c r="C14" s="2512"/>
      <c r="D14" s="2512">
        <f>B10</f>
        <v>465</v>
      </c>
      <c r="E14" s="2512">
        <f t="shared" ref="E14:E23" si="0">ROUND(D14*10000/B14,0)</f>
        <v>9961</v>
      </c>
      <c r="F14" s="2512">
        <v>0</v>
      </c>
      <c r="G14" s="2512">
        <f>D14</f>
        <v>465</v>
      </c>
      <c r="H14" s="2512"/>
      <c r="I14" s="2512"/>
      <c r="J14" s="2680"/>
      <c r="K14" s="2681"/>
    </row>
    <row r="15" spans="1:11" ht="16.5">
      <c r="A15" s="2511" t="s">
        <v>649</v>
      </c>
      <c r="B15" s="2513"/>
      <c r="C15" s="2513"/>
      <c r="D15" s="2513"/>
      <c r="E15" s="2512" t="e">
        <f t="shared" si="0"/>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Normal="100" zoomScaleSheetLayoutView="100" zoomScalePageLayoutView="80" workbookViewId="0">
      <selection activeCell="J96" sqref="J9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3377</v>
      </c>
      <c r="H1" s="1748" t="str">
        <f>IF(G1="现房","——","估价对象范围")</f>
        <v>——</v>
      </c>
      <c r="I1" s="1749" t="s">
        <v>3391</v>
      </c>
    </row>
    <row r="2" spans="1:12" ht="21.75" customHeight="1" thickBot="1">
      <c r="A2" s="3712" t="str">
        <f>项目基本情况!S2</f>
        <v>北京市朝阳区首都机场航平西路银行附属办公楼房地产</v>
      </c>
      <c r="B2" s="3713"/>
      <c r="C2" s="3713"/>
      <c r="D2" s="3713"/>
      <c r="E2" s="3713"/>
      <c r="F2" s="3713"/>
      <c r="G2" s="3713"/>
      <c r="H2" s="3713"/>
      <c r="I2" s="3714"/>
    </row>
    <row r="3" spans="1:12" ht="12.75">
      <c r="A3" s="3715" t="s">
        <v>1262</v>
      </c>
      <c r="B3" s="3716"/>
      <c r="C3" s="3716"/>
      <c r="D3" s="3716"/>
      <c r="E3" s="3716"/>
      <c r="F3" s="3716"/>
      <c r="G3" s="3716"/>
      <c r="H3" s="3716"/>
      <c r="I3" s="3716"/>
    </row>
    <row r="4" spans="1:12" ht="14.25">
      <c r="A4" s="1752" t="s">
        <v>1263</v>
      </c>
      <c r="B4" s="1753" t="s">
        <v>1264</v>
      </c>
      <c r="C4" s="1754" t="s">
        <v>3390</v>
      </c>
      <c r="D4" s="1754" t="s">
        <v>3387</v>
      </c>
      <c r="E4" s="3717" t="s">
        <v>1265</v>
      </c>
      <c r="F4" s="3718"/>
      <c r="G4" s="3718"/>
      <c r="H4" s="3718"/>
      <c r="I4" s="37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92" t="s">
        <v>1266</v>
      </c>
      <c r="B5" s="3679">
        <v>25</v>
      </c>
      <c r="C5" s="3695">
        <v>22</v>
      </c>
      <c r="D5" s="3695">
        <v>22</v>
      </c>
      <c r="E5" s="131" t="s">
        <v>1267</v>
      </c>
      <c r="F5" s="1755"/>
      <c r="G5" s="1755"/>
      <c r="H5" s="1755"/>
      <c r="I5" s="1371"/>
    </row>
    <row r="6" spans="1:12" ht="12.75" customHeight="1">
      <c r="A6" s="3692"/>
      <c r="B6" s="3679"/>
      <c r="C6" s="3696"/>
      <c r="D6" s="3696"/>
      <c r="E6" s="131" t="s">
        <v>1268</v>
      </c>
      <c r="F6" s="1755"/>
      <c r="G6" s="1755"/>
      <c r="H6" s="1755"/>
      <c r="I6" s="1371"/>
    </row>
    <row r="7" spans="1:12" ht="12.75" customHeight="1">
      <c r="A7" s="3692"/>
      <c r="B7" s="3679"/>
      <c r="C7" s="3697"/>
      <c r="D7" s="3697"/>
      <c r="E7" s="131" t="s">
        <v>1269</v>
      </c>
      <c r="F7" s="1755"/>
      <c r="G7" s="1755"/>
      <c r="H7" s="1755"/>
      <c r="I7" s="1371"/>
    </row>
    <row r="8" spans="1:12" ht="12.75" customHeight="1">
      <c r="A8" s="3692" t="s">
        <v>1270</v>
      </c>
      <c r="B8" s="3679">
        <v>15</v>
      </c>
      <c r="C8" s="3695">
        <v>11</v>
      </c>
      <c r="D8" s="3695">
        <v>11</v>
      </c>
      <c r="E8" s="131" t="s">
        <v>1271</v>
      </c>
      <c r="F8" s="1755"/>
      <c r="G8" s="1755"/>
      <c r="H8" s="1755"/>
      <c r="I8" s="1371"/>
    </row>
    <row r="9" spans="1:12" ht="12.75" customHeight="1">
      <c r="A9" s="3692"/>
      <c r="B9" s="3679"/>
      <c r="C9" s="3697"/>
      <c r="D9" s="3697"/>
      <c r="E9" s="131" t="s">
        <v>1272</v>
      </c>
      <c r="F9" s="1755"/>
      <c r="G9" s="1755"/>
      <c r="H9" s="1755"/>
      <c r="I9" s="1371"/>
    </row>
    <row r="10" spans="1:12" ht="12.75" customHeight="1">
      <c r="A10" s="3692" t="s">
        <v>1273</v>
      </c>
      <c r="B10" s="3679">
        <v>15</v>
      </c>
      <c r="C10" s="3695">
        <v>11</v>
      </c>
      <c r="D10" s="3695">
        <v>11</v>
      </c>
      <c r="E10" s="131" t="s">
        <v>1274</v>
      </c>
      <c r="F10" s="1755"/>
      <c r="G10" s="1755"/>
      <c r="H10" s="1755"/>
      <c r="I10" s="1371"/>
    </row>
    <row r="11" spans="1:12" ht="12.75" customHeight="1">
      <c r="A11" s="3692"/>
      <c r="B11" s="3679"/>
      <c r="C11" s="3697"/>
      <c r="D11" s="3697"/>
      <c r="E11" s="131" t="s">
        <v>1275</v>
      </c>
      <c r="F11" s="1755"/>
      <c r="G11" s="1755"/>
      <c r="H11" s="1755"/>
      <c r="I11" s="1371"/>
    </row>
    <row r="12" spans="1:12" ht="12.75" customHeight="1">
      <c r="A12" s="3692" t="s">
        <v>1276</v>
      </c>
      <c r="B12" s="3679">
        <v>15</v>
      </c>
      <c r="C12" s="3695">
        <v>12</v>
      </c>
      <c r="D12" s="3695">
        <v>12</v>
      </c>
      <c r="E12" s="131" t="s">
        <v>1277</v>
      </c>
      <c r="F12" s="1755"/>
      <c r="G12" s="1755"/>
      <c r="H12" s="1755"/>
      <c r="I12" s="1371"/>
    </row>
    <row r="13" spans="1:12" ht="12.75" customHeight="1">
      <c r="A13" s="3692"/>
      <c r="B13" s="3679"/>
      <c r="C13" s="3697"/>
      <c r="D13" s="3697"/>
      <c r="E13" s="131" t="s">
        <v>1278</v>
      </c>
      <c r="F13" s="1755"/>
      <c r="G13" s="1755"/>
      <c r="H13" s="1755"/>
      <c r="I13" s="1371"/>
    </row>
    <row r="14" spans="1:12" ht="12.75" customHeight="1">
      <c r="A14" s="3692" t="s">
        <v>1279</v>
      </c>
      <c r="B14" s="3679">
        <v>30</v>
      </c>
      <c r="C14" s="3695">
        <v>22</v>
      </c>
      <c r="D14" s="3695">
        <v>22</v>
      </c>
      <c r="E14" s="131" t="s">
        <v>1280</v>
      </c>
      <c r="F14" s="1755"/>
      <c r="G14" s="1755"/>
      <c r="H14" s="1755"/>
      <c r="I14" s="1371"/>
    </row>
    <row r="15" spans="1:12" ht="12.75" customHeight="1">
      <c r="A15" s="3692"/>
      <c r="B15" s="3679"/>
      <c r="C15" s="3696"/>
      <c r="D15" s="3696"/>
      <c r="E15" s="131" t="s">
        <v>1281</v>
      </c>
      <c r="F15" s="1755"/>
      <c r="G15" s="1755"/>
      <c r="H15" s="1755"/>
      <c r="I15" s="1371"/>
    </row>
    <row r="16" spans="1:12" ht="12.75" customHeight="1">
      <c r="A16" s="3692"/>
      <c r="B16" s="3679"/>
      <c r="C16" s="3697"/>
      <c r="D16" s="3697"/>
      <c r="E16" s="131" t="s">
        <v>1282</v>
      </c>
      <c r="F16" s="1755"/>
      <c r="G16" s="1755"/>
      <c r="H16" s="1755"/>
      <c r="I16" s="1371"/>
    </row>
    <row r="17" spans="1:36" ht="15">
      <c r="A17" s="1756" t="s">
        <v>1283</v>
      </c>
      <c r="B17" s="56"/>
      <c r="C17" s="132">
        <f>SUM(C5:C16)</f>
        <v>78</v>
      </c>
      <c r="D17" s="132">
        <f>SUM(D5:D16)</f>
        <v>78</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702" t="s">
        <v>2127</v>
      </c>
      <c r="F18" s="3703"/>
      <c r="G18" s="3703"/>
      <c r="H18" s="3703"/>
      <c r="I18" s="3703"/>
      <c r="K18" s="302" t="s">
        <v>1287</v>
      </c>
      <c r="L18" s="302">
        <f>IF(C1="",'数据-汇总表'!E3,SUMIF(项目类型,C1,'数据-汇总表'!E17:E26)+SUMIF(项目类型,C1,'数据-汇总表'!I17:I26))</f>
        <v>0</v>
      </c>
      <c r="M18" s="302">
        <f>IF(C1="",'数据-汇总表'!E3,SUMIF(项目类型,C1,'数据-汇总表'!E17:E26))</f>
        <v>0</v>
      </c>
    </row>
    <row r="19" spans="1:36" ht="15">
      <c r="A19" s="1759" t="s">
        <v>1288</v>
      </c>
      <c r="B19" s="1760" t="s">
        <v>1289</v>
      </c>
      <c r="C19" s="134">
        <f ca="1">ROUND(SUMIF(INDIRECT("'"&amp;C4&amp;"'"&amp;"!A:A"),结果表!B19,INDIRECT("'"&amp;C4&amp;"'"&amp;"!B:B")),0)</f>
        <v>0</v>
      </c>
      <c r="D19" s="135">
        <f ca="1">ROUND(SUMIF(INDIRECT("'"&amp;D4&amp;"'"&amp;"!A:A"),结果表!B19,INDIRECT("'"&amp;D4&amp;"'"&amp;"!B:B")),0)</f>
        <v>578</v>
      </c>
      <c r="E19" s="1759" t="s">
        <v>1290</v>
      </c>
      <c r="F19" s="1760" t="s">
        <v>1289</v>
      </c>
      <c r="G19" s="136">
        <f ca="1">ROUND(C19*$C$18+D19*$D$18,0)</f>
        <v>289</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37697</v>
      </c>
      <c r="D20" s="138">
        <f ca="1">SUMIF(INDIRECT("'"&amp;D4&amp;"'"&amp;"!A:A"),结果表!B20,INDIRECT("'"&amp;D4&amp;"'"&amp;"!B:B"))</f>
        <v>12385</v>
      </c>
      <c r="E20" s="1762"/>
      <c r="F20" s="1024" t="s">
        <v>1293</v>
      </c>
      <c r="G20" s="139">
        <f ca="1">ROUND(C20*$C$18+D20*$D$18,0)</f>
        <v>25041</v>
      </c>
      <c r="H20" s="806" t="s">
        <v>1294</v>
      </c>
      <c r="I20" s="129"/>
      <c r="J20" s="723">
        <f ca="1">23900/G20</f>
        <v>0.95443472704764187</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86" t="s">
        <v>1297</v>
      </c>
      <c r="B24" s="1760" t="s">
        <v>1289</v>
      </c>
      <c r="C24" s="136">
        <f>IF(B30=0,0,D30)</f>
        <v>0</v>
      </c>
      <c r="D24" s="1767"/>
      <c r="E24" s="129"/>
      <c r="F24" s="129"/>
      <c r="G24" s="129"/>
      <c r="H24" s="129"/>
      <c r="I24" s="129"/>
    </row>
    <row r="25" spans="1:36" ht="14.25">
      <c r="A25" s="3687"/>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2128</v>
      </c>
      <c r="F30" s="129"/>
      <c r="G30" s="129"/>
      <c r="H30" s="129"/>
      <c r="I30" s="129"/>
    </row>
    <row r="31" spans="1:36" s="2307" customFormat="1" ht="26.45" customHeight="1" thickTop="1" thickBot="1">
      <c r="A31" s="2302"/>
      <c r="B31" s="2303"/>
      <c r="C31" s="2303"/>
      <c r="D31" s="2303"/>
      <c r="E31" s="2303"/>
      <c r="F31" s="2303"/>
      <c r="G31" s="2303"/>
      <c r="H31" s="2303"/>
      <c r="I31" s="2304" t="s">
        <v>2129</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25041</v>
      </c>
      <c r="D32" s="1773" t="s">
        <v>3434</v>
      </c>
      <c r="E32" s="129"/>
      <c r="F32" s="129"/>
      <c r="G32" s="129"/>
      <c r="H32" s="129"/>
      <c r="I32" s="129"/>
    </row>
    <row r="33" spans="1:15" ht="15">
      <c r="A33" s="784" t="s">
        <v>1304</v>
      </c>
      <c r="B33" s="1774"/>
      <c r="C33" s="1775" t="s">
        <v>3435</v>
      </c>
      <c r="D33" s="1776" t="s">
        <v>3387</v>
      </c>
      <c r="E33" s="1777" t="s">
        <v>1305</v>
      </c>
      <c r="F33" s="1778" t="str">
        <f>IF(D32="楼面单价","取值（单价）","取值（总价）")</f>
        <v>取值（单价）</v>
      </c>
      <c r="G33" s="129"/>
      <c r="H33" s="129"/>
      <c r="I33" s="129"/>
    </row>
    <row r="34" spans="1:15" ht="15">
      <c r="A34" s="1779"/>
      <c r="B34" s="1780" t="s">
        <v>1306</v>
      </c>
      <c r="C34" s="148">
        <f ca="1">IF(C33="自定义",F34,C32-C35)</f>
        <v>16302</v>
      </c>
      <c r="D34" s="859">
        <f ca="1">IF(C33="自定义",ROUND(C34/C32,3),IF(C33="收益比率",SUMIF(INDIRECT("'"&amp;D33&amp;"'"&amp;"!b:b"),"土地收益比率",INDIRECT("'"&amp;D33&amp;"'"&amp;"!c:c")),SUMIF(INDIRECT("'"&amp;D33&amp;"'"&amp;"!b:b"),"土地成本比率",INDIRECT("'"&amp;D33&amp;"'"&amp;"!c:c"))))</f>
        <v>0.65100000000000002</v>
      </c>
      <c r="E34" s="1781" t="s">
        <v>1307</v>
      </c>
      <c r="F34" s="1328"/>
      <c r="G34" s="129"/>
      <c r="H34" s="129"/>
      <c r="I34" s="129"/>
    </row>
    <row r="35" spans="1:15" ht="15.75" thickBot="1">
      <c r="A35" s="1782"/>
      <c r="B35" s="1783" t="s">
        <v>1308</v>
      </c>
      <c r="C35" s="1168">
        <f ca="1">IF(C33="自定义",F35,ROUND(C32*D35,0))</f>
        <v>8739</v>
      </c>
      <c r="D35" s="1169">
        <f ca="1">IF(C33="自定义",ROUND(C35/C32,3),IF(C33="收益比率",SUMIF(INDIRECT("'"&amp;D33&amp;"'"&amp;"!b:b"),"建筑物收益比率",INDIRECT("'"&amp;D33&amp;"'"&amp;"!c:c")),SUMIF(INDIRECT("'"&amp;D33&amp;"'"&amp;"!b:b"),"建筑物成本比率",INDIRECT("'"&amp;D33&amp;"'"&amp;"!c:c"))))</f>
        <v>0.34899999999999998</v>
      </c>
      <c r="E35" s="1784" t="s">
        <v>1309</v>
      </c>
      <c r="F35" s="154"/>
      <c r="G35" s="129"/>
      <c r="H35" s="129"/>
      <c r="I35" s="129"/>
    </row>
    <row r="36" spans="1:15" ht="15.75" thickBot="1">
      <c r="A36" s="3706" t="s">
        <v>1310</v>
      </c>
      <c r="B36" s="1785" t="s">
        <v>1311</v>
      </c>
      <c r="C36" s="145"/>
      <c r="D36" s="1786"/>
      <c r="E36" s="1787"/>
      <c r="F36" s="1788"/>
      <c r="G36" s="129"/>
      <c r="H36" s="129"/>
      <c r="I36" s="129"/>
    </row>
    <row r="37" spans="1:15" ht="15.75" thickBot="1">
      <c r="A37" s="3707"/>
      <c r="B37" s="1672" t="s">
        <v>1312</v>
      </c>
      <c r="C37" s="147"/>
      <c r="D37" s="1137"/>
      <c r="E37" s="1137"/>
      <c r="F37" s="1788"/>
      <c r="G37" s="129"/>
      <c r="H37" s="129"/>
      <c r="I37" s="129"/>
    </row>
    <row r="38" spans="1:15" ht="15.75" thickBot="1">
      <c r="A38" s="3708"/>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83" t="s">
        <v>1324</v>
      </c>
      <c r="B45" s="3684"/>
      <c r="C45" s="3685"/>
      <c r="D45" s="155" t="e">
        <f ca="1">典型户型修正!S22</f>
        <v>#N/A</v>
      </c>
      <c r="E45" s="156" t="s">
        <v>1325</v>
      </c>
      <c r="F45" s="157">
        <v>1</v>
      </c>
      <c r="G45" s="158" t="s">
        <v>1326</v>
      </c>
      <c r="H45" s="129"/>
      <c r="I45" s="129"/>
      <c r="J45" s="3760" t="s">
        <v>1327</v>
      </c>
      <c r="K45" s="3760"/>
      <c r="L45" s="3760"/>
      <c r="M45" s="3760"/>
      <c r="N45" s="3760"/>
      <c r="O45" s="3760"/>
    </row>
    <row r="46" spans="1:15" ht="14.25" customHeight="1">
      <c r="A46" s="3680" t="s">
        <v>1328</v>
      </c>
      <c r="B46" s="3681"/>
      <c r="C46" s="3681"/>
      <c r="D46" s="3681"/>
      <c r="E46" s="3681"/>
      <c r="F46" s="3681"/>
      <c r="G46" s="3682"/>
      <c r="H46" s="1804"/>
      <c r="I46" s="159"/>
      <c r="J46" s="2517">
        <v>1</v>
      </c>
      <c r="K46" s="3741" t="s">
        <v>1329</v>
      </c>
      <c r="L46" s="3741"/>
      <c r="M46" s="3761"/>
      <c r="N46" s="3761"/>
      <c r="O46" s="3761"/>
    </row>
    <row r="47" spans="1:15" ht="12" customHeight="1">
      <c r="A47" s="160" t="s">
        <v>1330</v>
      </c>
      <c r="B47" s="161"/>
      <c r="C47" s="162"/>
      <c r="D47" s="1085" t="s">
        <v>1331</v>
      </c>
      <c r="E47" s="302" t="s">
        <v>1332</v>
      </c>
      <c r="F47" s="163" t="s">
        <v>1333</v>
      </c>
      <c r="G47" s="2540" t="s">
        <v>1334</v>
      </c>
      <c r="H47" s="2541"/>
      <c r="I47" s="159"/>
      <c r="J47" s="2517">
        <v>2</v>
      </c>
      <c r="K47" s="3741" t="s">
        <v>1335</v>
      </c>
      <c r="L47" s="3741"/>
      <c r="M47" s="3762">
        <f>'数据-取费表'!B2</f>
        <v>44971</v>
      </c>
      <c r="N47" s="3762"/>
      <c r="O47" s="3762"/>
    </row>
    <row r="48" spans="1:15" ht="25.5">
      <c r="A48" s="3711" t="s">
        <v>1336</v>
      </c>
      <c r="B48" s="3694"/>
      <c r="C48" s="3694"/>
      <c r="D48" s="2322" t="e">
        <f ca="1">IF(H48="情况1",0,IF(H48="情况2",D52,IF(H48="情况3",D53,IF(H48="情况4",D54))))</f>
        <v>#N/A</v>
      </c>
      <c r="E48" s="2332" t="str">
        <f>IF(H48="情况4","(销售额-原购置价)×税（费）率","销售额×税（费）率")</f>
        <v>销售额×税（费）率</v>
      </c>
      <c r="F48" s="2542">
        <f>IF(H48="情况1","免征",'数据-取费表'!B41)</f>
        <v>5.6000000000000001E-2</v>
      </c>
      <c r="G48" s="2543" t="s">
        <v>1337</v>
      </c>
      <c r="H48" s="2544" t="s">
        <v>3454</v>
      </c>
      <c r="I48" s="1804"/>
      <c r="J48" s="2517">
        <v>3</v>
      </c>
      <c r="K48" s="3741" t="s">
        <v>1338</v>
      </c>
      <c r="L48" s="3741"/>
      <c r="M48" s="3763" t="e">
        <f ca="1">典型户型修正!S22</f>
        <v>#N/A</v>
      </c>
      <c r="N48" s="3763"/>
      <c r="O48" s="3763"/>
    </row>
    <row r="49" spans="1:35" ht="25.5" customHeight="1">
      <c r="A49" s="2331" t="s">
        <v>1339</v>
      </c>
      <c r="B49" s="3678" t="s">
        <v>1340</v>
      </c>
      <c r="C49" s="3678"/>
      <c r="D49" s="1588">
        <v>0</v>
      </c>
      <c r="E49" s="324" t="s">
        <v>1341</v>
      </c>
      <c r="F49" s="2419" t="s">
        <v>28</v>
      </c>
      <c r="G49" s="3747"/>
      <c r="H49" s="2308" t="s">
        <v>2130</v>
      </c>
      <c r="I49" s="2309"/>
      <c r="J49" s="2517">
        <v>4</v>
      </c>
      <c r="K49" s="3741" t="str">
        <f>IF(项目基本情况!E8="房地产抵押价值","房地产抵押价值","抵押担保权已注销时的房地产抵押价值")</f>
        <v>房地产抵押价值</v>
      </c>
      <c r="L49" s="3741"/>
      <c r="M49" s="3763" t="e">
        <f ca="1">M48</f>
        <v>#N/A</v>
      </c>
      <c r="N49" s="3763"/>
      <c r="O49" s="3763"/>
    </row>
    <row r="50" spans="1:35" ht="25.5" customHeight="1">
      <c r="A50" s="2545"/>
      <c r="B50" s="3678" t="s">
        <v>1342</v>
      </c>
      <c r="C50" s="3678"/>
      <c r="D50" s="2546"/>
      <c r="E50" s="332"/>
      <c r="F50" s="2419"/>
      <c r="G50" s="3748"/>
      <c r="H50" s="2310" t="s">
        <v>2131</v>
      </c>
      <c r="I50" s="2309"/>
      <c r="J50" s="3760" t="s">
        <v>1343</v>
      </c>
      <c r="K50" s="3760"/>
      <c r="L50" s="3760"/>
      <c r="M50" s="3760"/>
      <c r="N50" s="3760"/>
      <c r="O50" s="3760"/>
    </row>
    <row r="51" spans="1:35" ht="20.45" customHeight="1">
      <c r="A51" s="2547"/>
      <c r="B51" s="3678" t="s">
        <v>1344</v>
      </c>
      <c r="C51" s="3678"/>
      <c r="D51" s="1085"/>
      <c r="E51" s="327"/>
      <c r="F51" s="2419"/>
      <c r="G51" s="3749"/>
      <c r="H51" s="2310" t="s">
        <v>2132</v>
      </c>
      <c r="I51" s="2309"/>
      <c r="J51" s="2518" t="s">
        <v>1345</v>
      </c>
      <c r="K51" s="3741" t="s">
        <v>1346</v>
      </c>
      <c r="L51" s="3741"/>
      <c r="M51" s="2518" t="s">
        <v>1347</v>
      </c>
      <c r="N51" s="2518" t="s">
        <v>1348</v>
      </c>
      <c r="O51" s="2518" t="s">
        <v>1349</v>
      </c>
    </row>
    <row r="52" spans="1:35" ht="24" customHeight="1">
      <c r="A52" s="2333" t="s">
        <v>1350</v>
      </c>
      <c r="B52" s="3678" t="s">
        <v>1351</v>
      </c>
      <c r="C52" s="3678"/>
      <c r="D52" s="1085" t="e">
        <f ca="1">ROUND(D45*'数据-取费表'!B41/(1+'数据-取费表'!C42),0)</f>
        <v>#N/A</v>
      </c>
      <c r="E52" s="2332" t="s">
        <v>1352</v>
      </c>
      <c r="F52" s="2548">
        <f>'数据-取费表'!B41</f>
        <v>5.6000000000000001E-2</v>
      </c>
      <c r="G52" s="2549"/>
      <c r="H52" s="2538"/>
      <c r="I52" s="1805"/>
      <c r="J52" s="2517">
        <v>1</v>
      </c>
      <c r="K52" s="3742" t="s">
        <v>1353</v>
      </c>
      <c r="L52" s="3742"/>
      <c r="M52" s="2519" t="e">
        <f ca="1">D48</f>
        <v>#N/A</v>
      </c>
      <c r="N52" s="2517" t="str">
        <f>E48</f>
        <v>销售额×税（费）率</v>
      </c>
      <c r="O52" s="2520">
        <f>F48</f>
        <v>5.6000000000000001E-2</v>
      </c>
    </row>
    <row r="53" spans="1:35" ht="12" customHeight="1">
      <c r="A53" s="2333" t="s">
        <v>1354</v>
      </c>
      <c r="B53" s="3704" t="s">
        <v>2283</v>
      </c>
      <c r="C53" s="3705"/>
      <c r="D53" s="1085" t="e">
        <f ca="1">ROUND(D45*'数据-取费表'!B41/(1+'数据-取费表'!C42),0)</f>
        <v>#N/A</v>
      </c>
      <c r="E53" s="2332" t="s">
        <v>1352</v>
      </c>
      <c r="F53" s="2548">
        <f>'数据-取费表'!B41</f>
        <v>5.6000000000000001E-2</v>
      </c>
      <c r="G53" s="2549"/>
      <c r="H53" s="2538"/>
      <c r="I53" s="1805"/>
      <c r="J53" s="2517">
        <v>2</v>
      </c>
      <c r="K53" s="3742" t="s">
        <v>1355</v>
      </c>
      <c r="L53" s="3742"/>
      <c r="M53" s="2519" t="e">
        <f t="shared" ref="M53:O54" ca="1" si="0">D55</f>
        <v>#N/A</v>
      </c>
      <c r="N53" s="2517" t="str">
        <f t="shared" si="0"/>
        <v>销售额×税（费）率</v>
      </c>
      <c r="O53" s="2520">
        <f t="shared" si="0"/>
        <v>5.0000000000000001E-4</v>
      </c>
    </row>
    <row r="54" spans="1:35" ht="12" customHeight="1">
      <c r="A54" s="2333" t="s">
        <v>1356</v>
      </c>
      <c r="B54" s="3704" t="s">
        <v>2284</v>
      </c>
      <c r="C54" s="3705"/>
      <c r="D54" s="1085" t="e">
        <f ca="1">C68</f>
        <v>#N/A</v>
      </c>
      <c r="E54" s="327" t="s">
        <v>1357</v>
      </c>
      <c r="F54" s="2548">
        <f>'数据-取费表'!B41</f>
        <v>5.6000000000000001E-2</v>
      </c>
      <c r="G54" s="2549"/>
      <c r="H54" s="2550"/>
      <c r="I54" s="1805"/>
      <c r="J54" s="2517">
        <v>3</v>
      </c>
      <c r="K54" s="3742" t="s">
        <v>1358</v>
      </c>
      <c r="L54" s="3742"/>
      <c r="M54" s="2519" t="e">
        <f t="shared" ca="1" si="0"/>
        <v>#N/A</v>
      </c>
      <c r="N54" s="2517" t="str">
        <f t="shared" si="0"/>
        <v>增值额×税（费）率</v>
      </c>
      <c r="O54" s="2521" t="str">
        <f t="shared" si="0"/>
        <v>——</v>
      </c>
    </row>
    <row r="55" spans="1:35" ht="24" customHeight="1">
      <c r="A55" s="3693" t="s">
        <v>1359</v>
      </c>
      <c r="B55" s="3694"/>
      <c r="C55" s="3694"/>
      <c r="D55" s="2322" t="e">
        <f ca="1">IF(H55="个人住宅",0,ROUND(D45*I55,0))</f>
        <v>#N/A</v>
      </c>
      <c r="E55" s="2332" t="s">
        <v>1360</v>
      </c>
      <c r="F55" s="2548">
        <f>IF(H55="正常",I55,"免征")</f>
        <v>5.0000000000000001E-4</v>
      </c>
      <c r="G55" s="2549"/>
      <c r="H55" s="2544" t="s">
        <v>3394</v>
      </c>
      <c r="I55" s="165">
        <f>'数据-取费表'!B49</f>
        <v>5.0000000000000001E-4</v>
      </c>
      <c r="J55" s="2517" t="str">
        <f>IF(H59="非个人房产","",4)</f>
        <v/>
      </c>
      <c r="K55" s="3742" t="str">
        <f>IF(H59="非个人房产","——","个人所得税")</f>
        <v>——</v>
      </c>
      <c r="L55" s="3742"/>
      <c r="M55" s="2522" t="str">
        <f>D59</f>
        <v>——</v>
      </c>
      <c r="N55" s="2038" t="str">
        <f>E59</f>
        <v>——</v>
      </c>
      <c r="O55" s="2523" t="str">
        <f>F59</f>
        <v>——</v>
      </c>
    </row>
    <row r="56" spans="1:35" ht="24.75">
      <c r="A56" s="3693" t="s">
        <v>1361</v>
      </c>
      <c r="B56" s="3694"/>
      <c r="C56" s="3694"/>
      <c r="D56" s="2322" t="e">
        <f ca="1">IF(H56="个人住宅",D57,D58)</f>
        <v>#N/A</v>
      </c>
      <c r="E56" s="2332" t="s">
        <v>1362</v>
      </c>
      <c r="F56" s="2548" t="str">
        <f>IF(H56="正常",F58,"免征")</f>
        <v>——</v>
      </c>
      <c r="G56" s="2551" t="s">
        <v>1363</v>
      </c>
      <c r="H56" s="2552" t="s">
        <v>3394</v>
      </c>
      <c r="I56" s="1806"/>
      <c r="J56" s="2517" t="str">
        <f>IF(项目基本情况!K6="上海银行",IF(J55="",4,J55+1),"")</f>
        <v/>
      </c>
      <c r="K56" s="3765" t="str">
        <f>IF(项目基本情况!K6="上海银行","其他处置费用","")</f>
        <v/>
      </c>
      <c r="L56" s="3766"/>
      <c r="M56" s="2519" t="str">
        <f>IF(项目基本情况!K6="上海银行",M69,"")</f>
        <v/>
      </c>
      <c r="N56" s="3765" t="str">
        <f>IF(项目基本情况!K6="上海银行","包含处置中涉及的律师、诉讼、拍卖、评估等费用","")</f>
        <v/>
      </c>
      <c r="O56" s="3768"/>
    </row>
    <row r="57" spans="1:35" ht="12.75">
      <c r="A57" s="2333" t="s">
        <v>1339</v>
      </c>
      <c r="B57" s="3704" t="s">
        <v>1364</v>
      </c>
      <c r="C57" s="3705"/>
      <c r="D57" s="1588">
        <v>0</v>
      </c>
      <c r="E57" s="324" t="s">
        <v>1341</v>
      </c>
      <c r="F57" s="302"/>
      <c r="G57" s="2549"/>
      <c r="H57" s="2553"/>
      <c r="I57" s="1806"/>
      <c r="J57" s="3742">
        <f>IF(AND(J55="",J56=""),4,IF(项目基本情况!K6="上海银行",结果表!J56+1,结果表!J55+1))</f>
        <v>4</v>
      </c>
      <c r="K57" s="3742" t="s">
        <v>1365</v>
      </c>
      <c r="L57" s="2524" t="s">
        <v>1366</v>
      </c>
      <c r="M57" s="2525"/>
      <c r="N57" s="2526">
        <f ca="1">SUMIF(M52:M56,"&lt;9e307")</f>
        <v>0</v>
      </c>
      <c r="O57" s="2527"/>
      <c r="P57" s="2683" t="e">
        <f ca="1">N57/M49</f>
        <v>#N/A</v>
      </c>
    </row>
    <row r="58" spans="1:35" ht="24.75">
      <c r="A58" s="2333" t="s">
        <v>1350</v>
      </c>
      <c r="B58" s="3704" t="s">
        <v>1367</v>
      </c>
      <c r="C58" s="3678"/>
      <c r="D58" s="2322" t="e">
        <f ca="1">IF(H58="转让取得",C81,C97)</f>
        <v>#N/A</v>
      </c>
      <c r="E58" s="2332" t="s">
        <v>1362</v>
      </c>
      <c r="F58" s="302" t="s">
        <v>28</v>
      </c>
      <c r="G58" s="2549"/>
      <c r="H58" s="2552" t="s">
        <v>3455</v>
      </c>
      <c r="I58" s="1806"/>
      <c r="J58" s="3742"/>
      <c r="K58" s="3742"/>
      <c r="L58" s="2524" t="s">
        <v>1368</v>
      </c>
      <c r="M58" s="2528"/>
      <c r="N58" s="2529" t="str">
        <f ca="1">NUMBERSTRING(INT(N57*10000),2)&amp;"元整"</f>
        <v>零元整</v>
      </c>
      <c r="O58" s="2530"/>
    </row>
    <row r="59" spans="1:35" ht="24.75" thickBot="1">
      <c r="A59" s="3745" t="s">
        <v>1369</v>
      </c>
      <c r="B59" s="3746"/>
      <c r="C59" s="3746"/>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3458</v>
      </c>
      <c r="I59" s="2311" t="s">
        <v>2133</v>
      </c>
      <c r="J59" s="3743">
        <f>J57+1</f>
        <v>5</v>
      </c>
      <c r="K59" s="3742" t="s">
        <v>1370</v>
      </c>
      <c r="L59" s="2517" t="s">
        <v>1366</v>
      </c>
      <c r="M59" s="2531"/>
      <c r="N59" s="2532" t="e">
        <f ca="1">M49-N57</f>
        <v>#N/A</v>
      </c>
      <c r="O59" s="2533"/>
    </row>
    <row r="60" spans="1:35" ht="12" customHeight="1">
      <c r="A60" s="1807"/>
      <c r="B60" s="1745"/>
      <c r="C60" s="1745"/>
      <c r="D60" s="1745"/>
      <c r="E60" s="1576"/>
      <c r="F60" s="1806"/>
      <c r="G60" s="1806"/>
      <c r="H60" s="1808"/>
      <c r="I60" s="129"/>
      <c r="J60" s="3744"/>
      <c r="K60" s="3742"/>
      <c r="L60" s="2524" t="s">
        <v>1368</v>
      </c>
      <c r="M60" s="2528"/>
      <c r="N60" s="2529" t="e">
        <f ca="1">NUMBERSTRING(INT(N59*10000),2)&amp;"元整"</f>
        <v>#N/A</v>
      </c>
      <c r="O60" s="2530"/>
    </row>
    <row r="61" spans="1:35" ht="13.5" thickBot="1">
      <c r="A61" s="3691" t="s">
        <v>1371</v>
      </c>
      <c r="B61" s="3691"/>
      <c r="C61" s="3691"/>
      <c r="D61" s="3691"/>
      <c r="E61" s="3691"/>
      <c r="F61" s="1806"/>
      <c r="G61" s="1806"/>
      <c r="H61" s="1808"/>
      <c r="I61" s="129"/>
      <c r="J61" s="2517">
        <f>J59+1</f>
        <v>6</v>
      </c>
      <c r="K61" s="3742" t="s">
        <v>1372</v>
      </c>
      <c r="L61" s="3742"/>
      <c r="M61" s="2534"/>
      <c r="N61" s="2535" t="e">
        <f ca="1">ROUND(N59*10000/'数据-基础表'!B3,0)</f>
        <v>#N/A</v>
      </c>
      <c r="O61" s="2536"/>
    </row>
    <row r="62" spans="1:35" ht="12.75">
      <c r="A62" s="3709" t="s">
        <v>1373</v>
      </c>
      <c r="B62" s="3710"/>
      <c r="C62" s="2019"/>
      <c r="D62" s="2019" t="s">
        <v>1374</v>
      </c>
      <c r="E62" s="166" t="s">
        <v>1375</v>
      </c>
      <c r="F62" s="1806"/>
      <c r="G62" s="1806"/>
      <c r="H62" s="1808"/>
      <c r="I62" s="129"/>
    </row>
    <row r="63" spans="1:35" ht="12.75">
      <c r="A63" s="173" t="s">
        <v>330</v>
      </c>
      <c r="B63" s="167" t="s">
        <v>1376</v>
      </c>
      <c r="C63" s="2558" t="e">
        <f ca="1">ROUND((C64+C65)/(1+'数据-取费表'!C42),0)</f>
        <v>#N/A</v>
      </c>
      <c r="D63" s="167"/>
      <c r="E63" s="168"/>
      <c r="F63" s="1806"/>
      <c r="G63" s="1806"/>
      <c r="H63" s="1808"/>
      <c r="I63" s="129"/>
      <c r="J63" s="3767" t="s">
        <v>1377</v>
      </c>
      <c r="K63" s="1330" t="s">
        <v>1378</v>
      </c>
      <c r="L63" s="1330" t="e">
        <f ca="1">IF(M49&gt;10000,M49*0.5%,IF(AND(M49&gt;1000,M49&lt;=10000),M49*1%,IF(AND(M49&gt;100,M49&lt;=1000),M49*3%,IF(AND(M49&gt;10,M49&lt;=100),M49*5%,M49*8%))))</f>
        <v>#N/A</v>
      </c>
      <c r="M63" s="302" t="e">
        <f ca="1">ROUND(L63,1)</f>
        <v>#N/A</v>
      </c>
      <c r="N63" s="2537"/>
      <c r="Z63" s="1750"/>
      <c r="AI63" s="1751"/>
    </row>
    <row r="64" spans="1:35" ht="14.25" customHeight="1">
      <c r="A64" s="169" t="s">
        <v>325</v>
      </c>
      <c r="B64" s="170" t="s">
        <v>1379</v>
      </c>
      <c r="C64" s="2559" t="e">
        <f ca="1">D45</f>
        <v>#N/A</v>
      </c>
      <c r="D64" s="170" t="s">
        <v>26</v>
      </c>
      <c r="E64" s="172"/>
      <c r="F64" s="1806"/>
      <c r="G64" s="1806"/>
      <c r="H64" s="1808"/>
      <c r="I64" s="129"/>
      <c r="J64" s="3767"/>
      <c r="K64" s="1330" t="s">
        <v>1380</v>
      </c>
      <c r="L64" s="1330"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38" t="s">
        <v>1381</v>
      </c>
      <c r="Z64" s="1750"/>
      <c r="AI64" s="1751"/>
    </row>
    <row r="65" spans="1:35" ht="14.25" customHeight="1">
      <c r="A65" s="169" t="s">
        <v>326</v>
      </c>
      <c r="B65" s="170" t="s">
        <v>1382</v>
      </c>
      <c r="C65" s="2560"/>
      <c r="D65" s="170"/>
      <c r="E65" s="172"/>
      <c r="F65" s="1806"/>
      <c r="G65" s="1806"/>
      <c r="H65" s="1808"/>
      <c r="I65" s="129"/>
      <c r="J65" s="3767"/>
      <c r="K65" s="1330" t="s">
        <v>1383</v>
      </c>
      <c r="L65" s="1330" t="e">
        <f ca="1">IF(M49&gt;1000,M49*0.1%,IF(AND(M49&gt;500,M49&lt;=1000),M49*0.5%,IF(AND(M49&gt;50,M49&lt;=500),M49*1%,IF(AND(M49&gt;1,M49&lt;=50),M49*1.5%))))</f>
        <v>#N/A</v>
      </c>
      <c r="M65" s="302" t="e">
        <f t="shared" ca="1" si="1"/>
        <v>#N/A</v>
      </c>
      <c r="N65" s="2538" t="s">
        <v>1381</v>
      </c>
      <c r="Z65" s="1750"/>
      <c r="AI65" s="1751"/>
    </row>
    <row r="66" spans="1:35" ht="14.25" customHeight="1">
      <c r="A66" s="173" t="s">
        <v>327</v>
      </c>
      <c r="B66" s="174" t="s">
        <v>1384</v>
      </c>
      <c r="C66" s="2561"/>
      <c r="D66" s="174" t="s">
        <v>26</v>
      </c>
      <c r="E66" s="1336" t="s">
        <v>671</v>
      </c>
      <c r="F66" s="1806"/>
      <c r="G66" s="1806"/>
      <c r="H66" s="1808"/>
      <c r="I66" s="129"/>
      <c r="J66" s="3767"/>
      <c r="K66" s="1330" t="s">
        <v>1385</v>
      </c>
      <c r="L66" s="1330" t="e">
        <f ca="1">M49*0.5%</f>
        <v>#N/A</v>
      </c>
      <c r="M66" s="302" t="e">
        <f ca="1">IF(L66&gt;0.5,0.5,ROUND(L66,0))</f>
        <v>#N/A</v>
      </c>
      <c r="N66" s="2538" t="s">
        <v>1386</v>
      </c>
      <c r="Z66" s="1750"/>
      <c r="AI66" s="1751"/>
    </row>
    <row r="67" spans="1:35" ht="14.25" customHeight="1">
      <c r="A67" s="173" t="s">
        <v>328</v>
      </c>
      <c r="B67" s="174" t="s">
        <v>1387</v>
      </c>
      <c r="C67" s="2562" t="e">
        <f ca="1">C63-C66</f>
        <v>#N/A</v>
      </c>
      <c r="D67" s="170" t="s">
        <v>26</v>
      </c>
      <c r="E67" s="172"/>
      <c r="F67" s="1806"/>
      <c r="G67" s="1806"/>
      <c r="H67" s="1808"/>
      <c r="I67" s="129"/>
      <c r="J67" s="3767"/>
      <c r="K67" s="1330" t="s">
        <v>1388</v>
      </c>
      <c r="L67" s="1330"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7"/>
      <c r="Z67" s="1750"/>
      <c r="AI67" s="1751"/>
    </row>
    <row r="68" spans="1:35" ht="14.25" customHeight="1" thickBot="1">
      <c r="A68" s="176" t="s">
        <v>329</v>
      </c>
      <c r="B68" s="177" t="s">
        <v>1389</v>
      </c>
      <c r="C68" s="2563" t="e">
        <f ca="1">IF(C67&lt;=0,0,ROUND(C67*D68,0))</f>
        <v>#N/A</v>
      </c>
      <c r="D68" s="2564">
        <f>'数据-取费表'!B41</f>
        <v>5.6000000000000001E-2</v>
      </c>
      <c r="E68" s="178"/>
      <c r="F68" s="1806"/>
      <c r="G68" s="1806"/>
      <c r="H68" s="1808"/>
      <c r="I68" s="129"/>
      <c r="J68" s="3767"/>
      <c r="K68" s="1330" t="s">
        <v>1390</v>
      </c>
      <c r="L68" s="1330" t="e">
        <f ca="1">IF(M49&gt;10000,M49*0.5%,IF(AND(M49&gt;5000,M49&lt;=10000),M49*1%,IF(AND(M49&gt;1000,M49&lt;=5000),M49*2%,IF(AND(M49&gt;200,M49&lt;=1000),M49*3%,M49*5%))))</f>
        <v>#N/A</v>
      </c>
      <c r="M68" s="302" t="e">
        <f ca="1">ROUND(L68,1)</f>
        <v>#N/A</v>
      </c>
      <c r="N68" s="2537"/>
      <c r="Z68" s="1750"/>
      <c r="AI68" s="1751"/>
    </row>
    <row r="69" spans="1:35" s="1770" customFormat="1" ht="16.5" customHeight="1">
      <c r="A69" s="1809"/>
      <c r="B69" s="1810"/>
      <c r="C69" s="1811"/>
      <c r="D69" s="1812"/>
      <c r="E69" s="1813"/>
      <c r="F69" s="1576"/>
      <c r="G69" s="1576"/>
      <c r="H69" s="1575"/>
      <c r="I69" s="1745"/>
      <c r="J69" s="3767"/>
      <c r="K69" s="1330" t="s">
        <v>1391</v>
      </c>
      <c r="L69" s="1330"/>
      <c r="M69" s="302" t="e">
        <f ca="1">ROUND(SUM(M63:M68),0)</f>
        <v>#N/A</v>
      </c>
      <c r="N69" s="2539" t="e">
        <f ca="1">M69/M49</f>
        <v>#N/A</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729" t="s">
        <v>1392</v>
      </c>
      <c r="B70" s="3730"/>
      <c r="C70" s="3730"/>
      <c r="D70" s="3730"/>
      <c r="E70" s="3730"/>
      <c r="F70" s="3730"/>
      <c r="G70" s="3730"/>
      <c r="H70" s="3730"/>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709" t="s">
        <v>1373</v>
      </c>
      <c r="B71" s="3710"/>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t="e">
        <f ca="1">ROUND(D45/(1+'数据-取费表'!C42),0)</f>
        <v>#N/A</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t="e">
        <f ca="1">C74+C78</f>
        <v>#N/A</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704" t="s">
        <v>1400</v>
      </c>
      <c r="F76" s="3678"/>
      <c r="G76" s="3678"/>
      <c r="H76" s="372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t="e">
        <f ca="1">ROUND(D45*D78/(1+'数据-取费表'!C42),0)</f>
        <v>#N/A</v>
      </c>
      <c r="D78" s="2571">
        <f>'数据-取费表'!B43</f>
        <v>6.000000000000001E-3</v>
      </c>
      <c r="E78" s="3688" t="s">
        <v>1404</v>
      </c>
      <c r="F78" s="3689"/>
      <c r="G78" s="3689"/>
      <c r="H78" s="369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t="e">
        <f ca="1">C72-C73</f>
        <v>#N/A</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t="e">
        <f ca="1">IF(C79&lt;=0,0,C79/C73)</f>
        <v>#N/A</v>
      </c>
      <c r="D80" s="170" t="s">
        <v>26</v>
      </c>
      <c r="E80" s="2322" t="e">
        <f ca="1">IF(C80&gt;=200%,"增值额超过扣除项目金额200%",IF(C80&gt;=100%,"增值额超过扣除项目金额100%，未超过200%",IF(C80&gt;=50%,"增值额超过扣除项目金额50%，未超过100%",IF(C80&lt;50%,"增值额未超过扣除项目金额50%"))))</f>
        <v>#N/A</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t="e">
        <f ca="1">ROUND(IF(C79&lt;=0,0,IF(C80&gt;=200%,C79*60%-C73*35%,IF(C80&gt;=100%,C79*50%-C73*15%,IF(C80&gt;=50%,C79*40%-C73*5%,IF(C80&lt;50%,C79*30%,0))))),0)</f>
        <v>#N/A</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729" t="s">
        <v>1408</v>
      </c>
      <c r="B83" s="3730"/>
      <c r="C83" s="3730"/>
      <c r="D83" s="3730"/>
      <c r="E83" s="3730"/>
      <c r="F83" s="3730"/>
      <c r="G83" s="3730"/>
      <c r="H83" s="373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709" t="s">
        <v>1373</v>
      </c>
      <c r="B84" s="3710"/>
      <c r="C84" s="2019"/>
      <c r="D84" s="2019" t="s">
        <v>1374</v>
      </c>
      <c r="E84" s="179" t="s">
        <v>1375</v>
      </c>
      <c r="F84" s="180"/>
      <c r="G84" s="180"/>
      <c r="H84" s="191"/>
      <c r="I84" s="1819"/>
      <c r="J84" s="1816"/>
      <c r="K84" s="1816">
        <f>'数据-基础表'!B3</f>
        <v>466.83</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t="e">
        <f ca="1">ROUND(D45/(1+'数据-取费表'!C42),0)</f>
        <v>#N/A</v>
      </c>
      <c r="D85" s="170" t="s">
        <v>26</v>
      </c>
      <c r="E85" s="2329"/>
      <c r="F85" s="2328"/>
      <c r="G85" s="2328"/>
      <c r="H85" s="192"/>
      <c r="I85" s="1819"/>
      <c r="J85" s="1816"/>
      <c r="K85" s="2684">
        <v>11899.22</v>
      </c>
      <c r="L85" s="3454">
        <f ca="1">'收益法 (元)'!C19/'收益法 (元)'!F7</f>
        <v>2812.499196709723</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t="e">
        <f ca="1">IF(H88="仅含出让金",C87+C90+C91+C92+C93+C94,C87+C91+C92+C93+C94)</f>
        <v>#N/A</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437</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424</v>
      </c>
      <c r="D88" s="2571"/>
      <c r="E88" s="193" t="s">
        <v>1411</v>
      </c>
      <c r="F88" s="2325"/>
      <c r="G88" s="194" t="s">
        <v>1412</v>
      </c>
      <c r="H88" s="1822" t="s">
        <v>3456</v>
      </c>
      <c r="I88" s="1819"/>
      <c r="J88" s="2515" t="s">
        <v>2280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13</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769" t="s">
        <v>2125</v>
      </c>
      <c r="H90" s="3770"/>
      <c r="I90" s="1819"/>
      <c r="J90" s="2515" t="s">
        <v>2281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131</v>
      </c>
      <c r="D91" s="2571"/>
      <c r="E91" s="3688" t="s">
        <v>1417</v>
      </c>
      <c r="F91" s="3689"/>
      <c r="G91" s="3689"/>
      <c r="H91" s="1823" t="s">
        <v>3457</v>
      </c>
      <c r="I91" s="1824">
        <f ca="1">ROUND(K84*L85/10000,0)</f>
        <v>131</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57</v>
      </c>
      <c r="D92" s="2577">
        <v>0.1</v>
      </c>
      <c r="E92" s="3688" t="s">
        <v>1420</v>
      </c>
      <c r="F92" s="3689"/>
      <c r="G92" s="3689"/>
      <c r="H92" s="3698"/>
      <c r="I92" s="1819"/>
      <c r="J92" s="2516" t="s">
        <v>2282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t="e">
        <f ca="1">ROUND(D45*D93/(1+'数据-取费表'!C42),0)</f>
        <v>#N/A</v>
      </c>
      <c r="D93" s="2571">
        <f>'数据-取费表'!B43</f>
        <v>6.000000000000001E-3</v>
      </c>
      <c r="E93" s="3688" t="s">
        <v>1404</v>
      </c>
      <c r="F93" s="3689"/>
      <c r="G93" s="3689"/>
      <c r="H93" s="369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114</v>
      </c>
      <c r="D94" s="2571">
        <v>0.2</v>
      </c>
      <c r="E94" s="3699" t="s">
        <v>1424</v>
      </c>
      <c r="F94" s="3700"/>
      <c r="G94" s="3700"/>
      <c r="H94" s="370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t="e">
        <f ca="1">ROUND(C85-C86,0)</f>
        <v>#N/A</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t="e">
        <f ca="1">IF(C95&lt;=0,0,C95/C86)</f>
        <v>#N/A</v>
      </c>
      <c r="D96" s="170" t="s">
        <v>26</v>
      </c>
      <c r="E96" s="2322" t="e">
        <f ca="1">IF(C96&gt;=200%,"增值额超过扣除项目金额200%",IF(C96&gt;=100%,"增值额超过扣除项目金额100%，未超过200%",IF(C96&gt;=50%,"增值额超过扣除项目金额50%，未超过100%",IF(C96&lt;50%,"增值额未超过扣除项目金额50%"))))</f>
        <v>#N/A</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t="e">
        <f ca="1">ROUND(IF(C95&lt;=0,0,IF(C96&gt;=200%,C95*60%-C86*35%,IF(C96&gt;=100%,C95*50%-C86*15%,IF(C96&gt;=50%,C95*40%-C86*5%,IF(C96&lt;50%,C95*30%,0))))),0)</f>
        <v>#N/A</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72" t="s">
        <v>1426</v>
      </c>
      <c r="B100" s="3673"/>
      <c r="C100" s="3673"/>
      <c r="D100" s="3690"/>
      <c r="E100" s="3673" t="s">
        <v>1427</v>
      </c>
      <c r="F100" s="3673"/>
      <c r="G100" s="3673"/>
      <c r="H100" s="3690"/>
      <c r="I100" s="129"/>
    </row>
    <row r="101" spans="1:35" ht="18.75" customHeight="1">
      <c r="A101" s="3750" t="s">
        <v>1428</v>
      </c>
      <c r="B101" s="3751"/>
      <c r="C101" s="2579" t="str">
        <f>C4</f>
        <v>比较法-办公</v>
      </c>
      <c r="D101" s="2580" t="str">
        <f>D4</f>
        <v>收益法 (元)</v>
      </c>
      <c r="E101" s="3764" t="s">
        <v>1429</v>
      </c>
      <c r="F101" s="3721"/>
      <c r="G101" s="1825" t="s">
        <v>1430</v>
      </c>
      <c r="H101" s="2589">
        <f ca="1">H118</f>
        <v>0</v>
      </c>
      <c r="I101" s="129"/>
    </row>
    <row r="102" spans="1:35" ht="18.75" customHeight="1">
      <c r="A102" s="3723" t="s">
        <v>1431</v>
      </c>
      <c r="B102" s="2578" t="s">
        <v>1430</v>
      </c>
      <c r="C102" s="2579">
        <f ca="1">IF(D32="楼面单价",ROUND(C19,0),C19)</f>
        <v>0</v>
      </c>
      <c r="D102" s="2580">
        <f ca="1">IF(D32="楼面单价",ROUND(D19,0),D19)</f>
        <v>578</v>
      </c>
      <c r="E102" s="3764"/>
      <c r="F102" s="3721"/>
      <c r="G102" s="1825" t="s">
        <v>1432</v>
      </c>
      <c r="H102" s="2549">
        <f ca="1">I118</f>
        <v>25041</v>
      </c>
      <c r="I102" s="129"/>
    </row>
    <row r="103" spans="1:35" ht="42.75" customHeight="1">
      <c r="A103" s="3723"/>
      <c r="B103" s="2578" t="s">
        <v>1432</v>
      </c>
      <c r="C103" s="2581">
        <f ca="1">C20</f>
        <v>37697</v>
      </c>
      <c r="D103" s="2582">
        <f ca="1">D20</f>
        <v>12385</v>
      </c>
      <c r="E103" s="3758" t="s">
        <v>1433</v>
      </c>
      <c r="F103" s="3759"/>
      <c r="G103" s="1826" t="s">
        <v>1434</v>
      </c>
      <c r="H103" s="2589">
        <f>IF(D36="正常操作",H104+H105+H106,H105+H106)</f>
        <v>0</v>
      </c>
      <c r="I103" s="129"/>
    </row>
    <row r="104" spans="1:35" ht="18.75" customHeight="1">
      <c r="A104" s="3723" t="s">
        <v>1435</v>
      </c>
      <c r="B104" s="2583" t="s">
        <v>1430</v>
      </c>
      <c r="C104" s="2584">
        <f ca="1">H118</f>
        <v>0</v>
      </c>
      <c r="D104" s="2585"/>
      <c r="E104" s="1672" t="s">
        <v>1436</v>
      </c>
      <c r="F104" s="1664"/>
      <c r="G104" s="1826" t="s">
        <v>1434</v>
      </c>
      <c r="H104" s="2590">
        <f>IF(D36="同一抵押权人同一抵押物续贷",C36&amp;"（续贷，未扣减，详见特别提示）",C36)</f>
        <v>0</v>
      </c>
      <c r="I104" s="129"/>
    </row>
    <row r="105" spans="1:35" ht="18.75" customHeight="1" thickBot="1">
      <c r="A105" s="3724"/>
      <c r="B105" s="2586" t="s">
        <v>1432</v>
      </c>
      <c r="C105" s="2587">
        <f ca="1">I118</f>
        <v>25041</v>
      </c>
      <c r="D105" s="2588"/>
      <c r="E105" s="1672" t="s">
        <v>1437</v>
      </c>
      <c r="F105" s="1664"/>
      <c r="G105" s="1826" t="s">
        <v>1434</v>
      </c>
      <c r="H105" s="2591">
        <f>C37</f>
        <v>0</v>
      </c>
      <c r="I105" s="129"/>
    </row>
    <row r="106" spans="1:35" ht="18.75" customHeight="1">
      <c r="A106" s="1745" t="s">
        <v>1438</v>
      </c>
      <c r="B106" s="1745"/>
      <c r="C106" s="1745"/>
      <c r="D106" s="1745"/>
      <c r="E106" s="1827" t="s">
        <v>1439</v>
      </c>
      <c r="F106" s="1664"/>
      <c r="G106" s="1826" t="s">
        <v>1434</v>
      </c>
      <c r="H106" s="2591">
        <f>C38</f>
        <v>0</v>
      </c>
      <c r="I106" s="129"/>
    </row>
    <row r="107" spans="1:35" ht="18.75" customHeight="1">
      <c r="A107" s="129"/>
      <c r="B107" s="129"/>
      <c r="C107" s="129"/>
      <c r="D107" s="129"/>
      <c r="E107" s="3720" t="str">
        <f>IF(项目基本情况!E8="已注销","——","3.房地产抵押价值")</f>
        <v>3.房地产抵押价值</v>
      </c>
      <c r="F107" s="3721"/>
      <c r="G107" s="1825" t="s">
        <v>1430</v>
      </c>
      <c r="H107" s="2589">
        <f ca="1">IF(E107="——","——",H101-H103)</f>
        <v>0</v>
      </c>
      <c r="I107" s="129"/>
    </row>
    <row r="108" spans="1:35" ht="18.75" customHeight="1">
      <c r="A108" s="129"/>
      <c r="B108" s="129"/>
      <c r="C108" s="129"/>
      <c r="D108" s="129"/>
      <c r="E108" s="3720"/>
      <c r="F108" s="3721"/>
      <c r="G108" s="1825" t="s">
        <v>1432</v>
      </c>
      <c r="H108" s="2549">
        <f ca="1">IF(H107=H101,H102,ROUND(H107*10000/'数据-汇总表'!E3,0))</f>
        <v>25041</v>
      </c>
      <c r="I108" s="129"/>
    </row>
    <row r="109" spans="1:35" ht="18.75" customHeight="1">
      <c r="A109" s="129"/>
      <c r="B109" s="129"/>
      <c r="C109" s="129"/>
      <c r="D109" s="129"/>
      <c r="E109" s="3720" t="str">
        <f>IF(项目基本情况!E8="已注销及未注销","4.抵押担保权已注销时的房地产抵押价值",IF(项目基本情况!E8="已注销","3.抵押担保权已注销时的房地产抵押价值","——"))</f>
        <v>——</v>
      </c>
      <c r="F109" s="3721"/>
      <c r="G109" s="1825" t="s">
        <v>1430</v>
      </c>
      <c r="H109" s="2592" t="str">
        <f>IF(E109="——","——",H101-H105-H106)</f>
        <v>——</v>
      </c>
      <c r="I109" s="129"/>
    </row>
    <row r="110" spans="1:35" ht="18.75" customHeight="1">
      <c r="A110" s="129"/>
      <c r="B110" s="129"/>
      <c r="C110" s="129"/>
      <c r="D110" s="129"/>
      <c r="E110" s="3720"/>
      <c r="F110" s="3721"/>
      <c r="G110" s="1825" t="s">
        <v>1432</v>
      </c>
      <c r="H110" s="2549" t="str">
        <f>IF(H109="——","——",ROUND(H109*10000/'数据-汇总表'!E3,0))</f>
        <v>——</v>
      </c>
      <c r="I110" s="129"/>
    </row>
    <row r="111" spans="1:35" ht="18.75" customHeight="1">
      <c r="A111" s="129"/>
      <c r="B111" s="129"/>
      <c r="C111" s="129"/>
      <c r="D111" s="129"/>
      <c r="E111" s="3752" t="str">
        <f>IF(项目基本情况!E9="抵押净值",IF(OR(项目基本情况!E8="已注销",项目基本情况!E8="房地产抵押价值"),"4.抵押净值","5.抵押净值"),"——")</f>
        <v>——</v>
      </c>
      <c r="F111" s="3722"/>
      <c r="G111" s="1825" t="s">
        <v>1430</v>
      </c>
      <c r="H111" s="2589" t="str">
        <f>IF(E111="——","——",N59)</f>
        <v>——</v>
      </c>
      <c r="I111" s="129"/>
    </row>
    <row r="112" spans="1:35" ht="18.75" customHeight="1" thickBot="1">
      <c r="A112" s="129"/>
      <c r="B112" s="129"/>
      <c r="C112" s="129"/>
      <c r="D112" s="129"/>
      <c r="E112" s="3753"/>
      <c r="F112" s="3754"/>
      <c r="G112" s="1828" t="s">
        <v>1432</v>
      </c>
      <c r="H112" s="2593" t="str">
        <f>IF(E111="——","——",N61)</f>
        <v>——</v>
      </c>
      <c r="I112" s="129"/>
    </row>
    <row r="113" spans="1:27" ht="18.75" customHeight="1">
      <c r="A113" s="129"/>
      <c r="B113" s="129"/>
      <c r="C113" s="129"/>
      <c r="D113" s="129"/>
      <c r="E113" s="3725" t="s">
        <v>1438</v>
      </c>
      <c r="F113" s="3725"/>
      <c r="G113" s="3725"/>
      <c r="H113" s="3725"/>
      <c r="I113" s="129"/>
    </row>
    <row r="114" spans="1:27" ht="3.75" customHeight="1">
      <c r="A114" s="1745"/>
      <c r="B114" s="1745"/>
      <c r="C114" s="1745"/>
      <c r="D114" s="1745"/>
      <c r="E114" s="1807"/>
      <c r="F114" s="1807"/>
      <c r="G114" s="1807"/>
      <c r="H114" s="1807"/>
      <c r="I114" s="1745"/>
    </row>
    <row r="115" spans="1:27" ht="18.75" customHeight="1">
      <c r="A115" s="3735" t="s">
        <v>1440</v>
      </c>
      <c r="B115" s="3736"/>
      <c r="C115" s="3736"/>
      <c r="D115" s="3736"/>
      <c r="E115" s="3736"/>
      <c r="F115" s="3736"/>
      <c r="G115" s="3736"/>
      <c r="H115" s="3736"/>
      <c r="I115" s="3737"/>
    </row>
    <row r="116" spans="1:27" ht="27" customHeight="1">
      <c r="A116" s="3692" t="s">
        <v>1441</v>
      </c>
      <c r="B116" s="3726" t="s">
        <v>1442</v>
      </c>
      <c r="C116" s="3726" t="s">
        <v>1443</v>
      </c>
      <c r="D116" s="3739" t="s">
        <v>1444</v>
      </c>
      <c r="E116" s="3740"/>
      <c r="F116" s="3734" t="s">
        <v>1445</v>
      </c>
      <c r="G116" s="3734"/>
      <c r="H116" s="3692" t="s">
        <v>1446</v>
      </c>
      <c r="I116" s="3692"/>
    </row>
    <row r="117" spans="1:27" ht="18.75" customHeight="1">
      <c r="A117" s="3692"/>
      <c r="B117" s="3727"/>
      <c r="C117" s="3727"/>
      <c r="D117" s="2327" t="s">
        <v>1447</v>
      </c>
      <c r="E117" s="2327" t="s">
        <v>1448</v>
      </c>
      <c r="F117" s="2327" t="s">
        <v>1447</v>
      </c>
      <c r="G117" s="2327" t="s">
        <v>1449</v>
      </c>
      <c r="H117" s="2327" t="s">
        <v>1447</v>
      </c>
      <c r="I117" s="2327" t="s">
        <v>1449</v>
      </c>
    </row>
    <row r="118" spans="1:27" ht="24.75" customHeight="1">
      <c r="A118" s="2594" t="str">
        <f>项目基本情况!S2</f>
        <v>北京市朝阳区首都机场航平西路银行附属办公楼房地产</v>
      </c>
      <c r="B118" s="2327">
        <f>M18</f>
        <v>0</v>
      </c>
      <c r="C118" s="2327">
        <f>M19</f>
        <v>0</v>
      </c>
      <c r="D118" s="2327">
        <f ca="1">ROUND(IF(D32="总价",C34,E118*B118/10000),0)</f>
        <v>0</v>
      </c>
      <c r="E118" s="2327">
        <f ca="1">ROUND(IF(C33="自定义",IF(D32="楼面单价",C34,D118*10000/B118),I118-G118),0)</f>
        <v>16302</v>
      </c>
      <c r="F118" s="2327">
        <f ca="1">ROUND(IF(D32="总价",C35,G118*B118/10000),0)</f>
        <v>0</v>
      </c>
      <c r="G118" s="2327">
        <f ca="1">ROUND(IF(D32="楼面单价",C35,F118*10000/B118),0)</f>
        <v>8739</v>
      </c>
      <c r="H118" s="2327">
        <f ca="1">ROUND(IF(D32="总价",C32,I118*B118/10000),0)</f>
        <v>0</v>
      </c>
      <c r="I118" s="2327">
        <f ca="1">ROUND(IF(D32="楼面单价",C32,H118*10000/B118),0)</f>
        <v>25041</v>
      </c>
      <c r="J118" s="723">
        <f>[4]结果表!$I$118</f>
        <v>22676</v>
      </c>
    </row>
    <row r="119" spans="1:27" ht="18.75" customHeight="1">
      <c r="A119" s="3692" t="s">
        <v>1450</v>
      </c>
      <c r="B119" s="3692"/>
      <c r="C119" s="3692"/>
      <c r="D119" s="3731" t="str">
        <f ca="1">NUMBERSTRING(INT(D118*10000),2)&amp;"元整"</f>
        <v>零元整</v>
      </c>
      <c r="E119" s="3733"/>
      <c r="F119" s="3731" t="str">
        <f ca="1">NUMBERSTRING(INT(F118*10000),2)&amp;"元整"</f>
        <v>零元整</v>
      </c>
      <c r="G119" s="3733"/>
      <c r="H119" s="3731" t="str">
        <f ca="1">NUMBERSTRING(INT(H118*10000),2)&amp;"元整"</f>
        <v>零元整</v>
      </c>
      <c r="I119" s="3733"/>
    </row>
    <row r="120" spans="1:27" ht="18.75" customHeight="1">
      <c r="A120" s="3755" t="str">
        <f>IF(项目基本情况!B9="房地产市场价值","",MID(E103,3,LEN(E103)-2))</f>
        <v>估价师知悉的法定优先受偿款</v>
      </c>
      <c r="B120" s="3756"/>
      <c r="C120" s="3757"/>
      <c r="D120" s="3755">
        <f>H103</f>
        <v>0</v>
      </c>
      <c r="E120" s="3756"/>
      <c r="F120" s="3756"/>
      <c r="G120" s="3756"/>
      <c r="H120" s="3756"/>
      <c r="I120" s="375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731" t="s">
        <v>1450</v>
      </c>
      <c r="B121" s="3732"/>
      <c r="C121" s="3733"/>
      <c r="D121" s="3731" t="str">
        <f>IF(D120=0,"零元整",NUMBERSTRING(INT(D120*10000),2)&amp;"元整")</f>
        <v>零元整</v>
      </c>
      <c r="E121" s="3732"/>
      <c r="F121" s="3732"/>
      <c r="G121" s="3732"/>
      <c r="H121" s="3732"/>
      <c r="I121" s="3733"/>
      <c r="AA121" s="723"/>
    </row>
    <row r="122" spans="1:27" ht="18.75" customHeight="1">
      <c r="A122" s="3722" t="str">
        <f>IF(项目基本情况!B9="房地产市场价值","",MID(E107,3,LEN(E107)-2))</f>
        <v>房地产抵押价值</v>
      </c>
      <c r="B122" s="3722"/>
      <c r="C122" s="3722"/>
      <c r="D122" s="3755">
        <f ca="1">H107</f>
        <v>0</v>
      </c>
      <c r="E122" s="3756"/>
      <c r="F122" s="3756"/>
      <c r="G122" s="3756"/>
      <c r="H122" s="3756"/>
      <c r="I122" s="3757"/>
      <c r="AA122" s="723"/>
    </row>
    <row r="123" spans="1:27" ht="18.75" customHeight="1">
      <c r="A123" s="3692" t="s">
        <v>1450</v>
      </c>
      <c r="B123" s="3692"/>
      <c r="C123" s="3692"/>
      <c r="D123" s="3731" t="str">
        <f ca="1">NUMBERSTRING(INT(D122*10000),2)&amp;"元整"</f>
        <v>零元整</v>
      </c>
      <c r="E123" s="3732"/>
      <c r="F123" s="3732"/>
      <c r="G123" s="3732"/>
      <c r="H123" s="3732"/>
      <c r="I123" s="3733"/>
      <c r="AA123" s="723"/>
    </row>
    <row r="124" spans="1:27" ht="18.75" customHeight="1">
      <c r="A124" s="3722" t="str">
        <f>IF(项目基本情况!B9="房地产市场价值","",MID(E109,3,LEN(E109)-2))</f>
        <v/>
      </c>
      <c r="B124" s="3722"/>
      <c r="C124" s="3722"/>
      <c r="D124" s="3755" t="str">
        <f>H109</f>
        <v>——</v>
      </c>
      <c r="E124" s="3756"/>
      <c r="F124" s="3756"/>
      <c r="G124" s="3756"/>
      <c r="H124" s="3756"/>
      <c r="I124" s="3757"/>
      <c r="AA124" s="723"/>
    </row>
    <row r="125" spans="1:27" ht="18.75" customHeight="1">
      <c r="A125" s="3692" t="s">
        <v>1450</v>
      </c>
      <c r="B125" s="3692"/>
      <c r="C125" s="3692"/>
      <c r="D125" s="3731" t="e">
        <f>NUMBERSTRING(INT(D124*10000),2)&amp;"元整"</f>
        <v>#VALUE!</v>
      </c>
      <c r="E125" s="3732"/>
      <c r="F125" s="3732"/>
      <c r="G125" s="3732"/>
      <c r="H125" s="3732"/>
      <c r="I125" s="3733"/>
      <c r="AA125" s="723"/>
    </row>
    <row r="126" spans="1:27" ht="18.75" customHeight="1">
      <c r="A126" s="3722" t="str">
        <f>IF(项目基本情况!B9="房地产市场价值","",MID(E111,3,LEN(E111)-2))</f>
        <v/>
      </c>
      <c r="B126" s="3722"/>
      <c r="C126" s="3722"/>
      <c r="D126" s="3755" t="str">
        <f>H111</f>
        <v>——</v>
      </c>
      <c r="E126" s="3756"/>
      <c r="F126" s="3756"/>
      <c r="G126" s="3756"/>
      <c r="H126" s="3756"/>
      <c r="I126" s="3757"/>
      <c r="AA126" s="723"/>
    </row>
    <row r="127" spans="1:27" ht="18.75" customHeight="1">
      <c r="A127" s="3692" t="s">
        <v>1450</v>
      </c>
      <c r="B127" s="3692"/>
      <c r="C127" s="3692"/>
      <c r="D127" s="3731" t="e">
        <f>NUMBERSTRING(INT(D126*10000),2)&amp;"元整"</f>
        <v>#VALUE!</v>
      </c>
      <c r="E127" s="3732"/>
      <c r="F127" s="3732"/>
      <c r="G127" s="3732"/>
      <c r="H127" s="3732"/>
      <c r="I127" s="3733"/>
      <c r="AA127" s="723"/>
    </row>
    <row r="128" spans="1:27" ht="21.75" customHeight="1">
      <c r="A128" s="3738" t="s">
        <v>1451</v>
      </c>
      <c r="B128" s="3738"/>
      <c r="C128" s="3738"/>
      <c r="D128" s="3738"/>
      <c r="E128" s="3738"/>
      <c r="F128" s="3738"/>
      <c r="G128" s="3738"/>
      <c r="H128" s="3738"/>
      <c r="I128" s="3738"/>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5" stopIfTrue="1" operator="equal">
      <formula>25</formula>
    </cfRule>
  </conditionalFormatting>
  <conditionalFormatting sqref="C8:C9">
    <cfRule type="cellIs" dxfId="196" priority="23" stopIfTrue="1" operator="equal">
      <formula>15</formula>
    </cfRule>
  </conditionalFormatting>
  <conditionalFormatting sqref="C14:C16">
    <cfRule type="cellIs" dxfId="195" priority="17" stopIfTrue="1" operator="equal">
      <formula>30</formula>
    </cfRule>
  </conditionalFormatting>
  <conditionalFormatting sqref="C10:C13">
    <cfRule type="cellIs" dxfId="194" priority="12" stopIfTrue="1" operator="equal">
      <formula>15</formula>
    </cfRule>
  </conditionalFormatting>
  <conditionalFormatting sqref="C90">
    <cfRule type="expression" dxfId="193" priority="7" stopIfTrue="1">
      <formula>$H$88&lt;&gt;"仅含出让金"</formula>
    </cfRule>
  </conditionalFormatting>
  <conditionalFormatting sqref="C91">
    <cfRule type="expression" dxfId="192" priority="6" stopIfTrue="1">
      <formula>$H$91="由企业提供"</formula>
    </cfRule>
  </conditionalFormatting>
  <conditionalFormatting sqref="E36">
    <cfRule type="expression" dxfId="191" priority="5" stopIfTrue="1">
      <formula>$D$36="同一抵押权人同一抵押物续贷"</formula>
    </cfRule>
  </conditionalFormatting>
  <conditionalFormatting sqref="D5:D7">
    <cfRule type="cellIs" dxfId="190" priority="4" stopIfTrue="1" operator="equal">
      <formula>25</formula>
    </cfRule>
  </conditionalFormatting>
  <conditionalFormatting sqref="D8:D9">
    <cfRule type="cellIs" dxfId="189" priority="3" stopIfTrue="1" operator="equal">
      <formula>15</formula>
    </cfRule>
  </conditionalFormatting>
  <conditionalFormatting sqref="D14:D16">
    <cfRule type="cellIs" dxfId="188" priority="2" stopIfTrue="1" operator="equal">
      <formula>30</formula>
    </cfRule>
  </conditionalFormatting>
  <conditionalFormatting sqref="D10:D13">
    <cfRule type="cellIs" dxfId="18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7</v>
      </c>
    </row>
    <row r="2" spans="1:9" s="200" customFormat="1" ht="18" customHeight="1">
      <c r="A2" s="201" t="s">
        <v>1460</v>
      </c>
      <c r="B2" s="202">
        <f ca="1">IF(D2="——",C52,C52-E2)</f>
        <v>124</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2656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9</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9</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9</v>
      </c>
      <c r="D10" s="843">
        <f ca="1">IF(B1="",'数据-汇总表'!E6,IF(INDIRECT("'数据-取费表'!c"&amp;$G$1)="住宅",INDIRECT("'数据-取费表'!s"&amp;$G$1),INDIRECT("'数据-取费表'!k"&amp;$G$1)+INDIRECT("'数据-取费表'!s"&amp;$G$1)))</f>
        <v>466.83</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9</v>
      </c>
      <c r="D19" s="847">
        <f ca="1">D9+D10</f>
        <v>466.83</v>
      </c>
      <c r="E19" s="211">
        <f>'数据-取费表'!B31</f>
        <v>200</v>
      </c>
      <c r="F19" s="231"/>
      <c r="G19" s="1854"/>
    </row>
    <row r="20" spans="1:7" s="214" customFormat="1" ht="13.5" customHeight="1">
      <c r="A20" s="255" t="s">
        <v>1491</v>
      </c>
      <c r="B20" s="210" t="s">
        <v>1492</v>
      </c>
      <c r="C20" s="232">
        <f ca="1">ROUND((C5+C19)*F20,0)</f>
        <v>0</v>
      </c>
      <c r="D20" s="232"/>
      <c r="E20" s="232"/>
      <c r="F20" s="233">
        <f>'数据-取费表'!B37</f>
        <v>1.4999999999999999E-2</v>
      </c>
      <c r="G20" s="234" t="s">
        <v>1493</v>
      </c>
    </row>
    <row r="21" spans="1:7" s="214" customFormat="1" ht="13.5" customHeight="1">
      <c r="A21" s="255" t="s">
        <v>1494</v>
      </c>
      <c r="B21" s="210" t="s">
        <v>1495</v>
      </c>
      <c r="C21" s="235">
        <f>F21</f>
        <v>1.4999999999999999E-2</v>
      </c>
      <c r="D21" s="236" t="s">
        <v>1496</v>
      </c>
      <c r="E21" s="232"/>
      <c r="F21" s="233">
        <f>'数据-取费表'!B38</f>
        <v>1.4999999999999999E-2</v>
      </c>
      <c r="G21" s="234" t="s">
        <v>1497</v>
      </c>
    </row>
    <row r="22" spans="1:7" s="214" customFormat="1" ht="13.5" customHeight="1">
      <c r="A22" s="255" t="s">
        <v>1498</v>
      </c>
      <c r="B22" s="210" t="s">
        <v>1499</v>
      </c>
      <c r="C22" s="1102">
        <f ca="1">ROUND(SUM(C23:C25),0)</f>
        <v>0</v>
      </c>
      <c r="D22" s="235">
        <f ca="1">C26</f>
        <v>2.9999999999999997E-4</v>
      </c>
      <c r="E22" s="236" t="s">
        <v>1496</v>
      </c>
      <c r="F22" s="237">
        <f ca="1">'数据-取费表'!B40</f>
        <v>4.1499999999999995E-2</v>
      </c>
      <c r="G22" s="234" t="str">
        <f>IF('数据-取费表'!B22&lt;=1,"单利计息","复利计息")</f>
        <v>单利计息</v>
      </c>
    </row>
    <row r="23" spans="1:7" s="214" customFormat="1" ht="13.5" customHeight="1">
      <c r="A23" s="778" t="s">
        <v>1500</v>
      </c>
      <c r="B23" s="215" t="s">
        <v>1501</v>
      </c>
      <c r="C23" s="1103">
        <f ca="1">ROUND(IF('数据-取费表'!B22&lt;=1,C5*F22*'数据-取费表'!B23,C5*(POWER((1+F22),'数据-取费表'!B23)-1)),0)</f>
        <v>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2.9999999999999997E-4</v>
      </c>
      <c r="D26" s="238"/>
      <c r="E26" s="241"/>
      <c r="F26" s="239"/>
      <c r="G26" s="243"/>
    </row>
    <row r="27" spans="1:7" s="214" customFormat="1" ht="24.75">
      <c r="A27" s="255" t="s">
        <v>1510</v>
      </c>
      <c r="B27" s="244" t="s">
        <v>1511</v>
      </c>
      <c r="C27" s="245">
        <f ca="1">C28</f>
        <v>3</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ROUND((C5+C19+C20)*F27*'数据-取费表'!B21/'数据-取费表'!B20,0)</f>
        <v>3</v>
      </c>
      <c r="D28" s="235"/>
      <c r="E28" s="236"/>
      <c r="F28" s="246"/>
      <c r="G28" s="247"/>
    </row>
    <row r="29" spans="1:7" s="214" customFormat="1" ht="13.5" customHeight="1">
      <c r="A29" s="778" t="s">
        <v>347</v>
      </c>
      <c r="B29" s="248" t="s">
        <v>1515</v>
      </c>
      <c r="C29" s="238">
        <f ca="1">ROUND(C21*F27*'数据-取费表'!B21/'数据-取费表'!B20,4)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132</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117</v>
      </c>
      <c r="D34" s="217"/>
      <c r="E34" s="220"/>
      <c r="F34" s="257">
        <f ca="1">IF('数据-取费表'!B24=0,1,IF(B1="",'数据-取费表'!N16,INDIRECT("'数据-取费表'!n"&amp;$G$1)))</f>
        <v>1</v>
      </c>
      <c r="G34" s="219" t="s">
        <v>1524</v>
      </c>
    </row>
    <row r="35" spans="1:7" ht="13.5" customHeight="1">
      <c r="A35" s="778" t="s">
        <v>351</v>
      </c>
      <c r="B35" s="215" t="s">
        <v>1525</v>
      </c>
      <c r="C35" s="220">
        <f ca="1">ROUND(C34*F35,0)</f>
        <v>4</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9</v>
      </c>
      <c r="D37" s="217">
        <f ca="1">D19</f>
        <v>466.83</v>
      </c>
      <c r="E37" s="249">
        <f>'数据-取费表'!B35</f>
        <v>200</v>
      </c>
      <c r="F37" s="259"/>
      <c r="G37" s="261" t="s">
        <v>1530</v>
      </c>
    </row>
    <row r="38" spans="1:7" ht="13.5" customHeight="1">
      <c r="A38" s="778" t="s">
        <v>354</v>
      </c>
      <c r="B38" s="215" t="s">
        <v>1531</v>
      </c>
      <c r="C38" s="220">
        <f ca="1">ROUND(C34*F38,0)</f>
        <v>2</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3</v>
      </c>
      <c r="D41" s="235">
        <f ca="1">C44</f>
        <v>2.9999999999999997E-4</v>
      </c>
      <c r="E41" s="236" t="s">
        <v>1537</v>
      </c>
      <c r="F41" s="237">
        <f ca="1">F22</f>
        <v>4.1499999999999995E-2</v>
      </c>
      <c r="G41" s="234" t="str">
        <f>IF('数据-取费表'!B22&lt;=1,"单利计息","复利计息")</f>
        <v>单利计息</v>
      </c>
    </row>
    <row r="42" spans="1:7" ht="13.5" customHeight="1">
      <c r="A42" s="778" t="s">
        <v>346</v>
      </c>
      <c r="B42" s="215" t="s">
        <v>1541</v>
      </c>
      <c r="C42" s="238">
        <f ca="1">ROUND(IF('数据-取费表'!B22&lt;=1,C33*F22*'数据-取费表'!B21/2,C33*(POWER((1+F22),'数据-取费表'!B21/2)-1)),0)</f>
        <v>3</v>
      </c>
      <c r="D42" s="238"/>
      <c r="E42" s="238"/>
      <c r="F42" s="239"/>
      <c r="G42" s="3771" t="s">
        <v>1542</v>
      </c>
    </row>
    <row r="43" spans="1:7" ht="13.5" customHeight="1">
      <c r="A43" s="778" t="s">
        <v>347</v>
      </c>
      <c r="B43" s="215" t="s">
        <v>1543</v>
      </c>
      <c r="C43" s="238">
        <f ca="1">ROUND(IF('数据-取费表'!B22&lt;=1,C39*F22*'数据-取费表'!B21/2,C39*(POWER((1+F22),'数据-取费表'!B21/2)-1)),0)</f>
        <v>0</v>
      </c>
      <c r="D43" s="238"/>
      <c r="E43" s="238"/>
      <c r="F43" s="239"/>
      <c r="G43" s="3772"/>
    </row>
    <row r="44" spans="1:7" ht="13.5" customHeight="1">
      <c r="A44" s="778" t="s">
        <v>348</v>
      </c>
      <c r="B44" s="215" t="s">
        <v>1544</v>
      </c>
      <c r="C44" s="238">
        <f ca="1">ROUND(IF('数据-取费表'!B22&lt;=1,C40*F22*'数据-取费表'!B21/2,C40*(POWER((1+F22),'数据-取费表'!B21/2)-1)),4)</f>
        <v>2.9999999999999997E-4</v>
      </c>
      <c r="D44" s="238"/>
      <c r="E44" s="238"/>
      <c r="F44" s="239"/>
      <c r="G44" s="3773"/>
    </row>
    <row r="45" spans="1:7" s="214" customFormat="1" ht="13.5" customHeight="1">
      <c r="A45" s="255" t="s">
        <v>1545</v>
      </c>
      <c r="B45" s="244" t="s">
        <v>1511</v>
      </c>
      <c r="C45" s="245">
        <f ca="1">C46</f>
        <v>20</v>
      </c>
      <c r="D45" s="235">
        <f ca="1">C47</f>
        <v>2.3E-3</v>
      </c>
      <c r="E45" s="236" t="s">
        <v>1537</v>
      </c>
      <c r="F45" s="246">
        <f ca="1">F27</f>
        <v>0.15</v>
      </c>
      <c r="G45" s="247" t="s">
        <v>1546</v>
      </c>
    </row>
    <row r="46" spans="1:7" s="214" customFormat="1" ht="13.5" customHeight="1">
      <c r="A46" s="778" t="s">
        <v>346</v>
      </c>
      <c r="B46" s="248" t="s">
        <v>1547</v>
      </c>
      <c r="C46" s="249">
        <f ca="1">ROUND((C33+C39)*F27,0)</f>
        <v>20</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169</v>
      </c>
      <c r="D49" s="232"/>
      <c r="E49" s="232"/>
      <c r="F49" s="264"/>
      <c r="G49" s="234" t="s">
        <v>1552</v>
      </c>
    </row>
    <row r="50" spans="1:7" s="258" customFormat="1" ht="24">
      <c r="A50" s="255" t="s">
        <v>1553</v>
      </c>
      <c r="B50" s="210" t="s">
        <v>1554</v>
      </c>
      <c r="C50" s="232"/>
      <c r="D50" s="232"/>
      <c r="E50" s="232"/>
      <c r="F50" s="264">
        <f>IF('数据-取费表'!B24=0,'数据-取费表'!N16,1)</f>
        <v>0.6</v>
      </c>
      <c r="G50" s="247" t="s">
        <v>1555</v>
      </c>
    </row>
    <row r="51" spans="1:7" ht="16.5" customHeight="1">
      <c r="A51" s="255" t="s">
        <v>1556</v>
      </c>
      <c r="B51" s="210" t="s">
        <v>1557</v>
      </c>
      <c r="C51" s="232">
        <f ca="1">ROUND(C49*F50,0)</f>
        <v>101</v>
      </c>
      <c r="D51" s="232"/>
      <c r="E51" s="232"/>
      <c r="F51" s="264"/>
      <c r="G51" s="234" t="s">
        <v>1558</v>
      </c>
    </row>
    <row r="52" spans="1:7" s="208" customFormat="1" ht="16.5" thickBot="1">
      <c r="A52" s="265" t="s">
        <v>1559</v>
      </c>
      <c r="B52" s="266"/>
      <c r="C52" s="267">
        <f ca="1">C31+C51</f>
        <v>124</v>
      </c>
      <c r="D52" s="266"/>
      <c r="E52" s="266"/>
      <c r="F52" s="266"/>
      <c r="G52" s="268"/>
    </row>
    <row r="55" spans="1:7" ht="15">
      <c r="B55" s="270" t="s">
        <v>1560</v>
      </c>
      <c r="C55" s="271"/>
    </row>
    <row r="56" spans="1:7">
      <c r="B56" s="273" t="s">
        <v>802</v>
      </c>
      <c r="C56" s="275">
        <f ca="1">1-C57</f>
        <v>0.18500000000000005</v>
      </c>
    </row>
    <row r="57" spans="1:7">
      <c r="B57" s="273" t="s">
        <v>803</v>
      </c>
      <c r="C57" s="274">
        <f ca="1">ROUND(C51/C52,3)</f>
        <v>0.81499999999999995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89" t="str">
        <f>项目基本情况!B1</f>
        <v>北京市朝阳区首都机场航平西路银行附属办公楼房地产抵押价值预评估</v>
      </c>
      <c r="C37" s="3589"/>
      <c r="D37" s="3589"/>
      <c r="E37" s="3589"/>
      <c r="F37" s="3589"/>
      <c r="G37" s="3589"/>
      <c r="H37" s="3589"/>
      <c r="I37" s="3589"/>
    </row>
    <row r="38" spans="1:9">
      <c r="A38" s="842"/>
      <c r="B38" s="842"/>
    </row>
    <row r="39" spans="1:9">
      <c r="A39" s="840" t="s">
        <v>371</v>
      </c>
      <c r="B39" s="840" t="s">
        <v>373</v>
      </c>
    </row>
    <row r="40" spans="1:9">
      <c r="A40" s="840"/>
      <c r="B40" s="1472" t="str">
        <f>项目基本情况!B5</f>
        <v>华夏银行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4">
        <f>MATCH(B1,'数据-取费表'!A6:A16,0)+5</f>
        <v>7</v>
      </c>
      <c r="H1" s="1059" t="str">
        <f>IF(ISERROR(FIND("住宅",B1)),"非住宅","住宅")</f>
        <v>非住宅</v>
      </c>
    </row>
    <row r="2" spans="1:8" s="200" customFormat="1" ht="18" customHeight="1">
      <c r="A2" s="201" t="s">
        <v>1460</v>
      </c>
      <c r="B2" s="3419">
        <f ca="1">ROUND(IF(D2="——",C52/10000,C52/10000-E2),4)</f>
        <v>125.0558</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2679</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93366</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93366</v>
      </c>
      <c r="D8" s="222"/>
      <c r="E8" s="220"/>
      <c r="F8" s="221"/>
      <c r="G8" s="1854"/>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93366</v>
      </c>
      <c r="D10" s="843">
        <f ca="1">IF(B1="",'数据-汇总表'!E6,IF(INDIRECT("'数据-取费表'!c"&amp;$G$1)="住宅",INDIRECT("'数据-取费表'!s"&amp;$G$1),INDIRECT("'数据-取费表'!k"&amp;$G$1)+INDIRECT("'数据-取费表'!s"&amp;$G$1)))</f>
        <v>466.83</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93366</v>
      </c>
      <c r="D19" s="847">
        <f ca="1">D9+D10</f>
        <v>466.83</v>
      </c>
      <c r="E19" s="211">
        <f>'数据-取费表'!B31</f>
        <v>200</v>
      </c>
      <c r="F19" s="231"/>
      <c r="G19" s="1854"/>
    </row>
    <row r="20" spans="1:7" s="214" customFormat="1" ht="13.5" customHeight="1">
      <c r="A20" s="255" t="s">
        <v>1572</v>
      </c>
      <c r="B20" s="210" t="s">
        <v>1573</v>
      </c>
      <c r="C20" s="232">
        <f ca="1">ROUND((C5+C19)*F20,0)</f>
        <v>2801</v>
      </c>
      <c r="D20" s="232"/>
      <c r="E20" s="232"/>
      <c r="F20" s="233">
        <f>'数据-取费表'!B37</f>
        <v>1.4999999999999999E-2</v>
      </c>
      <c r="G20" s="234" t="s">
        <v>1574</v>
      </c>
    </row>
    <row r="21" spans="1:7" s="214" customFormat="1" ht="13.5" customHeight="1">
      <c r="A21" s="255" t="s">
        <v>1575</v>
      </c>
      <c r="B21" s="210" t="s">
        <v>1576</v>
      </c>
      <c r="C21" s="235">
        <f>F21</f>
        <v>1.4999999999999999E-2</v>
      </c>
      <c r="D21" s="236" t="s">
        <v>1577</v>
      </c>
      <c r="E21" s="232"/>
      <c r="F21" s="233">
        <f>'数据-取费表'!B38</f>
        <v>1.4999999999999999E-2</v>
      </c>
      <c r="G21" s="234" t="s">
        <v>1578</v>
      </c>
    </row>
    <row r="22" spans="1:7" s="214" customFormat="1" ht="13.5" customHeight="1">
      <c r="A22" s="255" t="s">
        <v>1579</v>
      </c>
      <c r="B22" s="210" t="s">
        <v>1580</v>
      </c>
      <c r="C22" s="1125">
        <f ca="1">ROUND(SUM(C23:C25),0)</f>
        <v>7808</v>
      </c>
      <c r="D22" s="235">
        <f ca="1">C26</f>
        <v>2.9999999999999997E-4</v>
      </c>
      <c r="E22" s="236" t="s">
        <v>1577</v>
      </c>
      <c r="F22" s="237">
        <f ca="1">'数据-取费表'!B40</f>
        <v>4.1499999999999995E-2</v>
      </c>
      <c r="G22" s="234" t="str">
        <f>IF('数据-取费表'!B22&lt;=1,"单利计息","复利计息")</f>
        <v>单利计息</v>
      </c>
    </row>
    <row r="23" spans="1:7" s="214" customFormat="1" ht="13.5" customHeight="1">
      <c r="A23" s="778" t="s">
        <v>1470</v>
      </c>
      <c r="B23" s="215" t="s">
        <v>1581</v>
      </c>
      <c r="C23" s="1126">
        <f ca="1">ROUND(IF('数据-取费表'!B22&lt;=1,C5*F22*'数据-取费表'!B22,C5*(POWER((1+F22),'数据-取费表'!B22)-1)),0)</f>
        <v>3875</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3875</v>
      </c>
      <c r="D24" s="238"/>
      <c r="E24" s="238"/>
      <c r="F24" s="239"/>
      <c r="G24" s="240" t="s">
        <v>1584</v>
      </c>
    </row>
    <row r="25" spans="1:7" s="214" customFormat="1" ht="24">
      <c r="A25" s="778" t="s">
        <v>1474</v>
      </c>
      <c r="B25" s="215" t="s">
        <v>1585</v>
      </c>
      <c r="C25" s="1126">
        <f ca="1">ROUND(IF('数据-取费表'!B22&lt;=1,C20*F22*'数据-取费表'!B22/2,C20*(POWER((1+F22),'数据-取费表'!B22/2)-1)),0)</f>
        <v>58</v>
      </c>
      <c r="D25" s="238"/>
      <c r="E25" s="241"/>
      <c r="F25" s="239"/>
      <c r="G25" s="242" t="s">
        <v>1586</v>
      </c>
    </row>
    <row r="26" spans="1:7" s="214" customFormat="1">
      <c r="A26" s="778" t="s">
        <v>350</v>
      </c>
      <c r="B26" s="215" t="s">
        <v>1509</v>
      </c>
      <c r="C26" s="238">
        <f ca="1">ROUND(IF('数据-取费表'!B22&lt;=1,F21*F22*'数据-取费表'!B22/2,F21*(POWER((1+F22),'数据-取费表'!B22/2)-1)),4)</f>
        <v>2.9999999999999997E-4</v>
      </c>
      <c r="D26" s="238"/>
      <c r="E26" s="241"/>
      <c r="F26" s="239"/>
      <c r="G26" s="243"/>
    </row>
    <row r="27" spans="1:7" s="214" customFormat="1" ht="24.75">
      <c r="A27" s="255" t="s">
        <v>1510</v>
      </c>
      <c r="B27" s="244" t="s">
        <v>1511</v>
      </c>
      <c r="C27" s="245">
        <f ca="1">C28</f>
        <v>28430</v>
      </c>
      <c r="D27" s="235">
        <f ca="1">C29</f>
        <v>2.3E-3</v>
      </c>
      <c r="E27" s="236" t="s">
        <v>1512</v>
      </c>
      <c r="F27" s="246">
        <f ca="1">IF(B1="",'数据-取费表'!Q16,INDIRECT("'数据-取费表'!q"&amp;$G$1))</f>
        <v>0.15</v>
      </c>
      <c r="G27" s="247" t="s">
        <v>1513</v>
      </c>
    </row>
    <row r="28" spans="1:7" s="214" customFormat="1" ht="13.5" customHeight="1">
      <c r="A28" s="778" t="s">
        <v>346</v>
      </c>
      <c r="B28" s="248" t="s">
        <v>1514</v>
      </c>
      <c r="C28" s="249">
        <f ca="1">ROUND((C5+C19+C20)*F27,0)</f>
        <v>28430</v>
      </c>
      <c r="D28" s="235"/>
      <c r="E28" s="236"/>
      <c r="F28" s="246"/>
      <c r="G28" s="247"/>
    </row>
    <row r="29" spans="1:7" s="214" customFormat="1" ht="13.5" customHeight="1">
      <c r="A29" s="778" t="s">
        <v>347</v>
      </c>
      <c r="B29" s="248" t="s">
        <v>1515</v>
      </c>
      <c r="C29" s="238">
        <f ca="1">ROUND(C21*F27,4)</f>
        <v>2.3E-3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243000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1312959</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1167075</v>
      </c>
      <c r="D34" s="217"/>
      <c r="E34" s="220"/>
      <c r="F34" s="257"/>
      <c r="G34" s="219"/>
    </row>
    <row r="35" spans="1:7" ht="13.5" customHeight="1">
      <c r="A35" s="778" t="s">
        <v>351</v>
      </c>
      <c r="B35" s="215" t="s">
        <v>1525</v>
      </c>
      <c r="C35" s="220">
        <f ca="1">ROUND(C34*F35,0)</f>
        <v>35012</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93366</v>
      </c>
      <c r="D37" s="217">
        <f ca="1">D19</f>
        <v>466.83</v>
      </c>
      <c r="E37" s="249">
        <f>'数据-取费表'!B35</f>
        <v>200</v>
      </c>
      <c r="F37" s="259"/>
      <c r="G37" s="261"/>
    </row>
    <row r="38" spans="1:7" ht="13.5" customHeight="1">
      <c r="A38" s="778" t="s">
        <v>354</v>
      </c>
      <c r="B38" s="215" t="s">
        <v>1531</v>
      </c>
      <c r="C38" s="220">
        <f ca="1">ROUND(C34*F38,0)</f>
        <v>17506</v>
      </c>
      <c r="D38" s="220"/>
      <c r="E38" s="220"/>
      <c r="F38" s="259">
        <f>'数据-取费表'!B36</f>
        <v>1.4999999999999999E-2</v>
      </c>
      <c r="G38" s="219" t="s">
        <v>1526</v>
      </c>
    </row>
    <row r="39" spans="1:7" s="214" customFormat="1" ht="13.5" customHeight="1">
      <c r="A39" s="255" t="s">
        <v>1532</v>
      </c>
      <c r="B39" s="210" t="s">
        <v>1533</v>
      </c>
      <c r="C39" s="232">
        <f ca="1">ROUND(C33*F20,0)</f>
        <v>19694</v>
      </c>
      <c r="D39" s="232"/>
      <c r="E39" s="232"/>
      <c r="F39" s="233">
        <f>F20</f>
        <v>1.4999999999999999E-2</v>
      </c>
      <c r="G39" s="234" t="s">
        <v>1534</v>
      </c>
    </row>
    <row r="40" spans="1:7" s="214" customFormat="1" ht="13.5" customHeight="1">
      <c r="A40" s="255" t="s">
        <v>1535</v>
      </c>
      <c r="B40" s="210" t="s">
        <v>1536</v>
      </c>
      <c r="C40" s="1325">
        <f>F21</f>
        <v>1.4999999999999999E-2</v>
      </c>
      <c r="D40" s="236" t="s">
        <v>1537</v>
      </c>
      <c r="E40" s="232"/>
      <c r="F40" s="233">
        <f>F21</f>
        <v>1.4999999999999999E-2</v>
      </c>
      <c r="G40" s="234" t="s">
        <v>1538</v>
      </c>
    </row>
    <row r="41" spans="1:7" s="214" customFormat="1" ht="13.5" customHeight="1">
      <c r="A41" s="255" t="s">
        <v>1539</v>
      </c>
      <c r="B41" s="210" t="s">
        <v>1540</v>
      </c>
      <c r="C41" s="232">
        <f ca="1">ROUND(SUM(C42:C43),0)</f>
        <v>27653</v>
      </c>
      <c r="D41" s="235">
        <f ca="1">C44</f>
        <v>2.9999999999999997E-4</v>
      </c>
      <c r="E41" s="236" t="s">
        <v>1537</v>
      </c>
      <c r="F41" s="237">
        <f ca="1">F22</f>
        <v>4.1499999999999995E-2</v>
      </c>
      <c r="G41" s="234" t="str">
        <f>IF('数据-取费表'!B22&lt;=1,"单利计息","复利计息")</f>
        <v>单利计息</v>
      </c>
    </row>
    <row r="42" spans="1:7" ht="13.5" customHeight="1">
      <c r="A42" s="778" t="s">
        <v>346</v>
      </c>
      <c r="B42" s="215" t="s">
        <v>1541</v>
      </c>
      <c r="C42" s="238">
        <f ca="1">ROUND(IF('数据-取费表'!B22&lt;=1,C33*F22*'数据-取费表'!B20/2,C33*(POWER((1+F22),'数据-取费表'!B20/2)-1)),0)</f>
        <v>27244</v>
      </c>
      <c r="D42" s="238"/>
      <c r="E42" s="238"/>
      <c r="F42" s="239"/>
      <c r="G42" s="3771" t="s">
        <v>1589</v>
      </c>
    </row>
    <row r="43" spans="1:7" ht="13.5" customHeight="1">
      <c r="A43" s="778" t="s">
        <v>347</v>
      </c>
      <c r="B43" s="215" t="s">
        <v>1543</v>
      </c>
      <c r="C43" s="238">
        <f ca="1">ROUND(IF('数据-取费表'!B22&lt;=1,C39*F22*'数据-取费表'!B20/2,C39*(POWER((1+F22),'数据-取费表'!B20/2)-1)),0)</f>
        <v>409</v>
      </c>
      <c r="D43" s="238"/>
      <c r="E43" s="238"/>
      <c r="F43" s="239"/>
      <c r="G43" s="3772"/>
    </row>
    <row r="44" spans="1:7" ht="13.5" customHeight="1">
      <c r="A44" s="778" t="s">
        <v>348</v>
      </c>
      <c r="B44" s="215" t="s">
        <v>1544</v>
      </c>
      <c r="C44" s="238">
        <f ca="1">ROUND(IF('数据-取费表'!B22&lt;=1,C40*F22*'数据-取费表'!B20/2,C40*(POWER((1+F22),'数据-取费表'!B20/2)-1)),4)</f>
        <v>2.9999999999999997E-4</v>
      </c>
      <c r="D44" s="238"/>
      <c r="E44" s="238"/>
      <c r="F44" s="239"/>
      <c r="G44" s="3773"/>
    </row>
    <row r="45" spans="1:7" s="214" customFormat="1" ht="13.5" customHeight="1">
      <c r="A45" s="255" t="s">
        <v>1545</v>
      </c>
      <c r="B45" s="244" t="s">
        <v>1511</v>
      </c>
      <c r="C45" s="245">
        <f ca="1">C46</f>
        <v>199898</v>
      </c>
      <c r="D45" s="235">
        <f ca="1">C47</f>
        <v>2.3E-3</v>
      </c>
      <c r="E45" s="236" t="s">
        <v>1537</v>
      </c>
      <c r="F45" s="246">
        <f ca="1">F27</f>
        <v>0.15</v>
      </c>
      <c r="G45" s="247" t="s">
        <v>1546</v>
      </c>
    </row>
    <row r="46" spans="1:7" s="214" customFormat="1" ht="13.5" customHeight="1">
      <c r="A46" s="778" t="s">
        <v>346</v>
      </c>
      <c r="B46" s="248" t="s">
        <v>1547</v>
      </c>
      <c r="C46" s="249">
        <f ca="1">ROUND((C33+C39)*F27,0)</f>
        <v>199898</v>
      </c>
      <c r="D46" s="263"/>
      <c r="E46" s="236"/>
      <c r="F46" s="246"/>
      <c r="G46" s="247"/>
    </row>
    <row r="47" spans="1:7" s="214" customFormat="1" ht="13.5" customHeight="1">
      <c r="A47" s="778" t="s">
        <v>347</v>
      </c>
      <c r="B47" s="248" t="s">
        <v>1548</v>
      </c>
      <c r="C47" s="238">
        <f ca="1">ROUND(C40*F27,4)</f>
        <v>2.3E-3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1679264</v>
      </c>
      <c r="D49" s="232"/>
      <c r="E49" s="232"/>
      <c r="F49" s="264"/>
      <c r="G49" s="234" t="s">
        <v>1552</v>
      </c>
    </row>
    <row r="50" spans="1:7" s="258" customFormat="1">
      <c r="A50" s="255" t="s">
        <v>1553</v>
      </c>
      <c r="B50" s="210" t="s">
        <v>1554</v>
      </c>
      <c r="C50" s="232"/>
      <c r="D50" s="232"/>
      <c r="E50" s="232"/>
      <c r="F50" s="264">
        <f>IF('数据-取费表'!B24=0,'数据-取费表'!N16,1)</f>
        <v>0.6</v>
      </c>
      <c r="G50" s="247"/>
    </row>
    <row r="51" spans="1:7" ht="16.5" customHeight="1">
      <c r="A51" s="255" t="s">
        <v>1556</v>
      </c>
      <c r="B51" s="210" t="s">
        <v>1591</v>
      </c>
      <c r="C51" s="232">
        <f ca="1">ROUND(C49*F50,0)</f>
        <v>1007558</v>
      </c>
      <c r="D51" s="232"/>
      <c r="E51" s="232"/>
      <c r="F51" s="264"/>
      <c r="G51" s="234" t="s">
        <v>1558</v>
      </c>
    </row>
    <row r="52" spans="1:7" s="208" customFormat="1" ht="16.5" thickBot="1">
      <c r="A52" s="265" t="s">
        <v>1559</v>
      </c>
      <c r="B52" s="266"/>
      <c r="C52" s="267">
        <f ca="1">C31+C51</f>
        <v>1250558</v>
      </c>
      <c r="D52" s="266"/>
      <c r="E52" s="266"/>
      <c r="F52" s="266"/>
      <c r="G52" s="268"/>
    </row>
    <row r="55" spans="1:7" ht="15">
      <c r="B55" s="270" t="s">
        <v>1560</v>
      </c>
      <c r="C55" s="271"/>
    </row>
    <row r="56" spans="1:7">
      <c r="B56" s="273" t="s">
        <v>802</v>
      </c>
      <c r="C56" s="275">
        <f ca="1">1-C57</f>
        <v>0.19399999999999995</v>
      </c>
    </row>
    <row r="57" spans="1:7">
      <c r="B57" s="273" t="s">
        <v>803</v>
      </c>
      <c r="C57" s="274">
        <f ca="1">ROUND(C51/C52,3)</f>
        <v>0.80600000000000005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466.83</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466.83</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9</v>
      </c>
      <c r="D20" s="844">
        <f ca="1">IF(C1="",'数据-汇总表'!E6,IF(INDIRECT("'数据-取费表'!c"&amp;$K$1)="住宅",INDIRECT("'数据-取费表'!s"&amp;$K$1),INDIRECT("'数据-取费表'!k"&amp;$K$1)+INDIRECT("'数据-取费表'!s"&amp;$K$1)))</f>
        <v>466.83</v>
      </c>
      <c r="E20" s="21">
        <f>'数据-取费表'!B28</f>
        <v>200</v>
      </c>
      <c r="F20" s="802"/>
      <c r="G20" s="12"/>
      <c r="H20" s="807"/>
      <c r="I20" s="807"/>
      <c r="J20" s="807"/>
      <c r="K20" s="808"/>
    </row>
    <row r="21" spans="1:33" s="801" customFormat="1" ht="13.5" customHeight="1">
      <c r="A21" s="788" t="s">
        <v>357</v>
      </c>
      <c r="B21" s="811" t="s">
        <v>1626</v>
      </c>
      <c r="C21" s="812">
        <f ca="1">C16+C17+C18</f>
        <v>0</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1.4999999999999999E-2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1.4999999999999999E-2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5"/>
      <c r="I27" s="805"/>
      <c r="J27" s="805"/>
      <c r="K27" s="806"/>
    </row>
    <row r="28" spans="1:33" s="289" customFormat="1" ht="13.5" customHeight="1">
      <c r="A28" s="788" t="s">
        <v>1639</v>
      </c>
      <c r="B28" s="1863" t="s">
        <v>1640</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0</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776" t="s">
        <v>694</v>
      </c>
      <c r="C6" s="1072">
        <f ca="1">ROUND(F6*F8*F7*(1-F9)/10000,0)</f>
        <v>0</v>
      </c>
      <c r="D6" s="155" t="s">
        <v>2105</v>
      </c>
      <c r="E6" s="302" t="s">
        <v>696</v>
      </c>
      <c r="F6" s="303">
        <f ca="1">INDIRECT("'数据-取费表'!u"&amp;$G$1)</f>
        <v>0</v>
      </c>
      <c r="G6" s="1382"/>
      <c r="H6" s="1067" t="s">
        <v>398</v>
      </c>
      <c r="I6" s="3776" t="s">
        <v>694</v>
      </c>
      <c r="J6" s="301">
        <f ca="1">ROUND(M6*M8*M7*(1-M9)/10000,0)</f>
        <v>0</v>
      </c>
      <c r="K6" s="155" t="s">
        <v>2104</v>
      </c>
      <c r="L6" s="302" t="s">
        <v>696</v>
      </c>
      <c r="M6" s="303">
        <f ca="1">INDIRECT("'数据-取费表'!z"&amp;$G$1)</f>
        <v>0</v>
      </c>
    </row>
    <row r="7" spans="1:37" ht="18" customHeight="1">
      <c r="A7" s="1071"/>
      <c r="B7" s="3777"/>
      <c r="C7" s="1073"/>
      <c r="D7" s="307"/>
      <c r="E7" s="1074" t="s">
        <v>697</v>
      </c>
      <c r="F7" s="303">
        <f ca="1">IF(INDIRECT("'数据-取费表'!ah"&amp;$G$1)="",INDIRECT("'数据-取费表'!k"&amp;$G$1),INDIRECT("'数据-取费表'!ah"&amp;$G$1))</f>
        <v>0</v>
      </c>
      <c r="G7" s="1382"/>
      <c r="H7" s="304"/>
      <c r="I7" s="3777"/>
      <c r="J7" s="306"/>
      <c r="K7" s="307"/>
      <c r="L7" s="302" t="s">
        <v>697</v>
      </c>
      <c r="M7" s="303">
        <f ca="1">F7</f>
        <v>0</v>
      </c>
    </row>
    <row r="8" spans="1:37" ht="18" customHeight="1">
      <c r="A8" s="304"/>
      <c r="B8" s="3777"/>
      <c r="C8" s="306"/>
      <c r="D8" s="307"/>
      <c r="E8" s="302" t="s">
        <v>698</v>
      </c>
      <c r="F8" s="303">
        <f ca="1">INDIRECT("'数据-取费表'!ai"&amp;$G$1)</f>
        <v>0</v>
      </c>
      <c r="G8" s="1382"/>
      <c r="H8" s="304"/>
      <c r="I8" s="3777"/>
      <c r="J8" s="306"/>
      <c r="K8" s="307"/>
      <c r="L8" s="302" t="s">
        <v>698</v>
      </c>
      <c r="M8" s="303">
        <f ca="1">INDIRECT("'数据-取费表'!ai"&amp;$G$1)</f>
        <v>0</v>
      </c>
    </row>
    <row r="9" spans="1:37" ht="18" customHeight="1">
      <c r="A9" s="304"/>
      <c r="B9" s="3778"/>
      <c r="C9" s="306"/>
      <c r="D9" s="307"/>
      <c r="E9" s="302" t="s">
        <v>699</v>
      </c>
      <c r="F9" s="312">
        <f ca="1">INDIRECT("'数据-取费表'!w"&amp;$G$1)</f>
        <v>0</v>
      </c>
      <c r="G9" s="1382"/>
      <c r="H9" s="304"/>
      <c r="I9" s="377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2113</v>
      </c>
      <c r="E10" s="313" t="s">
        <v>701</v>
      </c>
      <c r="F10" s="1114"/>
      <c r="G10" s="1382"/>
      <c r="H10" s="1067" t="s">
        <v>402</v>
      </c>
      <c r="I10" s="1363" t="s">
        <v>700</v>
      </c>
      <c r="J10" s="301">
        <f ca="1">ROUND(IF(M10="押一",J6/12*M11,IF(M10="押二",J6/12*2*M11,IF(M10="押三",J6/12*3*M11,J11*M11))),0)</f>
        <v>0</v>
      </c>
      <c r="K10" s="1364" t="s">
        <v>2112</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1.4999999999999999E-2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1.4999999999999999E-2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0"/>
      <c r="I30" s="1396"/>
      <c r="J30" s="1397"/>
      <c r="K30" s="2470"/>
      <c r="L30" s="2691"/>
      <c r="M30" s="2692"/>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1" t="s">
        <v>2302</v>
      </c>
      <c r="I31" s="1396"/>
      <c r="J31" s="1397"/>
      <c r="K31" s="2470"/>
      <c r="L31" s="2691"/>
      <c r="M31" s="2692"/>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0"/>
      <c r="I32" s="1396"/>
      <c r="J32" s="1397"/>
      <c r="K32" s="2470"/>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0</v>
      </c>
      <c r="D34" s="324" t="s">
        <v>731</v>
      </c>
      <c r="E34" s="302" t="s">
        <v>732</v>
      </c>
      <c r="F34" s="325">
        <f>'数据-取费表'!B52</f>
        <v>0</v>
      </c>
      <c r="G34" s="1382"/>
      <c r="H34" s="2690"/>
      <c r="I34" s="1396"/>
      <c r="J34" s="1397"/>
      <c r="K34" s="2695"/>
      <c r="L34" s="2696"/>
      <c r="M34" s="2696"/>
    </row>
    <row r="35" spans="1:18" ht="18" customHeight="1">
      <c r="A35" s="1101"/>
      <c r="B35" s="1099"/>
      <c r="C35" s="26"/>
      <c r="D35" s="327"/>
      <c r="E35" s="302" t="s">
        <v>736</v>
      </c>
      <c r="F35" s="303">
        <f ca="1">INDIRECT("'数据-取费表'!r"&amp;$G$1)</f>
        <v>0</v>
      </c>
      <c r="G35" s="1382"/>
      <c r="H35" s="2690"/>
      <c r="I35" s="1396"/>
      <c r="J35" s="1397"/>
      <c r="K35" s="2694"/>
      <c r="L35" s="2693"/>
      <c r="M35" s="2693"/>
    </row>
    <row r="36" spans="1:18" ht="18" customHeight="1">
      <c r="A36" s="1100" t="s">
        <v>402</v>
      </c>
      <c r="B36" s="302" t="s">
        <v>738</v>
      </c>
      <c r="C36" s="21">
        <f ca="1">ROUND(C29*F36,2)</f>
        <v>0</v>
      </c>
      <c r="D36" s="1342" t="s">
        <v>771</v>
      </c>
      <c r="E36" s="302" t="s">
        <v>712</v>
      </c>
      <c r="F36" s="328">
        <f ca="1">INDIRECT("'数据-取费表'!Ak"&amp;$G$1)</f>
        <v>0</v>
      </c>
      <c r="G36" s="1382"/>
      <c r="H36" s="2693"/>
      <c r="I36" s="1396"/>
      <c r="J36" s="1397"/>
      <c r="K36" s="2538"/>
      <c r="L36" s="2693"/>
      <c r="M36" s="2693"/>
    </row>
    <row r="37" spans="1:18" ht="18" customHeight="1">
      <c r="A37" s="980" t="s">
        <v>437</v>
      </c>
      <c r="B37" s="302" t="s">
        <v>742</v>
      </c>
      <c r="C37" s="21">
        <f ca="1">ROUND(C13*F37,2)</f>
        <v>0</v>
      </c>
      <c r="D37" s="1342" t="s">
        <v>743</v>
      </c>
      <c r="E37" s="302" t="s">
        <v>744</v>
      </c>
      <c r="F37" s="330">
        <f ca="1">INDIRECT("'数据-取费表'!Al"&amp;$G$1)</f>
        <v>0</v>
      </c>
      <c r="G37" s="1382"/>
      <c r="H37" s="2693"/>
      <c r="I37" s="1396"/>
      <c r="J37" s="1397"/>
      <c r="K37" s="2538"/>
      <c r="L37" s="2693"/>
      <c r="M37" s="2693"/>
    </row>
    <row r="38" spans="1:18" ht="18" customHeight="1" thickBot="1">
      <c r="A38" s="1087" t="s">
        <v>684</v>
      </c>
      <c r="B38" s="1088" t="s">
        <v>728</v>
      </c>
      <c r="C38" s="1089">
        <f ca="1">ROUND(C5*F38,2)</f>
        <v>0</v>
      </c>
      <c r="D38" s="1090" t="s">
        <v>748</v>
      </c>
      <c r="E38" s="1088" t="s">
        <v>744</v>
      </c>
      <c r="F38" s="1084">
        <f ca="1">INDIRECT("'数据-取费表'!Am"&amp;$G$1)</f>
        <v>0</v>
      </c>
      <c r="G38" s="1382"/>
      <c r="H38" s="2693"/>
      <c r="I38" s="1396"/>
      <c r="J38" s="1397"/>
      <c r="K38" s="2697"/>
      <c r="L38" s="2693"/>
      <c r="M38" s="2693"/>
    </row>
    <row r="39" spans="1:18" ht="24.6" customHeight="1" thickTop="1">
      <c r="A39" s="1077" t="s">
        <v>394</v>
      </c>
      <c r="B39" s="1092" t="s">
        <v>772</v>
      </c>
      <c r="C39" s="310">
        <f ca="1">C5-C30</f>
        <v>0</v>
      </c>
      <c r="D39" s="1093" t="s">
        <v>773</v>
      </c>
      <c r="E39" s="1094"/>
      <c r="F39" s="1095"/>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2106</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2112</v>
      </c>
      <c r="E53" s="313" t="s">
        <v>701</v>
      </c>
      <c r="F53" s="1114"/>
      <c r="I53" s="1437" t="s">
        <v>836</v>
      </c>
      <c r="J53" s="2166">
        <f ca="1">IF(M47="住宅",IF(D1="——",MAX(J51,L48),MAX(J51,L48-'数据-取费表'!B24)),IF(D1="——",MIN(J51,L48),MIN(J51,L48-'数据-取费表'!B24)))</f>
        <v>0</v>
      </c>
      <c r="K53" s="3774" t="s">
        <v>837</v>
      </c>
      <c r="L53" s="3775"/>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2430</v>
      </c>
      <c r="B1" s="2825"/>
      <c r="C1" s="2837"/>
      <c r="D1" s="2837"/>
      <c r="E1" s="2826"/>
      <c r="F1" s="2827"/>
      <c r="G1" s="2828"/>
      <c r="J1" s="2831" t="s">
        <v>2309</v>
      </c>
      <c r="K1" s="2832"/>
      <c r="L1" s="2832"/>
      <c r="M1" s="2832"/>
      <c r="N1" s="2832"/>
      <c r="O1" s="2832"/>
      <c r="P1" s="2832"/>
      <c r="Q1" s="2832"/>
      <c r="R1" s="2833"/>
      <c r="S1" s="2834"/>
      <c r="T1" s="2834"/>
      <c r="U1" s="2834"/>
    </row>
    <row r="2" spans="1:22" s="2846" customFormat="1" ht="13.15" customHeight="1">
      <c r="A2" s="1383" t="s">
        <v>2310</v>
      </c>
      <c r="B2" s="2836" t="e">
        <f>IF(D2="——",C40,C40+E2)</f>
        <v>#DIV/0!</v>
      </c>
      <c r="C2" s="2837" t="s">
        <v>2311</v>
      </c>
      <c r="D2" s="3438" t="s">
        <v>3362</v>
      </c>
      <c r="E2" s="3439"/>
      <c r="F2" s="2839"/>
      <c r="G2" s="2840"/>
      <c r="H2" s="2841"/>
      <c r="I2" s="2842"/>
      <c r="J2" s="3785" t="s">
        <v>2312</v>
      </c>
      <c r="K2" s="3786"/>
      <c r="L2" s="2843" t="s">
        <v>2313</v>
      </c>
      <c r="M2" s="2843" t="s">
        <v>2314</v>
      </c>
      <c r="N2" s="2843" t="s">
        <v>2315</v>
      </c>
      <c r="O2" s="2843" t="s">
        <v>2316</v>
      </c>
      <c r="P2" s="2843" t="s">
        <v>2317</v>
      </c>
      <c r="Q2" s="2844" t="s">
        <v>2318</v>
      </c>
      <c r="R2" s="2845" t="s">
        <v>2319</v>
      </c>
      <c r="S2" s="2834"/>
      <c r="T2" s="2834"/>
      <c r="U2" s="2834"/>
      <c r="V2" s="2842"/>
    </row>
    <row r="3" spans="1:22" s="2846" customFormat="1" ht="13.15" customHeight="1">
      <c r="A3" s="2847" t="s">
        <v>2320</v>
      </c>
      <c r="B3" s="2848" t="e">
        <f>ROUND(B2*10000/B4,0)</f>
        <v>#DIV/0!</v>
      </c>
      <c r="C3" s="2837" t="s">
        <v>2321</v>
      </c>
      <c r="D3" s="2837"/>
      <c r="E3" s="2838"/>
      <c r="F3" s="2839"/>
      <c r="G3" s="2840"/>
      <c r="H3" s="2841"/>
      <c r="I3" s="2842"/>
      <c r="J3" s="3787" t="s">
        <v>2322</v>
      </c>
      <c r="K3" s="3788"/>
      <c r="L3" s="2849"/>
      <c r="M3" s="2849"/>
      <c r="N3" s="2849"/>
      <c r="O3" s="2849"/>
      <c r="P3" s="2849"/>
      <c r="Q3" s="2850"/>
      <c r="R3" s="2851">
        <f>SUM(L3:Q3)</f>
        <v>0</v>
      </c>
      <c r="S3" s="2834"/>
      <c r="T3" s="2834"/>
      <c r="U3" s="2834"/>
      <c r="V3" s="2842"/>
    </row>
    <row r="4" spans="1:22" s="2846" customFormat="1" ht="13.15" customHeight="1">
      <c r="A4" s="2852" t="s">
        <v>2323</v>
      </c>
      <c r="B4" s="2853"/>
      <c r="C4" s="2837"/>
      <c r="D4" s="2837"/>
      <c r="E4" s="2838"/>
      <c r="F4" s="2839"/>
      <c r="G4" s="2840"/>
      <c r="H4" s="2841"/>
      <c r="I4" s="2842"/>
      <c r="J4" s="3787" t="s">
        <v>2324</v>
      </c>
      <c r="K4" s="3788"/>
      <c r="L4" s="2854"/>
      <c r="M4" s="2854"/>
      <c r="N4" s="2854"/>
      <c r="O4" s="2854"/>
      <c r="P4" s="2854"/>
      <c r="Q4" s="2855"/>
      <c r="R4" s="2856">
        <f>SUM(L4:Q4)</f>
        <v>0</v>
      </c>
      <c r="S4" s="2834"/>
      <c r="T4" s="2834"/>
      <c r="U4" s="2834"/>
      <c r="V4" s="2842"/>
    </row>
    <row r="5" spans="1:22" s="2846" customFormat="1" ht="13.15" customHeight="1" thickBot="1">
      <c r="A5" s="2857" t="s">
        <v>2325</v>
      </c>
      <c r="B5" s="2858"/>
      <c r="C5" s="2837"/>
      <c r="D5" s="2859"/>
      <c r="E5" s="2839"/>
      <c r="F5" s="2839"/>
      <c r="G5" s="2840"/>
      <c r="H5" s="2841"/>
      <c r="I5" s="2842"/>
      <c r="J5" s="2860" t="s">
        <v>2326</v>
      </c>
      <c r="K5" s="2861"/>
      <c r="L5" s="2861"/>
      <c r="M5" s="2862"/>
      <c r="N5" s="2862"/>
      <c r="O5" s="2862"/>
      <c r="P5" s="2862"/>
      <c r="Q5" s="2862"/>
      <c r="R5" s="2845">
        <f>SUM(R14,R19,R24,R25,R27,R28)</f>
        <v>0</v>
      </c>
      <c r="S5" s="2834"/>
      <c r="T5" s="2834" t="s">
        <v>2327</v>
      </c>
      <c r="U5" s="2834" t="e">
        <f>ROUND(R5*10000/365/R3,1)</f>
        <v>#DIV/0!</v>
      </c>
      <c r="V5" s="2842"/>
    </row>
    <row r="6" spans="1:22" s="2846" customFormat="1" ht="13.15" customHeight="1" thickBot="1">
      <c r="A6" s="3793" t="s">
        <v>2328</v>
      </c>
      <c r="B6" s="3794"/>
      <c r="C6" s="3795"/>
      <c r="D6" s="2863"/>
      <c r="E6" s="2864"/>
      <c r="F6" s="2865"/>
      <c r="G6" s="2866"/>
      <c r="H6" s="2841"/>
      <c r="I6" s="2842"/>
      <c r="J6" s="3779">
        <v>1</v>
      </c>
      <c r="K6" s="3780" t="s">
        <v>2329</v>
      </c>
      <c r="L6" s="2867" t="s">
        <v>2330</v>
      </c>
      <c r="M6" s="2868" t="s">
        <v>2331</v>
      </c>
      <c r="N6" s="2868" t="s">
        <v>2332</v>
      </c>
      <c r="O6" s="2868" t="s">
        <v>2333</v>
      </c>
      <c r="P6" s="2868" t="s">
        <v>2334</v>
      </c>
      <c r="Q6" s="2868" t="s">
        <v>2335</v>
      </c>
      <c r="R6" s="2851" t="s">
        <v>2336</v>
      </c>
      <c r="S6" s="2834"/>
      <c r="T6" s="2834" t="s">
        <v>2337</v>
      </c>
      <c r="U6" s="2834"/>
      <c r="V6" s="2842"/>
    </row>
    <row r="7" spans="1:22" s="2846" customFormat="1" ht="13.15" customHeight="1">
      <c r="A7" s="2869" t="s">
        <v>2338</v>
      </c>
      <c r="B7" s="2870"/>
      <c r="C7" s="2871"/>
      <c r="D7" s="2872">
        <f>SUM(D9,D10,D11,D17,0)</f>
        <v>0</v>
      </c>
      <c r="E7" s="2873" t="e">
        <f>E9+E10+E11+E17</f>
        <v>#DIV/0!</v>
      </c>
      <c r="F7" s="2874"/>
      <c r="G7" s="2875"/>
      <c r="H7" s="2841"/>
      <c r="I7" s="2842"/>
      <c r="J7" s="3779"/>
      <c r="K7" s="3781"/>
      <c r="L7" s="2876" t="s">
        <v>2339</v>
      </c>
      <c r="M7" s="2877"/>
      <c r="N7" s="2853"/>
      <c r="O7" s="2878"/>
      <c r="P7" s="2878"/>
      <c r="Q7" s="2879">
        <v>365</v>
      </c>
      <c r="R7" s="2880">
        <f>ROUND(M7*N7*O7*P7*Q7/10000,0)</f>
        <v>0</v>
      </c>
      <c r="S7" s="2834"/>
      <c r="T7" s="2834" t="s">
        <v>2340</v>
      </c>
      <c r="U7" s="2834"/>
      <c r="V7" s="2842"/>
    </row>
    <row r="8" spans="1:22" s="2846" customFormat="1" ht="13.15" customHeight="1">
      <c r="A8" s="2881" t="s">
        <v>2341</v>
      </c>
      <c r="B8" s="3796" t="s">
        <v>2342</v>
      </c>
      <c r="C8" s="3797"/>
      <c r="D8" s="2882" t="s">
        <v>2343</v>
      </c>
      <c r="E8" s="2883" t="s">
        <v>2344</v>
      </c>
      <c r="F8" s="2884" t="s">
        <v>2345</v>
      </c>
      <c r="G8" s="2885"/>
      <c r="H8" s="2841"/>
      <c r="I8" s="2842"/>
      <c r="J8" s="3779"/>
      <c r="K8" s="3781"/>
      <c r="L8" s="2876" t="s">
        <v>2346</v>
      </c>
      <c r="M8" s="2877"/>
      <c r="N8" s="2853"/>
      <c r="O8" s="2878"/>
      <c r="P8" s="2878"/>
      <c r="Q8" s="2879">
        <v>365</v>
      </c>
      <c r="R8" s="2880">
        <f t="shared" ref="R8:R13" si="0">ROUND(M8*N8*O8*P8*Q8/10000,0)</f>
        <v>0</v>
      </c>
      <c r="S8" s="2834"/>
      <c r="T8" s="2834" t="s">
        <v>2347</v>
      </c>
      <c r="U8" s="2834"/>
      <c r="V8" s="2842"/>
    </row>
    <row r="9" spans="1:22" s="2846" customFormat="1" ht="13.15" customHeight="1">
      <c r="A9" s="2881">
        <v>1</v>
      </c>
      <c r="B9" s="3796" t="s">
        <v>2348</v>
      </c>
      <c r="C9" s="3797"/>
      <c r="D9" s="2882">
        <f>ROUND(D6*E9,0)</f>
        <v>0</v>
      </c>
      <c r="E9" s="2886"/>
      <c r="F9" s="2887" t="s">
        <v>2349</v>
      </c>
      <c r="G9" s="2866"/>
      <c r="H9" s="2841"/>
      <c r="I9" s="2842"/>
      <c r="J9" s="3779"/>
      <c r="K9" s="3781"/>
      <c r="L9" s="2876" t="s">
        <v>2350</v>
      </c>
      <c r="M9" s="2877"/>
      <c r="N9" s="2853"/>
      <c r="O9" s="2878"/>
      <c r="P9" s="2878"/>
      <c r="Q9" s="2879">
        <v>365</v>
      </c>
      <c r="R9" s="2880">
        <f t="shared" si="0"/>
        <v>0</v>
      </c>
      <c r="S9" s="2834"/>
      <c r="T9" s="2834"/>
      <c r="U9" s="2834"/>
      <c r="V9" s="2842"/>
    </row>
    <row r="10" spans="1:22" s="2846" customFormat="1" ht="13.15" customHeight="1">
      <c r="A10" s="2881">
        <v>2</v>
      </c>
      <c r="B10" s="3796" t="s">
        <v>2351</v>
      </c>
      <c r="C10" s="3797"/>
      <c r="D10" s="2882">
        <f>ROUND(D6*E10,0)</f>
        <v>0</v>
      </c>
      <c r="E10" s="2886"/>
      <c r="F10" s="2887" t="s">
        <v>2352</v>
      </c>
      <c r="G10" s="2866"/>
      <c r="H10" s="2841"/>
      <c r="I10" s="2842"/>
      <c r="J10" s="3779"/>
      <c r="K10" s="3781"/>
      <c r="L10" s="2876" t="s">
        <v>2353</v>
      </c>
      <c r="M10" s="2877"/>
      <c r="N10" s="2853"/>
      <c r="O10" s="2878"/>
      <c r="P10" s="2878"/>
      <c r="Q10" s="2879">
        <v>365</v>
      </c>
      <c r="R10" s="2880">
        <f t="shared" si="0"/>
        <v>0</v>
      </c>
      <c r="S10" s="2834"/>
      <c r="T10" s="2834"/>
      <c r="U10" s="2834"/>
      <c r="V10" s="2842"/>
    </row>
    <row r="11" spans="1:22" s="2846" customFormat="1" ht="13.15" customHeight="1">
      <c r="A11" s="2881">
        <v>3</v>
      </c>
      <c r="B11" s="3796" t="s">
        <v>2354</v>
      </c>
      <c r="C11" s="3797"/>
      <c r="D11" s="2882">
        <f>D12+D14+D15+D16</f>
        <v>0</v>
      </c>
      <c r="E11" s="2888" t="e">
        <f>D11/D6</f>
        <v>#DIV/0!</v>
      </c>
      <c r="F11" s="2884"/>
      <c r="G11" s="2885"/>
      <c r="H11" s="2841"/>
      <c r="I11" s="2842"/>
      <c r="J11" s="3779"/>
      <c r="K11" s="3781"/>
      <c r="L11" s="2876" t="s">
        <v>2355</v>
      </c>
      <c r="M11" s="2877"/>
      <c r="N11" s="2853"/>
      <c r="O11" s="2878"/>
      <c r="P11" s="2878"/>
      <c r="Q11" s="2879">
        <v>365</v>
      </c>
      <c r="R11" s="2880">
        <f t="shared" si="0"/>
        <v>0</v>
      </c>
      <c r="S11" s="2834"/>
      <c r="T11" s="2834"/>
      <c r="U11" s="2834"/>
      <c r="V11" s="2842"/>
    </row>
    <row r="12" spans="1:22" s="2846" customFormat="1" ht="13.15" customHeight="1">
      <c r="A12" s="2889" t="s">
        <v>2356</v>
      </c>
      <c r="B12" s="3789" t="s">
        <v>2357</v>
      </c>
      <c r="C12" s="3790"/>
      <c r="D12" s="2890">
        <f>ROUND(D13*1.2%*(1-30%),0)</f>
        <v>0</v>
      </c>
      <c r="E12" s="2891">
        <v>1.2E-2</v>
      </c>
      <c r="F12" s="2884" t="s">
        <v>2358</v>
      </c>
      <c r="G12" s="2885"/>
      <c r="H12" s="2841"/>
      <c r="I12" s="2842"/>
      <c r="J12" s="3779"/>
      <c r="K12" s="3781"/>
      <c r="L12" s="2876" t="s">
        <v>2359</v>
      </c>
      <c r="M12" s="2877"/>
      <c r="N12" s="2853"/>
      <c r="O12" s="2878"/>
      <c r="P12" s="2878"/>
      <c r="Q12" s="2879">
        <v>365</v>
      </c>
      <c r="R12" s="2880">
        <f t="shared" si="0"/>
        <v>0</v>
      </c>
      <c r="S12" s="2834"/>
      <c r="T12" s="2834"/>
      <c r="U12" s="2834"/>
      <c r="V12" s="2842"/>
    </row>
    <row r="13" spans="1:22" s="2846" customFormat="1" ht="13.15" customHeight="1">
      <c r="A13" s="2889"/>
      <c r="B13" s="2892"/>
      <c r="C13" s="2893" t="s">
        <v>2360</v>
      </c>
      <c r="D13" s="2894"/>
      <c r="E13" s="2895"/>
      <c r="F13" s="2884"/>
      <c r="G13" s="2885"/>
      <c r="H13" s="2841"/>
      <c r="I13" s="2842"/>
      <c r="J13" s="3779"/>
      <c r="K13" s="3781"/>
      <c r="L13" s="2876" t="s">
        <v>2361</v>
      </c>
      <c r="M13" s="2877"/>
      <c r="N13" s="2853"/>
      <c r="O13" s="2878"/>
      <c r="P13" s="2878"/>
      <c r="Q13" s="2879">
        <v>365</v>
      </c>
      <c r="R13" s="2880">
        <f t="shared" si="0"/>
        <v>0</v>
      </c>
      <c r="S13" s="2834"/>
      <c r="T13" s="2834"/>
      <c r="U13" s="2834"/>
      <c r="V13" s="2842"/>
    </row>
    <row r="14" spans="1:22" s="2846" customFormat="1" ht="13.15" customHeight="1">
      <c r="A14" s="2889" t="s">
        <v>2362</v>
      </c>
      <c r="B14" s="3789" t="s">
        <v>2363</v>
      </c>
      <c r="C14" s="3790"/>
      <c r="D14" s="2890">
        <f>ROUND(E14*B5/10000,0)</f>
        <v>0</v>
      </c>
      <c r="E14" s="2879"/>
      <c r="F14" s="2884" t="s">
        <v>2364</v>
      </c>
      <c r="G14" s="2885"/>
      <c r="H14" s="2841"/>
      <c r="I14" s="2842"/>
      <c r="J14" s="3779"/>
      <c r="K14" s="3782"/>
      <c r="L14" s="2896" t="s">
        <v>2365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2366</v>
      </c>
      <c r="B15" s="3789" t="s">
        <v>2367</v>
      </c>
      <c r="C15" s="3790"/>
      <c r="D15" s="2890">
        <f>ROUND(D6*E15,0)</f>
        <v>0</v>
      </c>
      <c r="E15" s="2891">
        <v>5.5E-2</v>
      </c>
      <c r="F15" s="2884" t="s">
        <v>2368</v>
      </c>
      <c r="G15" s="2866"/>
      <c r="H15" s="2841"/>
      <c r="I15" s="2842"/>
      <c r="J15" s="3779">
        <v>2</v>
      </c>
      <c r="K15" s="3780" t="s">
        <v>2369</v>
      </c>
      <c r="L15" s="2876" t="s">
        <v>2370</v>
      </c>
      <c r="M15" s="2877" t="s">
        <v>2371</v>
      </c>
      <c r="N15" s="2877" t="s">
        <v>2372</v>
      </c>
      <c r="O15" s="2878" t="s">
        <v>2373</v>
      </c>
      <c r="P15" s="2878" t="s">
        <v>2335</v>
      </c>
      <c r="Q15" s="2853" t="s">
        <v>2374</v>
      </c>
      <c r="R15" s="2900" t="s">
        <v>2336</v>
      </c>
      <c r="S15" s="2834"/>
      <c r="T15" s="2834"/>
      <c r="U15" s="2834"/>
      <c r="V15" s="2842"/>
    </row>
    <row r="16" spans="1:22" s="2846" customFormat="1" ht="13.15" customHeight="1">
      <c r="A16" s="2889" t="s">
        <v>2375</v>
      </c>
      <c r="B16" s="3789" t="s">
        <v>2376</v>
      </c>
      <c r="C16" s="3790"/>
      <c r="D16" s="2901">
        <f>D6*E16</f>
        <v>0</v>
      </c>
      <c r="E16" s="2902"/>
      <c r="F16" s="2887" t="s">
        <v>2377</v>
      </c>
      <c r="G16" s="2866"/>
      <c r="H16" s="2841"/>
      <c r="I16" s="2842"/>
      <c r="J16" s="3779"/>
      <c r="K16" s="3781"/>
      <c r="L16" s="2876" t="s">
        <v>2378</v>
      </c>
      <c r="M16" s="2877"/>
      <c r="N16" s="2877"/>
      <c r="O16" s="2878"/>
      <c r="P16" s="2879">
        <v>365</v>
      </c>
      <c r="Q16" s="2853"/>
      <c r="R16" s="2900">
        <f>ROUND(M16*N16*O16*P16/10000,0)</f>
        <v>0</v>
      </c>
      <c r="S16" s="2834"/>
      <c r="T16" s="2834"/>
      <c r="U16" s="2834"/>
      <c r="V16" s="2842"/>
    </row>
    <row r="17" spans="1:22" s="2846" customFormat="1" ht="13.15" customHeight="1" thickBot="1">
      <c r="A17" s="2903">
        <v>4</v>
      </c>
      <c r="B17" s="3791" t="s">
        <v>2379</v>
      </c>
      <c r="C17" s="3792"/>
      <c r="D17" s="2904">
        <f>ROUND(D6*E17,0)</f>
        <v>0</v>
      </c>
      <c r="E17" s="2905"/>
      <c r="F17" s="2906" t="s">
        <v>2380</v>
      </c>
      <c r="G17" s="2866"/>
      <c r="H17" s="2841"/>
      <c r="I17" s="2842"/>
      <c r="J17" s="3779"/>
      <c r="K17" s="3781"/>
      <c r="L17" s="2876" t="s">
        <v>2381</v>
      </c>
      <c r="M17" s="2877"/>
      <c r="N17" s="2877"/>
      <c r="O17" s="2878"/>
      <c r="P17" s="2879">
        <v>365</v>
      </c>
      <c r="Q17" s="2853"/>
      <c r="R17" s="2900">
        <f>ROUND(M17*N17*O17*P17/10000,0)</f>
        <v>0</v>
      </c>
      <c r="S17" s="2834"/>
      <c r="T17" s="2834"/>
      <c r="U17" s="2834"/>
      <c r="V17" s="2842"/>
    </row>
    <row r="18" spans="1:22" s="2846" customFormat="1" ht="13.15" customHeight="1" thickBot="1">
      <c r="A18" s="2869" t="s">
        <v>2382</v>
      </c>
      <c r="B18" s="2870"/>
      <c r="C18" s="2870"/>
      <c r="D18" s="2907">
        <f>ROUND(D6*E18,0)</f>
        <v>0</v>
      </c>
      <c r="E18" s="2908"/>
      <c r="F18" s="2909" t="s">
        <v>2383</v>
      </c>
      <c r="G18" s="2866"/>
      <c r="H18" s="2841"/>
      <c r="I18" s="2842"/>
      <c r="J18" s="3779"/>
      <c r="K18" s="3781"/>
      <c r="L18" s="2876" t="s">
        <v>2384</v>
      </c>
      <c r="M18" s="2877"/>
      <c r="N18" s="2877"/>
      <c r="O18" s="2878"/>
      <c r="P18" s="2879">
        <v>365</v>
      </c>
      <c r="Q18" s="2853"/>
      <c r="R18" s="2900">
        <f>ROUND(M18*N18*O18*P18/10000,0)</f>
        <v>0</v>
      </c>
      <c r="S18" s="2834"/>
      <c r="T18" s="2834"/>
      <c r="U18" s="2834"/>
      <c r="V18" s="2842"/>
    </row>
    <row r="19" spans="1:22" s="2846" customFormat="1" ht="13.15" customHeight="1" thickBot="1">
      <c r="A19" s="2910" t="s">
        <v>2385</v>
      </c>
      <c r="B19" s="2864"/>
      <c r="C19" s="2864"/>
      <c r="D19" s="2864"/>
      <c r="E19" s="2864"/>
      <c r="F19" s="2865"/>
      <c r="G19" s="2885"/>
      <c r="H19" s="2841"/>
      <c r="I19" s="2842"/>
      <c r="J19" s="3779"/>
      <c r="K19" s="3782"/>
      <c r="L19" s="2896" t="s">
        <v>2365</v>
      </c>
      <c r="M19" s="2897"/>
      <c r="N19" s="2897">
        <f>SUM(N16:N18)</f>
        <v>0</v>
      </c>
      <c r="O19" s="2898"/>
      <c r="P19" s="2911" t="s">
        <v>2429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79">
        <v>3</v>
      </c>
      <c r="K20" s="3780" t="s">
        <v>2386</v>
      </c>
      <c r="L20" s="2876" t="s">
        <v>2387</v>
      </c>
      <c r="M20" s="2877" t="s">
        <v>2388</v>
      </c>
      <c r="N20" s="2914" t="s">
        <v>2389</v>
      </c>
      <c r="O20" s="2878" t="s">
        <v>2390</v>
      </c>
      <c r="P20" s="2879" t="s">
        <v>2391</v>
      </c>
      <c r="Q20" s="2853" t="s">
        <v>2392</v>
      </c>
      <c r="R20" s="2900" t="s">
        <v>2393</v>
      </c>
      <c r="S20" s="2915"/>
      <c r="T20" s="2915"/>
      <c r="U20" s="2915"/>
      <c r="V20" s="2842"/>
    </row>
    <row r="21" spans="1:22" s="2846" customFormat="1" ht="13.15" customHeight="1">
      <c r="A21" s="2869"/>
      <c r="B21" s="2870"/>
      <c r="C21" s="2916" t="s">
        <v>2394</v>
      </c>
      <c r="D21" s="2917" t="s">
        <v>2395</v>
      </c>
      <c r="E21" s="2918" t="s">
        <v>2396</v>
      </c>
      <c r="F21" s="2913"/>
      <c r="G21" s="2885"/>
      <c r="H21" s="2841"/>
      <c r="I21" s="2842"/>
      <c r="J21" s="3779"/>
      <c r="K21" s="3781"/>
      <c r="L21" s="2876" t="s">
        <v>2397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2398</v>
      </c>
      <c r="D22" s="2921" t="s">
        <v>2399</v>
      </c>
      <c r="E22" s="2922" t="s">
        <v>2400</v>
      </c>
      <c r="F22" s="2913"/>
      <c r="G22" s="2923"/>
      <c r="H22" s="2841"/>
      <c r="I22" s="2842"/>
      <c r="J22" s="3779"/>
      <c r="K22" s="3781"/>
      <c r="L22" s="2876" t="s">
        <v>2401</v>
      </c>
      <c r="M22" s="2877"/>
      <c r="N22" s="2877"/>
      <c r="O22" s="2878"/>
      <c r="P22" s="2879">
        <v>365</v>
      </c>
      <c r="Q22" s="2853"/>
      <c r="R22" s="2919">
        <f>ROUND(M22*N22*O22*P22/10000,0)</f>
        <v>0</v>
      </c>
      <c r="S22" s="2915"/>
      <c r="T22" s="2915"/>
      <c r="U22" s="2915"/>
      <c r="V22" s="2842"/>
    </row>
    <row r="23" spans="1:22" s="2846" customFormat="1" ht="13.15" customHeight="1">
      <c r="A23" s="2924">
        <v>1</v>
      </c>
      <c r="B23" s="2925" t="s">
        <v>2402</v>
      </c>
      <c r="C23" s="2926">
        <f>D6</f>
        <v>0</v>
      </c>
      <c r="D23" s="2927">
        <f>C23*(1+D24)</f>
        <v>0</v>
      </c>
      <c r="E23" s="2928">
        <f>D23*(1+E24)</f>
        <v>0</v>
      </c>
      <c r="F23" s="2929"/>
      <c r="G23" s="2930"/>
      <c r="H23" s="2841"/>
      <c r="I23" s="2842"/>
      <c r="J23" s="3779"/>
      <c r="K23" s="3781"/>
      <c r="L23" s="2876" t="s">
        <v>2403</v>
      </c>
      <c r="M23" s="2877"/>
      <c r="N23" s="2877"/>
      <c r="O23" s="2878"/>
      <c r="P23" s="2879">
        <v>365</v>
      </c>
      <c r="Q23" s="2853"/>
      <c r="R23" s="2919">
        <f>ROUND(M23*N23*O23*P23/10000,0)</f>
        <v>0</v>
      </c>
      <c r="S23" s="2834"/>
      <c r="T23" s="2834"/>
      <c r="U23" s="2834"/>
      <c r="V23" s="2842"/>
    </row>
    <row r="24" spans="1:22" s="2846" customFormat="1" ht="13.15" customHeight="1">
      <c r="A24" s="2931"/>
      <c r="B24" s="2932" t="s">
        <v>2404</v>
      </c>
      <c r="C24" s="2933"/>
      <c r="D24" s="2934"/>
      <c r="E24" s="2935"/>
      <c r="F24" s="2936"/>
      <c r="G24" s="2930"/>
      <c r="H24" s="2841"/>
      <c r="I24" s="2842"/>
      <c r="J24" s="3779"/>
      <c r="K24" s="3782"/>
      <c r="L24" s="2896" t="s">
        <v>2365</v>
      </c>
      <c r="M24" s="2897">
        <f>SUM(M21:M23)</f>
        <v>0</v>
      </c>
      <c r="N24" s="2897"/>
      <c r="O24" s="2898"/>
      <c r="P24" s="2911" t="s">
        <v>2429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2405</v>
      </c>
      <c r="L25" s="2939"/>
      <c r="M25" s="2939"/>
      <c r="N25" s="2939"/>
      <c r="O25" s="2939"/>
      <c r="P25" s="2940"/>
      <c r="Q25" s="2941">
        <v>0</v>
      </c>
      <c r="R25" s="2912">
        <f>ROUND(R14*Q25,0)</f>
        <v>0</v>
      </c>
      <c r="S25" s="2834"/>
      <c r="T25" s="2834"/>
      <c r="U25" s="2834"/>
      <c r="V25" s="2942"/>
    </row>
    <row r="26" spans="1:22" s="2943" customFormat="1" ht="13.15" customHeight="1">
      <c r="A26" s="2924">
        <v>2</v>
      </c>
      <c r="B26" s="2925" t="s">
        <v>2406</v>
      </c>
      <c r="C26" s="2926">
        <f>D7</f>
        <v>0</v>
      </c>
      <c r="D26" s="2927">
        <f>D23*D27</f>
        <v>0</v>
      </c>
      <c r="E26" s="2928">
        <f>E23*E27</f>
        <v>0</v>
      </c>
      <c r="F26" s="2929"/>
      <c r="G26" s="2930"/>
      <c r="H26" s="2841"/>
      <c r="I26" s="2842"/>
      <c r="J26" s="3783">
        <v>5</v>
      </c>
      <c r="K26" s="2944" t="s">
        <v>2407</v>
      </c>
      <c r="L26" s="2945"/>
      <c r="M26" s="2946"/>
      <c r="N26" s="2947" t="s">
        <v>2408</v>
      </c>
      <c r="O26" s="2947" t="s">
        <v>2409</v>
      </c>
      <c r="P26" s="2948" t="s">
        <v>2410</v>
      </c>
      <c r="Q26" s="2948" t="s">
        <v>2411</v>
      </c>
      <c r="R26" s="2851" t="s">
        <v>2336</v>
      </c>
      <c r="S26" s="2949"/>
      <c r="T26" s="2949"/>
      <c r="U26" s="2949"/>
      <c r="V26" s="2942"/>
    </row>
    <row r="27" spans="1:22" s="2846" customFormat="1" ht="13.15" customHeight="1">
      <c r="A27" s="2931"/>
      <c r="B27" s="2932" t="s">
        <v>2412</v>
      </c>
      <c r="C27" s="2950" t="e">
        <f>E7</f>
        <v>#DIV/0!</v>
      </c>
      <c r="D27" s="2934"/>
      <c r="E27" s="2935"/>
      <c r="F27" s="2936"/>
      <c r="G27" s="2930"/>
      <c r="H27" s="2951"/>
      <c r="I27" s="2942"/>
      <c r="J27" s="378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2413</v>
      </c>
      <c r="F28" s="2936"/>
      <c r="G28" s="2923"/>
      <c r="H28" s="2951"/>
      <c r="I28" s="2942"/>
      <c r="J28" s="2957">
        <v>6</v>
      </c>
      <c r="K28" s="2958" t="s">
        <v>2414</v>
      </c>
      <c r="L28" s="2959" t="s">
        <v>2415</v>
      </c>
      <c r="M28" s="2960"/>
      <c r="N28" s="2959" t="s">
        <v>2416</v>
      </c>
      <c r="O28" s="2961"/>
      <c r="P28" s="2959" t="s">
        <v>2417</v>
      </c>
      <c r="Q28" s="2962">
        <v>1.4999999999999999E-2</v>
      </c>
      <c r="R28" s="2963"/>
      <c r="S28" s="2915"/>
      <c r="T28" s="2915"/>
      <c r="U28" s="2915"/>
      <c r="V28" s="2942"/>
    </row>
    <row r="29" spans="1:22" s="2943" customFormat="1" ht="13.15" customHeight="1">
      <c r="A29" s="2924">
        <v>3</v>
      </c>
      <c r="B29" s="2925" t="s">
        <v>2418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2419</v>
      </c>
      <c r="K31" s="2832"/>
      <c r="L31" s="2832"/>
      <c r="M31" s="2832"/>
      <c r="N31" s="2832"/>
      <c r="O31" s="2832"/>
      <c r="P31" s="2832"/>
      <c r="Q31" s="2832"/>
      <c r="R31" s="2833"/>
      <c r="S31" s="2915"/>
      <c r="T31" s="2834"/>
      <c r="U31" s="2834"/>
      <c r="V31" s="2942"/>
    </row>
    <row r="32" spans="1:22" s="2943" customFormat="1" ht="13.15" customHeight="1">
      <c r="A32" s="2924">
        <v>4</v>
      </c>
      <c r="B32" s="2925" t="s">
        <v>2420</v>
      </c>
      <c r="C32" s="2926">
        <f>C23-C26-C29</f>
        <v>0</v>
      </c>
      <c r="D32" s="2927">
        <f>D23-D26-D29</f>
        <v>0</v>
      </c>
      <c r="E32" s="2928">
        <f>E23-E26-E29</f>
        <v>0</v>
      </c>
      <c r="F32" s="2929"/>
      <c r="G32" s="2923"/>
      <c r="H32" s="2841"/>
      <c r="I32" s="2842"/>
      <c r="J32" s="3785" t="s">
        <v>2312</v>
      </c>
      <c r="K32" s="3786"/>
      <c r="L32" s="2843" t="s">
        <v>2313</v>
      </c>
      <c r="M32" s="2843" t="s">
        <v>2314</v>
      </c>
      <c r="N32" s="2843" t="s">
        <v>2315</v>
      </c>
      <c r="O32" s="2843" t="s">
        <v>2316</v>
      </c>
      <c r="P32" s="2843" t="s">
        <v>2317</v>
      </c>
      <c r="Q32" s="2844" t="s">
        <v>2318</v>
      </c>
      <c r="R32" s="2966" t="s">
        <v>2319</v>
      </c>
      <c r="S32" s="2915"/>
      <c r="T32" s="2834"/>
      <c r="U32" s="2834"/>
      <c r="V32" s="2942"/>
    </row>
    <row r="33" spans="1:23" s="2846" customFormat="1" ht="13.15" customHeight="1">
      <c r="A33" s="2924"/>
      <c r="B33" s="2925"/>
      <c r="C33" s="2926"/>
      <c r="D33" s="2967"/>
      <c r="E33" s="2968"/>
      <c r="F33" s="2929"/>
      <c r="G33" s="2923"/>
      <c r="H33" s="2951"/>
      <c r="I33" s="2942"/>
      <c r="J33" s="3787" t="s">
        <v>2322</v>
      </c>
      <c r="K33" s="3788"/>
      <c r="L33" s="2849"/>
      <c r="M33" s="2849"/>
      <c r="N33" s="2849"/>
      <c r="O33" s="2849"/>
      <c r="P33" s="2849"/>
      <c r="Q33" s="2850"/>
      <c r="R33" s="2969">
        <f>SUM(L33:Q33)</f>
        <v>0</v>
      </c>
      <c r="S33" s="2915"/>
      <c r="T33" s="2834"/>
      <c r="U33" s="2834"/>
      <c r="V33" s="2842"/>
    </row>
    <row r="34" spans="1:23" s="2846" customFormat="1" ht="13.15" customHeight="1">
      <c r="A34" s="2924">
        <v>5</v>
      </c>
      <c r="B34" s="2925" t="s">
        <v>2421</v>
      </c>
      <c r="C34" s="2970"/>
      <c r="D34" s="2971"/>
      <c r="E34" s="2972"/>
      <c r="F34" s="2929"/>
      <c r="G34" s="2923"/>
      <c r="H34" s="2951"/>
      <c r="I34" s="2942"/>
      <c r="J34" s="3787" t="s">
        <v>2324</v>
      </c>
      <c r="K34" s="378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2422</v>
      </c>
      <c r="C35" s="2974"/>
      <c r="D35" s="2975"/>
      <c r="E35" s="2976"/>
      <c r="F35" s="2929"/>
      <c r="G35" s="2977"/>
      <c r="H35" s="2841"/>
      <c r="I35" s="2942"/>
      <c r="J35" s="2860" t="s">
        <v>2326</v>
      </c>
      <c r="K35" s="2861"/>
      <c r="L35" s="2861"/>
      <c r="M35" s="2862"/>
      <c r="N35" s="2862"/>
      <c r="O35" s="2862"/>
      <c r="P35" s="2862"/>
      <c r="Q35" s="2862"/>
      <c r="R35" s="2978">
        <f>R40+R41+R43</f>
        <v>0</v>
      </c>
      <c r="S35" s="2915"/>
      <c r="T35" s="2834" t="s">
        <v>2327</v>
      </c>
      <c r="U35" s="2834"/>
      <c r="V35" s="2842"/>
    </row>
    <row r="36" spans="1:23" s="2846" customFormat="1" ht="13.15" customHeight="1" thickBot="1">
      <c r="A36" s="2924">
        <v>7</v>
      </c>
      <c r="B36" s="2979" t="s">
        <v>2423</v>
      </c>
      <c r="C36" s="2980"/>
      <c r="D36" s="2981"/>
      <c r="E36" s="2982"/>
      <c r="F36" s="2983">
        <f>C36+D36+E36</f>
        <v>0</v>
      </c>
      <c r="G36" s="2923"/>
      <c r="H36" s="2841"/>
      <c r="I36" s="2842"/>
      <c r="J36" s="3779">
        <v>1</v>
      </c>
      <c r="K36" s="3780" t="s">
        <v>2424</v>
      </c>
      <c r="L36" s="2867"/>
      <c r="M36" s="2868"/>
      <c r="N36" s="2868"/>
      <c r="O36" s="2868"/>
      <c r="P36" s="2868"/>
      <c r="Q36" s="2868"/>
      <c r="R36" s="2851" t="s">
        <v>2336</v>
      </c>
      <c r="S36" s="2915"/>
      <c r="T36" s="2834" t="s">
        <v>2337</v>
      </c>
      <c r="U36" s="2834"/>
      <c r="V36" s="2842"/>
    </row>
    <row r="37" spans="1:23" s="2846" customFormat="1" ht="13.15" customHeight="1">
      <c r="A37" s="2924"/>
      <c r="B37" s="2925"/>
      <c r="C37" s="2925"/>
      <c r="D37" s="2925"/>
      <c r="E37" s="2925"/>
      <c r="F37" s="2929"/>
      <c r="G37" s="2923"/>
      <c r="H37" s="2841"/>
      <c r="I37" s="2842"/>
      <c r="J37" s="3779"/>
      <c r="K37" s="3781"/>
      <c r="L37" s="2876"/>
      <c r="M37" s="2877"/>
      <c r="N37" s="2853"/>
      <c r="O37" s="2878"/>
      <c r="P37" s="2878"/>
      <c r="Q37" s="2879"/>
      <c r="R37" s="2880"/>
      <c r="S37" s="2915"/>
      <c r="T37" s="2834" t="s">
        <v>2340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79"/>
      <c r="K38" s="3781"/>
      <c r="L38" s="2876"/>
      <c r="M38" s="2877"/>
      <c r="N38" s="2853"/>
      <c r="O38" s="2878"/>
      <c r="P38" s="2878"/>
      <c r="Q38" s="2879"/>
      <c r="R38" s="2880"/>
      <c r="S38" s="2915"/>
      <c r="T38" s="2834" t="s">
        <v>2347</v>
      </c>
      <c r="U38" s="2834"/>
      <c r="V38" s="2842"/>
    </row>
    <row r="39" spans="1:23" s="2846" customFormat="1" ht="13.15" customHeight="1">
      <c r="A39" s="2924">
        <v>9</v>
      </c>
      <c r="B39" s="2925" t="s">
        <v>2425</v>
      </c>
      <c r="C39" s="2890" t="e">
        <f>C38</f>
        <v>#DIV/0!</v>
      </c>
      <c r="D39" s="2925">
        <f>D38/(1+D34)^C36</f>
        <v>0</v>
      </c>
      <c r="E39" s="2925">
        <f>E38/(1+E34)^(C36+D36)</f>
        <v>0</v>
      </c>
      <c r="F39" s="2929"/>
      <c r="G39" s="2984"/>
      <c r="H39" s="2841"/>
      <c r="I39" s="2842"/>
      <c r="J39" s="3779"/>
      <c r="K39" s="3781"/>
      <c r="L39" s="2876"/>
      <c r="M39" s="2877"/>
      <c r="N39" s="2853"/>
      <c r="O39" s="2878"/>
      <c r="P39" s="2878"/>
      <c r="Q39" s="2879"/>
      <c r="R39" s="2880"/>
      <c r="S39" s="2915"/>
      <c r="T39" s="2834"/>
      <c r="U39" s="2834"/>
      <c r="V39" s="2842"/>
    </row>
    <row r="40" spans="1:23" s="2846" customFormat="1" ht="13.15" customHeight="1">
      <c r="A40" s="2985">
        <v>10</v>
      </c>
      <c r="B40" s="2925" t="s">
        <v>2426</v>
      </c>
      <c r="C40" s="2986" t="e">
        <f>C39+D39+E39</f>
        <v>#DIV/0!</v>
      </c>
      <c r="D40" s="2987"/>
      <c r="E40" s="2987"/>
      <c r="F40" s="2988"/>
      <c r="G40" s="2923"/>
      <c r="H40" s="2841"/>
      <c r="I40" s="2842"/>
      <c r="J40" s="3779"/>
      <c r="K40" s="3782"/>
      <c r="L40" s="2896" t="s">
        <v>2365</v>
      </c>
      <c r="M40" s="2897"/>
      <c r="N40" s="2897"/>
      <c r="O40" s="2898"/>
      <c r="P40" s="2898"/>
      <c r="Q40" s="2899"/>
      <c r="R40" s="2845">
        <f>SUM(R37:R39)</f>
        <v>0</v>
      </c>
      <c r="S40" s="2915"/>
      <c r="T40" s="2834"/>
      <c r="U40" s="2834"/>
      <c r="V40" s="2842"/>
    </row>
    <row r="41" spans="1:23" s="2846" customFormat="1" ht="13.15" customHeight="1" thickBot="1">
      <c r="A41" s="2989">
        <v>11</v>
      </c>
      <c r="B41" s="2990" t="s">
        <v>2427</v>
      </c>
      <c r="C41" s="2990" t="e">
        <f>ROUND(C40*10000/B4,0)</f>
        <v>#DIV/0!</v>
      </c>
      <c r="D41" s="2991"/>
      <c r="E41" s="2991"/>
      <c r="F41" s="2992"/>
      <c r="G41" s="2993"/>
      <c r="H41" s="2841"/>
      <c r="I41" s="2842"/>
      <c r="J41" s="2937">
        <v>2</v>
      </c>
      <c r="K41" s="2938" t="s">
        <v>2405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83">
        <v>3</v>
      </c>
      <c r="K42" s="2944" t="s">
        <v>2407</v>
      </c>
      <c r="L42" s="2945"/>
      <c r="M42" s="2946"/>
      <c r="N42" s="2947" t="s">
        <v>2408</v>
      </c>
      <c r="O42" s="2947" t="s">
        <v>2409</v>
      </c>
      <c r="P42" s="2948" t="s">
        <v>2410</v>
      </c>
      <c r="Q42" s="2948" t="s">
        <v>2411</v>
      </c>
      <c r="R42" s="2851" t="s">
        <v>2336</v>
      </c>
      <c r="S42" s="2949"/>
      <c r="T42" s="2949"/>
      <c r="U42" s="2834"/>
      <c r="V42" s="2842"/>
    </row>
    <row r="43" spans="1:23" ht="13.15" customHeight="1">
      <c r="A43" s="2846"/>
      <c r="B43" s="2846"/>
      <c r="C43" s="2846"/>
      <c r="D43" s="2846"/>
      <c r="E43" s="2846"/>
      <c r="F43" s="2846"/>
      <c r="I43" s="2829"/>
      <c r="J43" s="378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2414</v>
      </c>
      <c r="L44" s="2997" t="s">
        <v>2415</v>
      </c>
      <c r="M44" s="2960"/>
      <c r="N44" s="2997" t="s">
        <v>2416</v>
      </c>
      <c r="O44" s="2960"/>
      <c r="P44" s="2997" t="s">
        <v>2417</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578.16899999999998</v>
      </c>
      <c r="C2" s="1870" t="s">
        <v>1649</v>
      </c>
      <c r="D2" s="1871" t="s">
        <v>1650</v>
      </c>
      <c r="E2" s="2601">
        <f>SUM(E6:E13)</f>
        <v>466.83</v>
      </c>
      <c r="F2" s="2700"/>
      <c r="G2" s="1487"/>
      <c r="H2" s="1487"/>
      <c r="I2" s="1487"/>
      <c r="J2" s="1487"/>
      <c r="K2" s="1487"/>
      <c r="L2" s="1487"/>
      <c r="M2" s="1487"/>
      <c r="N2" s="1487"/>
      <c r="O2" s="1487"/>
      <c r="P2" s="1487"/>
      <c r="Q2" s="1487"/>
      <c r="R2" s="1487"/>
      <c r="S2" s="1487"/>
    </row>
    <row r="3" spans="1:22" ht="15.75">
      <c r="A3" s="1868" t="s">
        <v>686</v>
      </c>
      <c r="B3" s="2595">
        <f ca="1">ROUND(B2*10000/E2,0)</f>
        <v>12385</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1651</v>
      </c>
      <c r="B5" s="3798" t="s">
        <v>1652</v>
      </c>
      <c r="C5" s="3799"/>
      <c r="D5" s="2701"/>
      <c r="E5" s="1872" t="s">
        <v>1653</v>
      </c>
      <c r="F5" s="1873" t="s">
        <v>1654</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578.16899999999998</v>
      </c>
      <c r="C6" s="1870" t="s">
        <v>1649</v>
      </c>
      <c r="D6" s="2702"/>
      <c r="E6" s="2600">
        <f>IF(OR(A6=0,F6="否"),0,'数据-取费表'!K6+'数据-取费表'!S6)</f>
        <v>466.83</v>
      </c>
      <c r="F6" s="1874" t="s">
        <v>1655</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1649</v>
      </c>
      <c r="D7" s="2702"/>
      <c r="E7" s="2600">
        <f>IF(OR(A7=0,F7="否"),0,'数据-取费表'!K7+'数据-取费表'!S7)</f>
        <v>0</v>
      </c>
      <c r="F7" s="1874" t="s">
        <v>1655</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1649</v>
      </c>
      <c r="D8" s="2702"/>
      <c r="E8" s="2600">
        <f>IF(OR(A8=0,F8="否"),0,'数据-取费表'!K8+'数据-取费表'!S8)</f>
        <v>0</v>
      </c>
      <c r="F8" s="1874" t="s">
        <v>1655</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1649</v>
      </c>
      <c r="D9" s="2702"/>
      <c r="E9" s="2600">
        <f>IF(OR(A9=0,F9="否"),0,'数据-取费表'!K9+'数据-取费表'!S9)</f>
        <v>0</v>
      </c>
      <c r="F9" s="1874" t="s">
        <v>1655</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1649</v>
      </c>
      <c r="D10" s="2702"/>
      <c r="E10" s="2600">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1649</v>
      </c>
      <c r="D11" s="2702"/>
      <c r="E11" s="2600">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1649</v>
      </c>
      <c r="D12" s="2702"/>
      <c r="E12" s="2600">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1649</v>
      </c>
      <c r="D13" s="2703"/>
      <c r="E13" s="2600">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466.83</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1664</v>
      </c>
      <c r="B4" s="356"/>
      <c r="C4" s="3818" t="s">
        <v>1665</v>
      </c>
      <c r="D4" s="3819"/>
      <c r="E4" s="3820" t="s">
        <v>1666</v>
      </c>
      <c r="F4" s="3821"/>
      <c r="G4" s="3818" t="s">
        <v>1667</v>
      </c>
      <c r="H4" s="3819"/>
      <c r="I4" s="3818" t="s">
        <v>1668</v>
      </c>
      <c r="J4" s="3819"/>
      <c r="K4" s="1887" t="s">
        <v>1669</v>
      </c>
      <c r="L4" s="2708"/>
      <c r="M4" s="2709"/>
      <c r="N4" s="2709"/>
      <c r="O4" s="2709"/>
      <c r="P4" s="3822" t="s">
        <v>1670</v>
      </c>
      <c r="Q4" s="3823"/>
      <c r="R4" s="3828" t="s">
        <v>1666</v>
      </c>
      <c r="S4" s="3829"/>
      <c r="T4" s="3828" t="s">
        <v>1667</v>
      </c>
      <c r="U4" s="3829"/>
      <c r="V4" s="3834" t="s">
        <v>1668</v>
      </c>
      <c r="W4" s="3834"/>
      <c r="X4" s="1353"/>
      <c r="Y4" s="3828" t="s">
        <v>1670</v>
      </c>
      <c r="Z4" s="3829"/>
      <c r="AA4" s="3815" t="s">
        <v>1666</v>
      </c>
      <c r="AB4" s="3815" t="s">
        <v>1667</v>
      </c>
      <c r="AC4" s="3815" t="s">
        <v>1668</v>
      </c>
    </row>
    <row r="5" spans="1:29" ht="15">
      <c r="A5" s="358"/>
      <c r="B5" s="359"/>
      <c r="C5" s="3837" t="s">
        <v>1671</v>
      </c>
      <c r="D5" s="3838"/>
      <c r="E5" s="3844" t="s">
        <v>1672</v>
      </c>
      <c r="F5" s="3845"/>
      <c r="G5" s="3837" t="s">
        <v>1673</v>
      </c>
      <c r="H5" s="3838"/>
      <c r="I5" s="3837" t="s">
        <v>1674</v>
      </c>
      <c r="J5" s="3838"/>
      <c r="K5" s="1888"/>
      <c r="L5" s="2708"/>
      <c r="M5" s="2709"/>
      <c r="N5" s="2709"/>
      <c r="O5" s="2709"/>
      <c r="P5" s="3824"/>
      <c r="Q5" s="3825"/>
      <c r="R5" s="3830"/>
      <c r="S5" s="3831"/>
      <c r="T5" s="3830"/>
      <c r="U5" s="3831"/>
      <c r="V5" s="3834"/>
      <c r="W5" s="3834"/>
      <c r="X5" s="1353"/>
      <c r="Y5" s="3830"/>
      <c r="Z5" s="3831"/>
      <c r="AA5" s="3816"/>
      <c r="AB5" s="3816"/>
      <c r="AC5" s="3816"/>
    </row>
    <row r="6" spans="1:29" ht="15.75" thickBot="1">
      <c r="A6" s="360"/>
      <c r="B6" s="361"/>
      <c r="C6" s="3835" t="s">
        <v>1675</v>
      </c>
      <c r="D6" s="3836"/>
      <c r="E6" s="3842" t="s">
        <v>1675</v>
      </c>
      <c r="F6" s="3843"/>
      <c r="G6" s="3835" t="s">
        <v>1675</v>
      </c>
      <c r="H6" s="3836"/>
      <c r="I6" s="3835" t="s">
        <v>1675</v>
      </c>
      <c r="J6" s="3836"/>
      <c r="K6" s="1888" t="s">
        <v>1676</v>
      </c>
      <c r="L6" s="2708"/>
      <c r="M6" s="2709"/>
      <c r="N6" s="2709"/>
      <c r="O6" s="2709"/>
      <c r="P6" s="3826"/>
      <c r="Q6" s="3827"/>
      <c r="R6" s="3830"/>
      <c r="S6" s="3831"/>
      <c r="T6" s="3832"/>
      <c r="U6" s="3833"/>
      <c r="V6" s="3834"/>
      <c r="W6" s="3834"/>
      <c r="X6" s="1353"/>
      <c r="Y6" s="3832"/>
      <c r="Z6" s="3833"/>
      <c r="AA6" s="3817"/>
      <c r="AB6" s="3817"/>
      <c r="AC6" s="3817"/>
    </row>
    <row r="7" spans="1:29" s="108" customFormat="1" ht="15.75" thickBot="1">
      <c r="A7" s="362" t="s">
        <v>1677</v>
      </c>
      <c r="B7" s="363"/>
      <c r="C7" s="364">
        <f>'数据-取费表'!B2</f>
        <v>44971</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839" t="s">
        <v>1678</v>
      </c>
      <c r="Q7" s="3841"/>
      <c r="R7" s="699" t="s">
        <v>20</v>
      </c>
      <c r="S7" s="700">
        <f t="shared" ref="S7:S15" si="0">F7</f>
        <v>0</v>
      </c>
      <c r="T7" s="699" t="s">
        <v>20</v>
      </c>
      <c r="U7" s="700">
        <f t="shared" ref="U7:U15" si="1">H7</f>
        <v>0</v>
      </c>
      <c r="V7" s="699" t="s">
        <v>20</v>
      </c>
      <c r="W7" s="700">
        <f t="shared" ref="W7:W15" si="2">J7</f>
        <v>0</v>
      </c>
      <c r="X7" s="701"/>
      <c r="Y7" s="3839" t="s">
        <v>1678</v>
      </c>
      <c r="Z7" s="3840"/>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839" t="s">
        <v>1681</v>
      </c>
      <c r="Q8" s="3840"/>
      <c r="R8" s="699" t="s">
        <v>20</v>
      </c>
      <c r="S8" s="700">
        <f t="shared" si="0"/>
        <v>100</v>
      </c>
      <c r="T8" s="699" t="s">
        <v>20</v>
      </c>
      <c r="U8" s="700">
        <f t="shared" si="1"/>
        <v>100</v>
      </c>
      <c r="V8" s="699" t="s">
        <v>20</v>
      </c>
      <c r="W8" s="700">
        <f t="shared" si="2"/>
        <v>100</v>
      </c>
      <c r="X8" s="701"/>
      <c r="Y8" s="3839" t="s">
        <v>1681</v>
      </c>
      <c r="Z8" s="3840"/>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814" t="s">
        <v>1684</v>
      </c>
      <c r="Q9" s="1341" t="str">
        <f t="shared" ref="Q9:Q15" si="6">B9</f>
        <v>用途</v>
      </c>
      <c r="R9" s="699" t="s">
        <v>14</v>
      </c>
      <c r="S9" s="700">
        <f t="shared" si="0"/>
        <v>100</v>
      </c>
      <c r="T9" s="699" t="s">
        <v>14</v>
      </c>
      <c r="U9" s="700">
        <f t="shared" si="1"/>
        <v>100</v>
      </c>
      <c r="V9" s="699" t="s">
        <v>14</v>
      </c>
      <c r="W9" s="700">
        <f t="shared" si="2"/>
        <v>100</v>
      </c>
      <c r="X9" s="701"/>
      <c r="Y9" s="3679"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814"/>
      <c r="Q10" s="1341" t="str">
        <f t="shared" si="6"/>
        <v>土地使用年限（年）</v>
      </c>
      <c r="R10" s="699" t="s">
        <v>14</v>
      </c>
      <c r="S10" s="700">
        <f t="shared" si="0"/>
        <v>100</v>
      </c>
      <c r="T10" s="699" t="s">
        <v>14</v>
      </c>
      <c r="U10" s="700">
        <f t="shared" si="1"/>
        <v>100</v>
      </c>
      <c r="V10" s="699" t="s">
        <v>14</v>
      </c>
      <c r="W10" s="700">
        <f t="shared" si="2"/>
        <v>100</v>
      </c>
      <c r="X10" s="701"/>
      <c r="Y10" s="3679"/>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814"/>
      <c r="Q11" s="1341" t="str">
        <f t="shared" si="6"/>
        <v>容积率</v>
      </c>
      <c r="R11" s="699" t="s">
        <v>18</v>
      </c>
      <c r="S11" s="700" t="e">
        <f t="shared" si="0"/>
        <v>#N/A</v>
      </c>
      <c r="T11" s="699" t="s">
        <v>18</v>
      </c>
      <c r="U11" s="700" t="e">
        <f t="shared" si="1"/>
        <v>#N/A</v>
      </c>
      <c r="V11" s="699" t="s">
        <v>18</v>
      </c>
      <c r="W11" s="700" t="e">
        <f t="shared" si="2"/>
        <v>#N/A</v>
      </c>
      <c r="X11" s="701"/>
      <c r="Y11" s="367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814"/>
      <c r="Q12" s="1341">
        <f t="shared" si="6"/>
        <v>111</v>
      </c>
      <c r="R12" s="699" t="s">
        <v>18</v>
      </c>
      <c r="S12" s="700">
        <f t="shared" si="0"/>
        <v>100</v>
      </c>
      <c r="T12" s="699" t="s">
        <v>18</v>
      </c>
      <c r="U12" s="700">
        <f t="shared" si="1"/>
        <v>100</v>
      </c>
      <c r="V12" s="699" t="s">
        <v>18</v>
      </c>
      <c r="W12" s="700">
        <f t="shared" si="2"/>
        <v>100</v>
      </c>
      <c r="X12" s="701"/>
      <c r="Y12" s="367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814"/>
      <c r="Q13" s="1341">
        <f t="shared" si="6"/>
        <v>111</v>
      </c>
      <c r="R13" s="699" t="s">
        <v>18</v>
      </c>
      <c r="S13" s="700">
        <f t="shared" si="0"/>
        <v>100</v>
      </c>
      <c r="T13" s="699" t="s">
        <v>18</v>
      </c>
      <c r="U13" s="700">
        <f t="shared" si="1"/>
        <v>100</v>
      </c>
      <c r="V13" s="699" t="s">
        <v>18</v>
      </c>
      <c r="W13" s="700">
        <f t="shared" si="2"/>
        <v>100</v>
      </c>
      <c r="X13" s="701"/>
      <c r="Y13" s="367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814"/>
      <c r="Q14" s="1341">
        <f t="shared" si="6"/>
        <v>111</v>
      </c>
      <c r="R14" s="699" t="s">
        <v>18</v>
      </c>
      <c r="S14" s="700">
        <f t="shared" si="0"/>
        <v>100</v>
      </c>
      <c r="T14" s="699" t="s">
        <v>18</v>
      </c>
      <c r="U14" s="700">
        <f t="shared" si="1"/>
        <v>100</v>
      </c>
      <c r="V14" s="699" t="s">
        <v>18</v>
      </c>
      <c r="W14" s="700">
        <f t="shared" si="2"/>
        <v>100</v>
      </c>
      <c r="X14" s="701"/>
      <c r="Y14" s="3679"/>
      <c r="Z14" s="52">
        <f t="shared" si="7"/>
        <v>111</v>
      </c>
      <c r="AA14" s="702">
        <f t="shared" si="3"/>
        <v>1</v>
      </c>
      <c r="AB14" s="702">
        <f t="shared" si="4"/>
        <v>1</v>
      </c>
      <c r="AC14" s="702">
        <f t="shared" si="5"/>
        <v>1</v>
      </c>
    </row>
    <row r="15" spans="1:29" ht="15">
      <c r="A15" s="391" t="s">
        <v>1688</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812" t="s">
        <v>1689</v>
      </c>
      <c r="Q15" s="1350" t="str">
        <f t="shared" si="6"/>
        <v>居住社区成熟度</v>
      </c>
      <c r="R15" s="703" t="s">
        <v>18</v>
      </c>
      <c r="S15" s="704">
        <f t="shared" si="0"/>
        <v>100</v>
      </c>
      <c r="T15" s="703" t="s">
        <v>18</v>
      </c>
      <c r="U15" s="704">
        <f t="shared" si="1"/>
        <v>100</v>
      </c>
      <c r="V15" s="703" t="s">
        <v>18</v>
      </c>
      <c r="W15" s="704">
        <f t="shared" si="2"/>
        <v>100</v>
      </c>
      <c r="X15" s="1353"/>
      <c r="Y15" s="3805"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813"/>
      <c r="Q16" s="1350"/>
      <c r="R16" s="703"/>
      <c r="S16" s="704"/>
      <c r="T16" s="703"/>
      <c r="U16" s="704"/>
      <c r="V16" s="703"/>
      <c r="W16" s="704"/>
      <c r="X16" s="1353"/>
      <c r="Y16" s="3806"/>
      <c r="Z16" s="1354"/>
      <c r="AA16" s="1351">
        <v>1</v>
      </c>
      <c r="AB16" s="1351">
        <v>1</v>
      </c>
      <c r="AC16" s="1351">
        <v>1</v>
      </c>
    </row>
    <row r="17" spans="1:29" ht="85.5">
      <c r="A17" s="379"/>
      <c r="B17" s="402" t="s">
        <v>1257</v>
      </c>
      <c r="C17" s="1898" t="str">
        <f>估价对象房地状况!C6</f>
        <v>周边有359、空港1、3路等，周边道路密集一般，停车便捷程度一般，综合评价交通便捷度较差</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813"/>
      <c r="Q17" s="1350" t="str">
        <f>B17</f>
        <v>交通便捷度</v>
      </c>
      <c r="R17" s="703" t="s">
        <v>18</v>
      </c>
      <c r="S17" s="704">
        <f>F17</f>
        <v>100</v>
      </c>
      <c r="T17" s="703" t="s">
        <v>18</v>
      </c>
      <c r="U17" s="704">
        <f>H17</f>
        <v>100</v>
      </c>
      <c r="V17" s="703" t="s">
        <v>18</v>
      </c>
      <c r="W17" s="704">
        <f>J17</f>
        <v>100</v>
      </c>
      <c r="X17" s="1353"/>
      <c r="Y17" s="380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813"/>
      <c r="Q18" s="1350"/>
      <c r="R18" s="703"/>
      <c r="S18" s="704"/>
      <c r="T18" s="703"/>
      <c r="U18" s="704"/>
      <c r="V18" s="703"/>
      <c r="W18" s="704"/>
      <c r="X18" s="1353"/>
      <c r="Y18" s="3806"/>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估价对象所在区域银行、购物场所、学校等公共配套设施齐备，综合评价公共配套设施水平一般。</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813"/>
      <c r="Q19" s="1350" t="str">
        <f>B19</f>
        <v>公共配套设施</v>
      </c>
      <c r="R19" s="703" t="s">
        <v>18</v>
      </c>
      <c r="S19" s="704">
        <f>F19</f>
        <v>100</v>
      </c>
      <c r="T19" s="703" t="s">
        <v>18</v>
      </c>
      <c r="U19" s="704">
        <f>H19</f>
        <v>100</v>
      </c>
      <c r="V19" s="703" t="s">
        <v>18</v>
      </c>
      <c r="W19" s="704">
        <f>J19</f>
        <v>100</v>
      </c>
      <c r="X19" s="1353"/>
      <c r="Y19" s="380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813"/>
      <c r="Q20" s="1350"/>
      <c r="R20" s="703"/>
      <c r="S20" s="704"/>
      <c r="T20" s="703"/>
      <c r="U20" s="704"/>
      <c r="V20" s="703"/>
      <c r="W20" s="704"/>
      <c r="X20" s="1353"/>
      <c r="Y20" s="3806"/>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813"/>
      <c r="Q21" s="1350" t="str">
        <f>B21</f>
        <v>基础设施水平</v>
      </c>
      <c r="R21" s="703" t="s">
        <v>14</v>
      </c>
      <c r="S21" s="704">
        <f>F21</f>
        <v>100</v>
      </c>
      <c r="T21" s="703" t="s">
        <v>14</v>
      </c>
      <c r="U21" s="704">
        <f>H21</f>
        <v>100</v>
      </c>
      <c r="V21" s="703" t="s">
        <v>14</v>
      </c>
      <c r="W21" s="704">
        <f>J21</f>
        <v>100</v>
      </c>
      <c r="X21" s="1353"/>
      <c r="Y21" s="38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813"/>
      <c r="Q22" s="1350"/>
      <c r="R22" s="703"/>
      <c r="S22" s="704"/>
      <c r="T22" s="703"/>
      <c r="U22" s="704"/>
      <c r="V22" s="703"/>
      <c r="W22" s="704"/>
      <c r="X22" s="1353"/>
      <c r="Y22" s="3806"/>
      <c r="Z22" s="1354"/>
      <c r="AA22" s="1351">
        <v>1</v>
      </c>
      <c r="AB22" s="1351">
        <v>1</v>
      </c>
      <c r="AC22" s="1351">
        <v>1</v>
      </c>
    </row>
    <row r="23" spans="1:29" ht="71.25">
      <c r="A23" s="379"/>
      <c r="B23" s="402" t="s">
        <v>1259</v>
      </c>
      <c r="C23" s="1898" t="str">
        <f>估价对象房地状况!C9</f>
        <v>区域内有国航大学、天竺公园等自然及人文环境，综合评价自然及人文环境状况一般。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813"/>
      <c r="Q23" s="1350" t="str">
        <f>B23</f>
        <v>自然及人文环境</v>
      </c>
      <c r="R23" s="703" t="s">
        <v>18</v>
      </c>
      <c r="S23" s="704">
        <f>F23</f>
        <v>100</v>
      </c>
      <c r="T23" s="703" t="s">
        <v>18</v>
      </c>
      <c r="U23" s="704">
        <f>H23</f>
        <v>100</v>
      </c>
      <c r="V23" s="703" t="s">
        <v>18</v>
      </c>
      <c r="W23" s="704">
        <f>J23</f>
        <v>100</v>
      </c>
      <c r="X23" s="1353"/>
      <c r="Y23" s="380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813"/>
      <c r="Q24" s="1350"/>
      <c r="R24" s="703"/>
      <c r="S24" s="704"/>
      <c r="T24" s="703"/>
      <c r="U24" s="704"/>
      <c r="V24" s="703"/>
      <c r="W24" s="704"/>
      <c r="X24" s="1353"/>
      <c r="Y24" s="3806"/>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81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806"/>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813"/>
      <c r="Q26" s="1350" t="str">
        <f t="shared" si="11"/>
        <v>朝向</v>
      </c>
      <c r="R26" s="703" t="s">
        <v>18</v>
      </c>
      <c r="S26" s="704">
        <f t="shared" si="12"/>
        <v>100</v>
      </c>
      <c r="T26" s="703" t="s">
        <v>18</v>
      </c>
      <c r="U26" s="704">
        <f t="shared" si="13"/>
        <v>100</v>
      </c>
      <c r="V26" s="703" t="s">
        <v>18</v>
      </c>
      <c r="W26" s="704">
        <f t="shared" si="14"/>
        <v>100</v>
      </c>
      <c r="X26" s="1353"/>
      <c r="Y26" s="380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813"/>
      <c r="Q27" s="1341">
        <f t="shared" si="11"/>
        <v>111</v>
      </c>
      <c r="R27" s="699" t="s">
        <v>18</v>
      </c>
      <c r="S27" s="700">
        <f t="shared" si="12"/>
        <v>100</v>
      </c>
      <c r="T27" s="699" t="s">
        <v>18</v>
      </c>
      <c r="U27" s="700">
        <f t="shared" si="13"/>
        <v>100</v>
      </c>
      <c r="V27" s="699" t="s">
        <v>18</v>
      </c>
      <c r="W27" s="700">
        <f t="shared" si="14"/>
        <v>100</v>
      </c>
      <c r="X27" s="701"/>
      <c r="Y27" s="380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813"/>
      <c r="Q28" s="1350">
        <f t="shared" si="11"/>
        <v>111</v>
      </c>
      <c r="R28" s="703" t="s">
        <v>18</v>
      </c>
      <c r="S28" s="704">
        <f t="shared" si="12"/>
        <v>100</v>
      </c>
      <c r="T28" s="703" t="s">
        <v>18</v>
      </c>
      <c r="U28" s="704">
        <f t="shared" si="13"/>
        <v>100</v>
      </c>
      <c r="V28" s="703" t="s">
        <v>18</v>
      </c>
      <c r="W28" s="704">
        <f t="shared" si="14"/>
        <v>100</v>
      </c>
      <c r="X28" s="1353"/>
      <c r="Y28" s="380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813"/>
      <c r="Q29" s="1350">
        <f t="shared" si="11"/>
        <v>111</v>
      </c>
      <c r="R29" s="703" t="s">
        <v>18</v>
      </c>
      <c r="S29" s="704">
        <f t="shared" si="12"/>
        <v>100</v>
      </c>
      <c r="T29" s="703" t="s">
        <v>18</v>
      </c>
      <c r="U29" s="704">
        <f t="shared" si="13"/>
        <v>100</v>
      </c>
      <c r="V29" s="703" t="s">
        <v>18</v>
      </c>
      <c r="W29" s="704">
        <f t="shared" si="14"/>
        <v>100</v>
      </c>
      <c r="X29" s="1353"/>
      <c r="Y29" s="380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813"/>
      <c r="Q30" s="1350">
        <f t="shared" si="11"/>
        <v>111</v>
      </c>
      <c r="R30" s="703" t="s">
        <v>18</v>
      </c>
      <c r="S30" s="704">
        <f t="shared" si="12"/>
        <v>100</v>
      </c>
      <c r="T30" s="703" t="s">
        <v>18</v>
      </c>
      <c r="U30" s="704">
        <f t="shared" si="13"/>
        <v>100</v>
      </c>
      <c r="V30" s="703" t="s">
        <v>18</v>
      </c>
      <c r="W30" s="704">
        <f t="shared" si="14"/>
        <v>100</v>
      </c>
      <c r="X30" s="1353"/>
      <c r="Y30" s="380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813"/>
      <c r="Q31" s="1350">
        <f t="shared" si="11"/>
        <v>111</v>
      </c>
      <c r="R31" s="703" t="s">
        <v>18</v>
      </c>
      <c r="S31" s="704">
        <f t="shared" si="12"/>
        <v>100</v>
      </c>
      <c r="T31" s="703" t="s">
        <v>18</v>
      </c>
      <c r="U31" s="704">
        <f t="shared" si="13"/>
        <v>100</v>
      </c>
      <c r="V31" s="703" t="s">
        <v>18</v>
      </c>
      <c r="W31" s="704">
        <f t="shared" si="14"/>
        <v>100</v>
      </c>
      <c r="X31" s="1353"/>
      <c r="Y31" s="3806"/>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807" t="s">
        <v>1694</v>
      </c>
      <c r="Q32" s="1350" t="str">
        <f t="shared" si="11"/>
        <v>建筑类型</v>
      </c>
      <c r="R32" s="703" t="s">
        <v>18</v>
      </c>
      <c r="S32" s="704">
        <f t="shared" si="12"/>
        <v>100</v>
      </c>
      <c r="T32" s="703" t="s">
        <v>18</v>
      </c>
      <c r="U32" s="704">
        <f t="shared" si="13"/>
        <v>100</v>
      </c>
      <c r="V32" s="703" t="s">
        <v>18</v>
      </c>
      <c r="W32" s="704">
        <f t="shared" si="14"/>
        <v>100</v>
      </c>
      <c r="X32" s="1353"/>
      <c r="Y32" s="3810"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808"/>
      <c r="Q33" s="705" t="str">
        <f t="shared" si="11"/>
        <v>项目建筑规模</v>
      </c>
      <c r="R33" s="706" t="s">
        <v>18</v>
      </c>
      <c r="S33" s="707" t="e">
        <f t="shared" si="12"/>
        <v>#N/A</v>
      </c>
      <c r="T33" s="706" t="s">
        <v>18</v>
      </c>
      <c r="U33" s="707" t="e">
        <f t="shared" si="13"/>
        <v>#N/A</v>
      </c>
      <c r="V33" s="706" t="s">
        <v>18</v>
      </c>
      <c r="W33" s="707" t="e">
        <f t="shared" si="14"/>
        <v>#N/A</v>
      </c>
      <c r="X33" s="708"/>
      <c r="Y33" s="3810"/>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808"/>
      <c r="Q34" s="1350" t="str">
        <f t="shared" si="11"/>
        <v>建筑结构</v>
      </c>
      <c r="R34" s="703" t="s">
        <v>18</v>
      </c>
      <c r="S34" s="704">
        <f t="shared" si="12"/>
        <v>100</v>
      </c>
      <c r="T34" s="703" t="s">
        <v>18</v>
      </c>
      <c r="U34" s="704">
        <f t="shared" si="13"/>
        <v>100</v>
      </c>
      <c r="V34" s="703" t="s">
        <v>18</v>
      </c>
      <c r="W34" s="704">
        <f t="shared" si="14"/>
        <v>100</v>
      </c>
      <c r="X34" s="1353"/>
      <c r="Y34" s="3810"/>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808"/>
      <c r="Q35" s="1350" t="str">
        <f t="shared" si="11"/>
        <v>建筑品质</v>
      </c>
      <c r="R35" s="703" t="s">
        <v>18</v>
      </c>
      <c r="S35" s="704">
        <f t="shared" si="12"/>
        <v>100</v>
      </c>
      <c r="T35" s="703" t="s">
        <v>18</v>
      </c>
      <c r="U35" s="704">
        <f t="shared" si="13"/>
        <v>100</v>
      </c>
      <c r="V35" s="703" t="s">
        <v>18</v>
      </c>
      <c r="W35" s="704">
        <f t="shared" si="14"/>
        <v>100</v>
      </c>
      <c r="X35" s="1353"/>
      <c r="Y35" s="3810"/>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808"/>
      <c r="Q36" s="1350" t="str">
        <f t="shared" si="11"/>
        <v>公共部分装修</v>
      </c>
      <c r="R36" s="703" t="s">
        <v>18</v>
      </c>
      <c r="S36" s="704">
        <f t="shared" si="12"/>
        <v>100</v>
      </c>
      <c r="T36" s="703" t="s">
        <v>18</v>
      </c>
      <c r="U36" s="704">
        <f t="shared" si="13"/>
        <v>100</v>
      </c>
      <c r="V36" s="703" t="s">
        <v>18</v>
      </c>
      <c r="W36" s="704">
        <f t="shared" si="14"/>
        <v>100</v>
      </c>
      <c r="X36" s="1353"/>
      <c r="Y36" s="3810"/>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808"/>
      <c r="Q37" s="1341" t="str">
        <f t="shared" si="11"/>
        <v>成新度</v>
      </c>
      <c r="R37" s="699" t="s">
        <v>18</v>
      </c>
      <c r="S37" s="700" t="e">
        <f t="shared" si="12"/>
        <v>#N/A</v>
      </c>
      <c r="T37" s="699" t="s">
        <v>18</v>
      </c>
      <c r="U37" s="700" t="e">
        <f t="shared" si="13"/>
        <v>#N/A</v>
      </c>
      <c r="V37" s="699" t="s">
        <v>18</v>
      </c>
      <c r="W37" s="700" t="e">
        <f t="shared" si="14"/>
        <v>#N/A</v>
      </c>
      <c r="X37" s="701"/>
      <c r="Y37" s="3810"/>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808" t="s">
        <v>1694</v>
      </c>
      <c r="Q38" s="1350" t="str">
        <f t="shared" si="11"/>
        <v>物业管理</v>
      </c>
      <c r="R38" s="703" t="s">
        <v>18</v>
      </c>
      <c r="S38" s="704">
        <f t="shared" si="12"/>
        <v>100</v>
      </c>
      <c r="T38" s="703" t="s">
        <v>18</v>
      </c>
      <c r="U38" s="704">
        <f t="shared" si="13"/>
        <v>100</v>
      </c>
      <c r="V38" s="703" t="s">
        <v>18</v>
      </c>
      <c r="W38" s="704">
        <f t="shared" si="14"/>
        <v>100</v>
      </c>
      <c r="X38" s="1353"/>
      <c r="Y38" s="3810"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808"/>
      <c r="Q39" s="1350" t="str">
        <f t="shared" si="11"/>
        <v>市政基础设施</v>
      </c>
      <c r="R39" s="703" t="s">
        <v>18</v>
      </c>
      <c r="S39" s="704">
        <f t="shared" si="12"/>
        <v>100</v>
      </c>
      <c r="T39" s="703" t="s">
        <v>18</v>
      </c>
      <c r="U39" s="704">
        <f t="shared" si="13"/>
        <v>100</v>
      </c>
      <c r="V39" s="703" t="s">
        <v>18</v>
      </c>
      <c r="W39" s="704">
        <f t="shared" si="14"/>
        <v>100</v>
      </c>
      <c r="X39" s="1353"/>
      <c r="Y39" s="3810"/>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808"/>
      <c r="Q40" s="1350" t="str">
        <f t="shared" si="11"/>
        <v>房型</v>
      </c>
      <c r="R40" s="703" t="s">
        <v>18</v>
      </c>
      <c r="S40" s="704">
        <f t="shared" si="12"/>
        <v>100</v>
      </c>
      <c r="T40" s="703" t="s">
        <v>18</v>
      </c>
      <c r="U40" s="704">
        <f t="shared" si="13"/>
        <v>100</v>
      </c>
      <c r="V40" s="703" t="s">
        <v>18</v>
      </c>
      <c r="W40" s="704">
        <f t="shared" si="14"/>
        <v>100</v>
      </c>
      <c r="X40" s="1353"/>
      <c r="Y40" s="3810"/>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808"/>
      <c r="Q41" s="705" t="str">
        <f t="shared" si="11"/>
        <v>单套/主力户型建筑面积</v>
      </c>
      <c r="R41" s="706" t="s">
        <v>18</v>
      </c>
      <c r="S41" s="707">
        <f t="shared" si="12"/>
        <v>100</v>
      </c>
      <c r="T41" s="706" t="s">
        <v>18</v>
      </c>
      <c r="U41" s="707">
        <f t="shared" si="13"/>
        <v>100</v>
      </c>
      <c r="V41" s="706" t="s">
        <v>18</v>
      </c>
      <c r="W41" s="707">
        <f t="shared" si="14"/>
        <v>100</v>
      </c>
      <c r="X41" s="708"/>
      <c r="Y41" s="3810"/>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808"/>
      <c r="Q42" s="1350" t="str">
        <f t="shared" si="11"/>
        <v>内部装修</v>
      </c>
      <c r="R42" s="703" t="s">
        <v>18</v>
      </c>
      <c r="S42" s="704">
        <f t="shared" si="12"/>
        <v>100</v>
      </c>
      <c r="T42" s="703" t="s">
        <v>18</v>
      </c>
      <c r="U42" s="704">
        <f t="shared" si="13"/>
        <v>100</v>
      </c>
      <c r="V42" s="703" t="s">
        <v>18</v>
      </c>
      <c r="W42" s="704">
        <f t="shared" si="14"/>
        <v>100</v>
      </c>
      <c r="X42" s="1353"/>
      <c r="Y42" s="3810"/>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808"/>
      <c r="Q43" s="1350" t="str">
        <f t="shared" si="11"/>
        <v>内部装修维护情况</v>
      </c>
      <c r="R43" s="703" t="s">
        <v>18</v>
      </c>
      <c r="S43" s="704">
        <f t="shared" si="12"/>
        <v>100</v>
      </c>
      <c r="T43" s="703" t="s">
        <v>18</v>
      </c>
      <c r="U43" s="704">
        <f t="shared" si="13"/>
        <v>100</v>
      </c>
      <c r="V43" s="703" t="s">
        <v>18</v>
      </c>
      <c r="W43" s="704">
        <f t="shared" si="14"/>
        <v>100</v>
      </c>
      <c r="X43" s="1353"/>
      <c r="Y43" s="381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808"/>
      <c r="Q44" s="1341">
        <f t="shared" si="11"/>
        <v>111</v>
      </c>
      <c r="R44" s="699" t="s">
        <v>18</v>
      </c>
      <c r="S44" s="700">
        <f t="shared" si="12"/>
        <v>100</v>
      </c>
      <c r="T44" s="699" t="s">
        <v>18</v>
      </c>
      <c r="U44" s="700">
        <f t="shared" si="13"/>
        <v>100</v>
      </c>
      <c r="V44" s="699" t="s">
        <v>18</v>
      </c>
      <c r="W44" s="700">
        <f t="shared" si="14"/>
        <v>100</v>
      </c>
      <c r="X44" s="701"/>
      <c r="Y44" s="381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808"/>
      <c r="Q45" s="1350">
        <f t="shared" si="11"/>
        <v>111</v>
      </c>
      <c r="R45" s="703" t="s">
        <v>18</v>
      </c>
      <c r="S45" s="704">
        <f t="shared" si="12"/>
        <v>100</v>
      </c>
      <c r="T45" s="703" t="s">
        <v>18</v>
      </c>
      <c r="U45" s="704">
        <f t="shared" si="13"/>
        <v>100</v>
      </c>
      <c r="V45" s="703" t="s">
        <v>18</v>
      </c>
      <c r="W45" s="704">
        <f t="shared" si="14"/>
        <v>100</v>
      </c>
      <c r="X45" s="1353"/>
      <c r="Y45" s="381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809"/>
      <c r="Q46" s="1350">
        <f t="shared" si="11"/>
        <v>111</v>
      </c>
      <c r="R46" s="703" t="s">
        <v>17</v>
      </c>
      <c r="S46" s="704">
        <f t="shared" si="12"/>
        <v>100</v>
      </c>
      <c r="T46" s="703" t="s">
        <v>17</v>
      </c>
      <c r="U46" s="704">
        <f t="shared" si="13"/>
        <v>100</v>
      </c>
      <c r="V46" s="703" t="s">
        <v>17</v>
      </c>
      <c r="W46" s="704">
        <f t="shared" si="14"/>
        <v>100</v>
      </c>
      <c r="X46" s="1353"/>
      <c r="Y46" s="3811"/>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7"/>
      <c r="M47" s="2718"/>
      <c r="N47" s="2709"/>
      <c r="O47" s="2718"/>
      <c r="P47" s="3803" t="str">
        <f>A47</f>
        <v>成交单价（元/平方米）</v>
      </c>
      <c r="Q47" s="3803"/>
      <c r="R47" s="3804">
        <f>E47</f>
        <v>0</v>
      </c>
      <c r="S47" s="3804"/>
      <c r="T47" s="3804">
        <f>G47</f>
        <v>0</v>
      </c>
      <c r="U47" s="3804"/>
      <c r="V47" s="3804">
        <f>I47</f>
        <v>0</v>
      </c>
      <c r="W47" s="3804"/>
      <c r="X47" s="688"/>
      <c r="Y47" s="710"/>
      <c r="Z47" s="688"/>
      <c r="AA47" s="688"/>
      <c r="AB47" s="688"/>
      <c r="AC47" s="688"/>
    </row>
    <row r="48" spans="1:29" ht="15.75" thickBot="1">
      <c r="A48" s="437" t="s">
        <v>1707</v>
      </c>
      <c r="B48" s="438"/>
      <c r="C48" s="1158" t="e">
        <f>R49</f>
        <v>#DIV/0!</v>
      </c>
      <c r="D48" s="2315" t="s">
        <v>2134</v>
      </c>
      <c r="E48" s="1159" t="e">
        <f>R48</f>
        <v>#DIV/0!</v>
      </c>
      <c r="F48" s="2316"/>
      <c r="G48" s="1158" t="e">
        <f>T48</f>
        <v>#DIV/0!</v>
      </c>
      <c r="H48" s="2316"/>
      <c r="I48" s="1159" t="e">
        <f>V48</f>
        <v>#DIV/0!</v>
      </c>
      <c r="J48" s="2316"/>
      <c r="K48" s="2317">
        <f>F48+H48+J48</f>
        <v>0</v>
      </c>
      <c r="L48" s="2717"/>
      <c r="M48" s="2718"/>
      <c r="N48" s="2718"/>
      <c r="O48" s="2718"/>
      <c r="P48" s="3803" t="str">
        <f>A48</f>
        <v>比较价值（元/平方米）</v>
      </c>
      <c r="Q48" s="3803"/>
      <c r="R48" s="3804" t="e">
        <f>IF(F1="售价",ROUND(PRODUCT(R47,AA7:AA46),0),ROUND(PRODUCT(R47,AA7:AA46),1))</f>
        <v>#DIV/0!</v>
      </c>
      <c r="S48" s="3804"/>
      <c r="T48" s="3804" t="e">
        <f>IF(F1="售价",ROUND(PRODUCT(T47,AB7:AB46),0),ROUND(PRODUCT(T47,AB7:AB46),1))</f>
        <v>#DIV/0!</v>
      </c>
      <c r="U48" s="3804"/>
      <c r="V48" s="3804" t="e">
        <f>IF(F1="售价",ROUND(PRODUCT(V47,AC7:AC46),0),ROUND(PRODUCT(V47,AC7:AC46),1))</f>
        <v>#DIV/0!</v>
      </c>
      <c r="W48" s="3804"/>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7"/>
      <c r="M49" s="2718"/>
      <c r="N49" s="2718"/>
      <c r="O49" s="2718"/>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2023-2</v>
      </c>
      <c r="D58" s="1183">
        <f>EDATE(C58,-1)</f>
        <v>44927</v>
      </c>
      <c r="E58" s="1183">
        <f>EDATE(D58,-1)</f>
        <v>44896</v>
      </c>
      <c r="F58" s="1183">
        <f t="shared" ref="F58:O58" si="19">EDATE(E58,-1)</f>
        <v>44866</v>
      </c>
      <c r="G58" s="1183">
        <f t="shared" si="19"/>
        <v>44835</v>
      </c>
      <c r="H58" s="1183">
        <f t="shared" si="19"/>
        <v>44805</v>
      </c>
      <c r="I58" s="1183">
        <f t="shared" si="19"/>
        <v>44774</v>
      </c>
      <c r="J58" s="1183">
        <f t="shared" si="19"/>
        <v>44743</v>
      </c>
      <c r="K58" s="1183">
        <f t="shared" si="19"/>
        <v>44713</v>
      </c>
      <c r="L58" s="1183">
        <f t="shared" si="19"/>
        <v>44682</v>
      </c>
      <c r="M58" s="1183">
        <f t="shared" si="19"/>
        <v>44652</v>
      </c>
      <c r="N58" s="1183">
        <f t="shared" si="19"/>
        <v>44621</v>
      </c>
      <c r="O58" s="1183">
        <f t="shared" si="19"/>
        <v>44593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81" priority="19" stopIfTrue="1" operator="containsText" text="超过">
      <formula>NOT(ISERROR(SEARCH("超过",F52)))</formula>
    </cfRule>
  </conditionalFormatting>
  <conditionalFormatting sqref="J54">
    <cfRule type="containsText" dxfId="180" priority="18" stopIfTrue="1" operator="containsText" text="超过">
      <formula>NOT(ISERROR(SEARCH("超过",J54)))</formula>
    </cfRule>
  </conditionalFormatting>
  <conditionalFormatting sqref="H54">
    <cfRule type="containsText" dxfId="179" priority="17" stopIfTrue="1" operator="containsText" text="超过">
      <formula>NOT(ISERROR(SEARCH("超过",H54)))</formula>
    </cfRule>
  </conditionalFormatting>
  <conditionalFormatting sqref="F54">
    <cfRule type="containsText" dxfId="178" priority="16" stopIfTrue="1" operator="containsText" text="超过">
      <formula>NOT(ISERROR(SEARCH("超过",F54)))</formula>
    </cfRule>
  </conditionalFormatting>
  <conditionalFormatting sqref="F53 H53 J53">
    <cfRule type="containsText" dxfId="177" priority="15" stopIfTrue="1" operator="containsText" text="超过">
      <formula>NOT(ISERROR(SEARCH("超过",F53)))</formula>
    </cfRule>
  </conditionalFormatting>
  <conditionalFormatting sqref="E52">
    <cfRule type="expression" dxfId="176" priority="14" stopIfTrue="1">
      <formula>$F$52="超过30%"</formula>
    </cfRule>
  </conditionalFormatting>
  <conditionalFormatting sqref="G54">
    <cfRule type="expression" dxfId="175" priority="12" stopIfTrue="1">
      <formula>$H$54="超过30%"</formula>
    </cfRule>
  </conditionalFormatting>
  <conditionalFormatting sqref="E53">
    <cfRule type="expression" dxfId="174" priority="11" stopIfTrue="1">
      <formula>$F$53="超过20%"</formula>
    </cfRule>
  </conditionalFormatting>
  <conditionalFormatting sqref="E54">
    <cfRule type="expression" dxfId="173" priority="10" stopIfTrue="1">
      <formula>$F$54="超过30%"</formula>
    </cfRule>
  </conditionalFormatting>
  <conditionalFormatting sqref="G52">
    <cfRule type="expression" dxfId="172" priority="9" stopIfTrue="1">
      <formula>$H$52="超过30%"</formula>
    </cfRule>
  </conditionalFormatting>
  <conditionalFormatting sqref="G53">
    <cfRule type="expression" dxfId="171" priority="8" stopIfTrue="1">
      <formula>$H$53="超过20%"</formula>
    </cfRule>
  </conditionalFormatting>
  <conditionalFormatting sqref="I52">
    <cfRule type="expression" dxfId="170" priority="7" stopIfTrue="1">
      <formula>$J$52="超过30%"</formula>
    </cfRule>
  </conditionalFormatting>
  <conditionalFormatting sqref="I53">
    <cfRule type="expression" dxfId="169" priority="6" stopIfTrue="1">
      <formula>$J$53="超过20%"</formula>
    </cfRule>
  </conditionalFormatting>
  <conditionalFormatting sqref="I54">
    <cfRule type="expression" dxfId="168" priority="5"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
  <sheetViews>
    <sheetView workbookViewId="0">
      <selection activeCell="L8" sqref="L8"/>
    </sheetView>
  </sheetViews>
  <sheetFormatPr defaultRowHeight="13.5"/>
  <cols>
    <col min="2" max="2" width="14.5" customWidth="1"/>
  </cols>
  <sheetData>
    <row r="2" spans="1:10" s="3559" customFormat="1" ht="18" customHeight="1">
      <c r="A2" s="3556"/>
      <c r="B2" s="3847" t="s">
        <v>3664</v>
      </c>
      <c r="C2" s="3847"/>
      <c r="D2" s="3847"/>
      <c r="E2" s="3847"/>
      <c r="F2" s="3847"/>
      <c r="G2" s="3556"/>
      <c r="H2" s="3556"/>
      <c r="I2" s="3556"/>
      <c r="J2" s="3556"/>
    </row>
    <row r="3" spans="1:10" s="3559" customFormat="1" ht="18" customHeight="1">
      <c r="A3" s="3556"/>
      <c r="B3" s="3560" t="s">
        <v>3577</v>
      </c>
      <c r="C3" s="3561" t="s">
        <v>3485</v>
      </c>
      <c r="D3" s="3848" t="s">
        <v>3578</v>
      </c>
      <c r="E3" s="3848"/>
      <c r="F3" s="3848"/>
      <c r="G3" s="3556"/>
      <c r="H3" s="3556"/>
      <c r="I3" s="3556"/>
      <c r="J3" s="3556"/>
    </row>
    <row r="4" spans="1:10" s="3556" customFormat="1" ht="18" customHeight="1">
      <c r="B4" s="3560" t="s">
        <v>3580</v>
      </c>
      <c r="C4" s="3562">
        <v>1</v>
      </c>
      <c r="D4" s="3849">
        <f>'比较法-商业'!C48</f>
        <v>1.5</v>
      </c>
      <c r="E4" s="3849"/>
      <c r="F4" s="3849"/>
    </row>
    <row r="5" spans="1:10" s="3556" customFormat="1" ht="20.100000000000001" customHeight="1">
      <c r="B5" s="3560" t="s">
        <v>3465</v>
      </c>
      <c r="C5" s="3562">
        <v>0</v>
      </c>
      <c r="D5" s="3849">
        <f>'收益法倒推租金 (2)'!C31</f>
        <v>2.4500000000000002</v>
      </c>
      <c r="E5" s="3849"/>
      <c r="F5" s="3849"/>
    </row>
    <row r="6" spans="1:10" s="3556" customFormat="1" ht="22.5" customHeight="1">
      <c r="B6" s="3850" t="s">
        <v>3582</v>
      </c>
      <c r="C6" s="3850"/>
      <c r="D6" s="3849">
        <f>ROUND(C4*D4+C5*D5,2)</f>
        <v>1.5</v>
      </c>
      <c r="E6" s="3849"/>
      <c r="F6" s="3849"/>
      <c r="G6" s="3557"/>
      <c r="H6" s="3558"/>
    </row>
    <row r="7" spans="1:10" s="3556" customFormat="1" ht="22.5" customHeight="1">
      <c r="B7" s="3560" t="s">
        <v>3583</v>
      </c>
      <c r="C7" s="3560">
        <f>ROUND(D6*0.9,1)</f>
        <v>1.4</v>
      </c>
      <c r="D7" s="3563" t="s">
        <v>3584</v>
      </c>
      <c r="E7" s="3846">
        <f>ROUND(D6*1.1,1)</f>
        <v>1.7</v>
      </c>
      <c r="F7" s="3846"/>
      <c r="G7" s="3557" t="s">
        <v>3585</v>
      </c>
      <c r="H7" s="3564">
        <v>1.2</v>
      </c>
    </row>
    <row r="8" spans="1:10" s="3556" customFormat="1" ht="30" customHeight="1">
      <c r="B8" s="3560" t="s">
        <v>3586</v>
      </c>
      <c r="C8" s="3560">
        <f>ROUND(C7+H8,1)</f>
        <v>1.4</v>
      </c>
      <c r="D8" s="3563" t="s">
        <v>3584</v>
      </c>
      <c r="E8" s="3846">
        <f>ROUND(E7+H8,1)</f>
        <v>1.7</v>
      </c>
      <c r="F8" s="3846"/>
      <c r="G8" s="3565" t="s">
        <v>3587</v>
      </c>
      <c r="H8" s="3565"/>
      <c r="J8" s="3566"/>
    </row>
    <row r="9" spans="1:10" s="3556" customFormat="1" ht="18" customHeight="1">
      <c r="B9" s="3567"/>
      <c r="C9" s="3568"/>
      <c r="D9" s="3569"/>
      <c r="E9" s="3569"/>
      <c r="F9" s="3569"/>
      <c r="G9" s="3557"/>
      <c r="H9" s="3558"/>
      <c r="J9" s="3566"/>
    </row>
    <row r="10" spans="1:10" s="3556" customFormat="1" ht="18" customHeight="1">
      <c r="B10" s="3557" t="s">
        <v>3592</v>
      </c>
      <c r="C10" s="3569"/>
      <c r="D10" s="3569"/>
      <c r="E10" s="3557" t="s">
        <v>3593</v>
      </c>
      <c r="F10" s="3569"/>
      <c r="G10" s="3557"/>
      <c r="H10" s="3557" t="s">
        <v>3594</v>
      </c>
      <c r="J10" s="3566"/>
    </row>
    <row r="11" spans="1:10" s="3556" customFormat="1" ht="29.25" customHeight="1">
      <c r="B11" s="3570"/>
      <c r="C11" s="3571"/>
      <c r="D11" s="3571"/>
      <c r="E11" s="3571"/>
      <c r="F11" s="3571"/>
      <c r="G11" s="3572"/>
      <c r="J11" s="3566"/>
    </row>
  </sheetData>
  <mergeCells count="8">
    <mergeCell ref="E7:F7"/>
    <mergeCell ref="E8:F8"/>
    <mergeCell ref="B2:F2"/>
    <mergeCell ref="D3:F3"/>
    <mergeCell ref="D4:F4"/>
    <mergeCell ref="D5:F5"/>
    <mergeCell ref="B6:C6"/>
    <mergeCell ref="D6:F6"/>
  </mergeCells>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38"/>
  <sheetViews>
    <sheetView workbookViewId="0">
      <selection activeCell="E7" sqref="E7"/>
    </sheetView>
  </sheetViews>
  <sheetFormatPr defaultRowHeight="16.5"/>
  <cols>
    <col min="1" max="7" width="9" style="3523"/>
    <col min="8" max="8" width="20.5" style="3523" bestFit="1" customWidth="1"/>
    <col min="9" max="9" width="14" style="3523" customWidth="1"/>
    <col min="10" max="10" width="10.875" style="3523" customWidth="1"/>
    <col min="11" max="11" width="10.5" style="3523" customWidth="1"/>
    <col min="12" max="16384" width="9" style="3523"/>
  </cols>
  <sheetData>
    <row r="3" spans="3:13">
      <c r="D3" s="3523">
        <f>'数据-取费表'!K6</f>
        <v>466.83</v>
      </c>
      <c r="E3" s="3523" t="s">
        <v>3605</v>
      </c>
      <c r="H3" s="3523" t="s">
        <v>3650</v>
      </c>
    </row>
    <row r="4" spans="3:13">
      <c r="C4" s="3524" t="s">
        <v>3601</v>
      </c>
      <c r="D4" s="3524">
        <f>D3/3</f>
        <v>155.60999999999999</v>
      </c>
      <c r="E4" s="3524">
        <v>1</v>
      </c>
      <c r="F4" s="3574"/>
      <c r="H4" s="3524" t="s">
        <v>3606</v>
      </c>
      <c r="I4" s="3524" t="s">
        <v>3644</v>
      </c>
      <c r="J4" s="3524" t="s">
        <v>3609</v>
      </c>
      <c r="K4" s="3524" t="s">
        <v>3607</v>
      </c>
      <c r="L4" s="3524" t="s">
        <v>3643</v>
      </c>
    </row>
    <row r="5" spans="3:13">
      <c r="C5" s="3524" t="s">
        <v>3602</v>
      </c>
      <c r="D5" s="3524">
        <f>D4</f>
        <v>155.60999999999999</v>
      </c>
      <c r="E5" s="3524">
        <v>0.8</v>
      </c>
      <c r="F5" s="3574"/>
      <c r="H5" s="3524" t="s">
        <v>3610</v>
      </c>
      <c r="I5" s="3524">
        <v>350</v>
      </c>
      <c r="J5" s="3524">
        <v>2.38</v>
      </c>
      <c r="K5" s="3524" t="s">
        <v>3608</v>
      </c>
      <c r="L5" s="3524">
        <f>ROUND(J5*E7,2)</f>
        <v>1.98</v>
      </c>
    </row>
    <row r="6" spans="3:13">
      <c r="C6" s="3524" t="s">
        <v>3603</v>
      </c>
      <c r="D6" s="3524">
        <f>D4</f>
        <v>155.60999999999999</v>
      </c>
      <c r="E6" s="3524">
        <v>0.7</v>
      </c>
      <c r="F6" s="3574"/>
      <c r="H6" s="3524" t="s">
        <v>3631</v>
      </c>
      <c r="I6" s="3524">
        <v>250</v>
      </c>
      <c r="J6" s="3524">
        <v>2.4</v>
      </c>
      <c r="K6" s="3524" t="s">
        <v>3608</v>
      </c>
      <c r="L6" s="3524">
        <f>ROUND(J6*E7,2)</f>
        <v>2</v>
      </c>
    </row>
    <row r="7" spans="3:13">
      <c r="C7" s="3524" t="s">
        <v>3604</v>
      </c>
      <c r="D7" s="3524">
        <f>SUM(D4:D6)</f>
        <v>466.82999999999993</v>
      </c>
      <c r="E7" s="3525">
        <f>SUM(E4:E6)/3</f>
        <v>0.83333333333333337</v>
      </c>
      <c r="F7" s="3575">
        <f>'收益法 (元)'!C43/租金案例!E7</f>
        <v>14862</v>
      </c>
      <c r="H7" s="3524" t="s">
        <v>3632</v>
      </c>
      <c r="I7" s="3524">
        <v>140</v>
      </c>
      <c r="J7" s="3525">
        <f>ROUND(8500/140/30,2)</f>
        <v>2.02</v>
      </c>
      <c r="K7" s="3524" t="s">
        <v>3608</v>
      </c>
      <c r="L7" s="3524">
        <f>ROUND(J7*E7,2)</f>
        <v>1.68</v>
      </c>
    </row>
    <row r="10" spans="3:13">
      <c r="H10" s="3523" t="s">
        <v>3651</v>
      </c>
    </row>
    <row r="11" spans="3:13">
      <c r="H11" s="3524" t="s">
        <v>3653</v>
      </c>
      <c r="I11" s="3524"/>
      <c r="J11" s="3524" t="s">
        <v>3654</v>
      </c>
      <c r="K11" s="3524" t="s">
        <v>3655</v>
      </c>
      <c r="L11" s="3524"/>
      <c r="M11" s="3524" t="s">
        <v>3656</v>
      </c>
    </row>
    <row r="12" spans="3:13">
      <c r="H12" s="3524" t="s">
        <v>3652</v>
      </c>
      <c r="I12" s="3524"/>
      <c r="J12" s="3524">
        <v>78201</v>
      </c>
      <c r="K12" s="3524">
        <v>11.19</v>
      </c>
      <c r="L12" s="3524"/>
      <c r="M12" s="3573">
        <f>K12*365/J12</f>
        <v>5.2228871753558136E-2</v>
      </c>
    </row>
    <row r="13" spans="3:13">
      <c r="H13" s="3524" t="s">
        <v>3657</v>
      </c>
      <c r="I13" s="3524"/>
      <c r="J13" s="3524">
        <v>61841</v>
      </c>
      <c r="K13" s="3524">
        <v>7</v>
      </c>
      <c r="L13" s="3524"/>
      <c r="M13" s="3573">
        <f t="shared" ref="M13:M15" si="0">K13*365/J13</f>
        <v>4.1315632024061709E-2</v>
      </c>
    </row>
    <row r="14" spans="3:13">
      <c r="H14" s="3524" t="s">
        <v>3657</v>
      </c>
      <c r="I14" s="3524"/>
      <c r="J14" s="3524">
        <v>46919</v>
      </c>
      <c r="K14" s="3524">
        <v>6</v>
      </c>
      <c r="L14" s="3524"/>
      <c r="M14" s="3573">
        <f t="shared" si="0"/>
        <v>4.6676186619493167E-2</v>
      </c>
    </row>
    <row r="15" spans="3:13">
      <c r="H15" s="3524" t="s">
        <v>3657</v>
      </c>
      <c r="I15" s="3524"/>
      <c r="J15" s="3524">
        <v>32411</v>
      </c>
      <c r="K15" s="3524">
        <v>5.14</v>
      </c>
      <c r="L15" s="3524"/>
      <c r="M15" s="3573">
        <f t="shared" si="0"/>
        <v>5.7884668785288945E-2</v>
      </c>
    </row>
    <row r="16" spans="3:13">
      <c r="H16" s="3524" t="s">
        <v>3657</v>
      </c>
      <c r="I16" s="3524"/>
      <c r="J16" s="3524"/>
      <c r="K16" s="3524">
        <v>5</v>
      </c>
      <c r="L16" s="3524"/>
      <c r="M16" s="3524"/>
    </row>
    <row r="17" spans="8:13">
      <c r="H17" s="3524" t="s">
        <v>3666</v>
      </c>
      <c r="I17" s="3524"/>
      <c r="J17" s="3524">
        <v>83302</v>
      </c>
      <c r="K17" s="3524">
        <v>10.199999999999999</v>
      </c>
      <c r="L17" s="3524"/>
      <c r="M17" s="3573">
        <f t="shared" ref="M17:M22" si="1">K17*365/J17</f>
        <v>4.4692804494489924E-2</v>
      </c>
    </row>
    <row r="18" spans="8:13">
      <c r="H18" s="3524" t="s">
        <v>3666</v>
      </c>
      <c r="I18" s="3524"/>
      <c r="J18" s="3524">
        <v>75004</v>
      </c>
      <c r="K18" s="3524">
        <v>12.32</v>
      </c>
      <c r="L18" s="3524"/>
      <c r="M18" s="3573">
        <f t="shared" si="1"/>
        <v>5.99541357794251E-2</v>
      </c>
    </row>
    <row r="19" spans="8:13">
      <c r="H19" s="3524" t="s">
        <v>3666</v>
      </c>
      <c r="I19" s="3524"/>
      <c r="J19" s="3524">
        <v>37422</v>
      </c>
      <c r="K19" s="3524">
        <v>5.03</v>
      </c>
      <c r="L19" s="3524"/>
      <c r="M19" s="3573">
        <f t="shared" si="1"/>
        <v>4.9060712949601841E-2</v>
      </c>
    </row>
    <row r="20" spans="8:13">
      <c r="H20" s="3524" t="s">
        <v>3667</v>
      </c>
      <c r="I20" s="3524"/>
      <c r="J20" s="3524">
        <v>43835</v>
      </c>
      <c r="K20" s="3524">
        <v>7</v>
      </c>
      <c r="L20" s="3524"/>
      <c r="M20" s="3573">
        <f t="shared" si="1"/>
        <v>5.8286757157522524E-2</v>
      </c>
    </row>
    <row r="21" spans="8:13">
      <c r="H21" s="3524" t="s">
        <v>3670</v>
      </c>
      <c r="I21" s="3524"/>
      <c r="J21" s="3524">
        <v>37902</v>
      </c>
      <c r="K21" s="3524">
        <v>4.5999999999999996</v>
      </c>
      <c r="L21" s="3524"/>
      <c r="M21" s="3573">
        <f t="shared" si="1"/>
        <v>4.4298453907445509E-2</v>
      </c>
    </row>
    <row r="22" spans="8:13">
      <c r="H22" s="3524" t="s">
        <v>3671</v>
      </c>
      <c r="I22" s="3524"/>
      <c r="J22" s="3524">
        <v>97435</v>
      </c>
      <c r="K22" s="3524">
        <v>11.5</v>
      </c>
      <c r="L22" s="3524"/>
      <c r="M22" s="3573">
        <f t="shared" si="1"/>
        <v>4.3080002052650487E-2</v>
      </c>
    </row>
    <row r="23" spans="8:13">
      <c r="H23" s="3524" t="s">
        <v>3672</v>
      </c>
      <c r="I23" s="3524"/>
      <c r="J23" s="3524">
        <v>46000</v>
      </c>
      <c r="K23" s="3524"/>
      <c r="L23" s="3524"/>
      <c r="M23" s="3573">
        <f t="shared" ref="M23:M31" si="2">K23*365/J23</f>
        <v>0</v>
      </c>
    </row>
    <row r="24" spans="8:13">
      <c r="H24" s="3524" t="s">
        <v>3668</v>
      </c>
      <c r="I24" s="3524"/>
      <c r="J24" s="3524">
        <v>27028</v>
      </c>
      <c r="K24" s="3524"/>
      <c r="L24" s="3524"/>
      <c r="M24" s="3573">
        <f t="shared" si="2"/>
        <v>0</v>
      </c>
    </row>
    <row r="25" spans="8:13">
      <c r="H25" s="3524" t="s">
        <v>3673</v>
      </c>
      <c r="I25" s="3524"/>
      <c r="J25" s="3524">
        <v>32823</v>
      </c>
      <c r="K25" s="3524"/>
      <c r="L25" s="3524"/>
      <c r="M25" s="3573">
        <f t="shared" si="2"/>
        <v>0</v>
      </c>
    </row>
    <row r="26" spans="8:13">
      <c r="H26" s="3524" t="s">
        <v>3674</v>
      </c>
      <c r="I26" s="3524"/>
      <c r="J26" s="3524">
        <v>63726</v>
      </c>
      <c r="K26" s="3524"/>
      <c r="L26" s="3524"/>
      <c r="M26" s="3573">
        <f t="shared" si="2"/>
        <v>0</v>
      </c>
    </row>
    <row r="27" spans="8:13">
      <c r="H27" s="3524" t="s">
        <v>3675</v>
      </c>
      <c r="I27" s="3524"/>
      <c r="J27" s="3524">
        <v>34400</v>
      </c>
      <c r="K27" s="3524">
        <v>4.5999999999999996</v>
      </c>
      <c r="L27" s="3524"/>
      <c r="M27" s="3573">
        <f t="shared" si="2"/>
        <v>4.8808139534883714E-2</v>
      </c>
    </row>
    <row r="28" spans="8:13">
      <c r="H28" s="3524" t="s">
        <v>3669</v>
      </c>
      <c r="I28" s="3524"/>
      <c r="J28" s="3524">
        <v>37422</v>
      </c>
      <c r="K28" s="3524">
        <v>4.5999999999999996</v>
      </c>
      <c r="L28" s="3524"/>
      <c r="M28" s="3573">
        <f t="shared" si="2"/>
        <v>4.4866655977767081E-2</v>
      </c>
    </row>
    <row r="29" spans="8:13">
      <c r="H29" s="3524" t="s">
        <v>3677</v>
      </c>
      <c r="I29" s="3524"/>
      <c r="J29" s="3524">
        <v>52627</v>
      </c>
      <c r="K29" s="3524">
        <v>8.1999999999999993</v>
      </c>
      <c r="L29" s="3524"/>
      <c r="M29" s="3573">
        <f t="shared" si="2"/>
        <v>5.6871947859463763E-2</v>
      </c>
    </row>
    <row r="30" spans="8:13">
      <c r="H30" s="3524" t="s">
        <v>3677</v>
      </c>
      <c r="I30" s="3524"/>
      <c r="J30" s="3524">
        <v>47193</v>
      </c>
      <c r="K30" s="3524">
        <v>8.1999999999999993</v>
      </c>
      <c r="L30" s="3524"/>
      <c r="M30" s="3573">
        <f t="shared" si="2"/>
        <v>6.342042252028901E-2</v>
      </c>
    </row>
    <row r="31" spans="8:13">
      <c r="H31" s="3524" t="s">
        <v>3676</v>
      </c>
      <c r="I31" s="3524"/>
      <c r="J31" s="3524">
        <v>30913</v>
      </c>
      <c r="K31" s="3524">
        <v>3</v>
      </c>
      <c r="L31" s="3524"/>
      <c r="M31" s="3573">
        <f t="shared" si="2"/>
        <v>3.5421990748228903E-2</v>
      </c>
    </row>
    <row r="32" spans="8:13">
      <c r="H32" s="3574"/>
      <c r="I32" s="3574"/>
      <c r="J32" s="3574"/>
      <c r="K32" s="3574"/>
      <c r="L32" s="3574"/>
      <c r="M32" s="3578"/>
    </row>
    <row r="33" spans="8:13">
      <c r="H33" s="3574"/>
      <c r="I33" s="3574"/>
      <c r="J33" s="3574"/>
      <c r="K33" s="3574"/>
      <c r="L33" s="3574"/>
      <c r="M33" s="3578"/>
    </row>
    <row r="34" spans="8:13">
      <c r="H34" s="3523" t="s">
        <v>3665</v>
      </c>
    </row>
    <row r="35" spans="8:13">
      <c r="H35" s="3524" t="s">
        <v>3606</v>
      </c>
      <c r="I35" s="3524" t="s">
        <v>3644</v>
      </c>
      <c r="J35" s="3524" t="s">
        <v>3660</v>
      </c>
      <c r="K35" s="3524" t="s">
        <v>3607</v>
      </c>
      <c r="L35" s="3524" t="s">
        <v>3643</v>
      </c>
      <c r="M35" s="3524"/>
    </row>
    <row r="36" spans="8:13">
      <c r="H36" s="3524" t="s">
        <v>3659</v>
      </c>
      <c r="I36" s="3524">
        <v>90.39</v>
      </c>
      <c r="J36" s="3576">
        <v>15889</v>
      </c>
      <c r="K36" s="3524" t="s">
        <v>3601</v>
      </c>
      <c r="L36" s="3524">
        <f>ROUND(J36*E7,0)</f>
        <v>13241</v>
      </c>
      <c r="M36" s="3524"/>
    </row>
    <row r="37" spans="8:13">
      <c r="H37" s="3524" t="s">
        <v>3661</v>
      </c>
      <c r="I37" s="3576">
        <v>185.11</v>
      </c>
      <c r="J37" s="3524">
        <v>16361</v>
      </c>
      <c r="K37" s="3524" t="s">
        <v>3601</v>
      </c>
      <c r="L37" s="3524">
        <f>ROUND(J37*E7,0)</f>
        <v>13634</v>
      </c>
      <c r="M37" s="3524"/>
    </row>
    <row r="38" spans="8:13">
      <c r="H38" s="3524" t="s">
        <v>3662</v>
      </c>
      <c r="I38" s="3576">
        <v>1114</v>
      </c>
      <c r="J38" s="3576">
        <v>19500</v>
      </c>
      <c r="K38" s="3524" t="s">
        <v>3601</v>
      </c>
      <c r="L38" s="3524">
        <f>ROUND(J38*E7,0)</f>
        <v>16250</v>
      </c>
      <c r="M38" s="3524"/>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31" zoomScaleNormal="70" zoomScaleSheetLayoutView="100" workbookViewId="0">
      <selection activeCell="H95" sqref="H9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673</v>
      </c>
      <c r="E1" s="3421" t="s">
        <v>3392</v>
      </c>
      <c r="F1" s="1877" t="s">
        <v>3464</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7.0000000000000007E-2</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1.5</v>
      </c>
      <c r="C3" s="354" t="s">
        <v>1766</v>
      </c>
      <c r="D3" s="353">
        <f>IF(D1="",'数据-汇总表'!E3,SUMIF('数据-汇总表'!$C19:$C33,D1,'数据-汇总表'!$E19:$E33))</f>
        <v>466.83</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1767</v>
      </c>
      <c r="B4" s="356"/>
      <c r="C4" s="3818" t="s">
        <v>1768</v>
      </c>
      <c r="D4" s="3819"/>
      <c r="E4" s="3820" t="s">
        <v>1769</v>
      </c>
      <c r="F4" s="3821"/>
      <c r="G4" s="3818" t="s">
        <v>1770</v>
      </c>
      <c r="H4" s="3819"/>
      <c r="I4" s="3818" t="s">
        <v>1771</v>
      </c>
      <c r="J4" s="3819"/>
      <c r="K4" s="559" t="s">
        <v>1772</v>
      </c>
      <c r="L4" s="2708"/>
      <c r="M4" s="2709"/>
      <c r="N4" s="2709"/>
      <c r="O4" s="2709"/>
      <c r="P4" s="3822" t="s">
        <v>1773</v>
      </c>
      <c r="Q4" s="3823"/>
      <c r="R4" s="3828" t="s">
        <v>1769</v>
      </c>
      <c r="S4" s="3829"/>
      <c r="T4" s="3828" t="s">
        <v>1770</v>
      </c>
      <c r="U4" s="3829"/>
      <c r="V4" s="3834" t="s">
        <v>1771</v>
      </c>
      <c r="W4" s="3834"/>
      <c r="X4" s="1353"/>
      <c r="Y4" s="3828" t="s">
        <v>1773</v>
      </c>
      <c r="Z4" s="3829"/>
      <c r="AA4" s="3815" t="s">
        <v>1769</v>
      </c>
      <c r="AB4" s="3834" t="s">
        <v>1770</v>
      </c>
      <c r="AC4" s="3815" t="s">
        <v>1771</v>
      </c>
    </row>
    <row r="5" spans="1:29" ht="15">
      <c r="A5" s="358"/>
      <c r="B5" s="359"/>
      <c r="C5" s="3837" t="s">
        <v>1671</v>
      </c>
      <c r="D5" s="3838"/>
      <c r="E5" s="3844" t="str">
        <f>租金案例!H5</f>
        <v>小区路146号</v>
      </c>
      <c r="F5" s="3845"/>
      <c r="G5" s="3837" t="str">
        <f>租金案例!H6</f>
        <v>西平街甲9号</v>
      </c>
      <c r="H5" s="3838"/>
      <c r="I5" s="3837" t="str">
        <f>租金案例!H7</f>
        <v>机场附近万家one超市</v>
      </c>
      <c r="J5" s="3838"/>
      <c r="K5" s="559"/>
      <c r="L5" s="2708"/>
      <c r="M5" s="2709"/>
      <c r="N5" s="2709"/>
      <c r="O5" s="2709"/>
      <c r="P5" s="3824"/>
      <c r="Q5" s="3825"/>
      <c r="R5" s="3830"/>
      <c r="S5" s="3831"/>
      <c r="T5" s="3830"/>
      <c r="U5" s="3831"/>
      <c r="V5" s="3834"/>
      <c r="W5" s="3834"/>
      <c r="X5" s="1353"/>
      <c r="Y5" s="3830"/>
      <c r="Z5" s="3831"/>
      <c r="AA5" s="3816"/>
      <c r="AB5" s="3834"/>
      <c r="AC5" s="3816"/>
    </row>
    <row r="6" spans="1:29" ht="15.75" thickBot="1">
      <c r="A6" s="360"/>
      <c r="B6" s="361"/>
      <c r="C6" s="3835" t="s">
        <v>1675</v>
      </c>
      <c r="D6" s="3836"/>
      <c r="E6" s="3842" t="s">
        <v>1675</v>
      </c>
      <c r="F6" s="3843"/>
      <c r="G6" s="3835" t="s">
        <v>1675</v>
      </c>
      <c r="H6" s="3836"/>
      <c r="I6" s="3835" t="s">
        <v>1675</v>
      </c>
      <c r="J6" s="3836"/>
      <c r="K6" s="559" t="s">
        <v>1676</v>
      </c>
      <c r="L6" s="2708"/>
      <c r="M6" s="2709"/>
      <c r="N6" s="2709"/>
      <c r="O6" s="2709"/>
      <c r="P6" s="3826"/>
      <c r="Q6" s="3827"/>
      <c r="R6" s="3830"/>
      <c r="S6" s="3831"/>
      <c r="T6" s="3832"/>
      <c r="U6" s="3833"/>
      <c r="V6" s="3834"/>
      <c r="W6" s="3834"/>
      <c r="X6" s="1353"/>
      <c r="Y6" s="3832"/>
      <c r="Z6" s="3833"/>
      <c r="AA6" s="3817"/>
      <c r="AB6" s="3834"/>
      <c r="AC6" s="3817"/>
    </row>
    <row r="7" spans="1:29" s="108" customFormat="1" ht="15.75" thickBot="1">
      <c r="A7" s="362" t="s">
        <v>1677</v>
      </c>
      <c r="B7" s="363"/>
      <c r="C7" s="364">
        <f>'数据-取费表'!B2</f>
        <v>44971</v>
      </c>
      <c r="D7" s="365">
        <v>100</v>
      </c>
      <c r="E7" s="366">
        <v>44958</v>
      </c>
      <c r="F7" s="367">
        <f>SUMIF(58:58,YEAR(E7)&amp;"-"&amp;MONTH(E7),59:59)</f>
        <v>100</v>
      </c>
      <c r="G7" s="366">
        <v>44958</v>
      </c>
      <c r="H7" s="365">
        <f>SUMIF(58:58,YEAR(G7)&amp;"-"&amp;MONTH(G7),59:59)</f>
        <v>100</v>
      </c>
      <c r="I7" s="366">
        <v>44958</v>
      </c>
      <c r="J7" s="365">
        <f>SUMIF(58:58,YEAR(I7)&amp;"-"&amp;MONTH(I7),59:59)</f>
        <v>100</v>
      </c>
      <c r="K7" s="560"/>
      <c r="L7" s="2710"/>
      <c r="M7" s="2711"/>
      <c r="N7" s="2711"/>
      <c r="O7" s="2711"/>
      <c r="P7" s="3839" t="s">
        <v>1678</v>
      </c>
      <c r="Q7" s="3841"/>
      <c r="R7" s="699" t="s">
        <v>14</v>
      </c>
      <c r="S7" s="700">
        <f t="shared" ref="S7:S15" si="0">F7</f>
        <v>100</v>
      </c>
      <c r="T7" s="699" t="s">
        <v>14</v>
      </c>
      <c r="U7" s="700">
        <f t="shared" ref="U7:U15" si="1">H7</f>
        <v>100</v>
      </c>
      <c r="V7" s="699" t="s">
        <v>14</v>
      </c>
      <c r="W7" s="700">
        <f t="shared" ref="W7:W15" si="2">J7</f>
        <v>100</v>
      </c>
      <c r="X7" s="701"/>
      <c r="Y7" s="3839" t="s">
        <v>1678</v>
      </c>
      <c r="Z7" s="3840"/>
      <c r="AA7" s="702">
        <f>D7/F7</f>
        <v>1</v>
      </c>
      <c r="AB7" s="702">
        <f>D7/H7</f>
        <v>1</v>
      </c>
      <c r="AC7" s="702">
        <f>D7/J7</f>
        <v>1</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0"/>
      <c r="M8" s="2711"/>
      <c r="N8" s="2711"/>
      <c r="O8" s="2711"/>
      <c r="P8" s="3839" t="s">
        <v>1681</v>
      </c>
      <c r="Q8" s="3840"/>
      <c r="R8" s="699" t="s">
        <v>14</v>
      </c>
      <c r="S8" s="700">
        <f t="shared" si="0"/>
        <v>100</v>
      </c>
      <c r="T8" s="699" t="s">
        <v>14</v>
      </c>
      <c r="U8" s="700">
        <f t="shared" si="1"/>
        <v>100</v>
      </c>
      <c r="V8" s="699" t="s">
        <v>14</v>
      </c>
      <c r="W8" s="700">
        <f t="shared" si="2"/>
        <v>100</v>
      </c>
      <c r="X8" s="701"/>
      <c r="Y8" s="3839" t="s">
        <v>1681</v>
      </c>
      <c r="Z8" s="3840"/>
      <c r="AA8" s="702">
        <f t="shared" ref="AA8:AA46" si="3">D8/F8</f>
        <v>1</v>
      </c>
      <c r="AB8" s="702">
        <f t="shared" ref="AB8:AB46" si="4">D8/H8</f>
        <v>1</v>
      </c>
      <c r="AC8" s="702">
        <f t="shared" ref="AC8:AC46" si="5">D8/J8</f>
        <v>1</v>
      </c>
    </row>
    <row r="9" spans="1:29" s="108" customFormat="1">
      <c r="A9" s="369" t="s">
        <v>1682</v>
      </c>
      <c r="B9" s="63" t="s">
        <v>1683</v>
      </c>
      <c r="C9" s="3443" t="s">
        <v>3633</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814" t="s">
        <v>1684</v>
      </c>
      <c r="Q9" s="1341" t="str">
        <f t="shared" ref="Q9:Q15" si="6">B9</f>
        <v>用途</v>
      </c>
      <c r="R9" s="699" t="s">
        <v>14</v>
      </c>
      <c r="S9" s="700">
        <f t="shared" si="0"/>
        <v>100</v>
      </c>
      <c r="T9" s="699" t="s">
        <v>14</v>
      </c>
      <c r="U9" s="700">
        <f t="shared" si="1"/>
        <v>100</v>
      </c>
      <c r="V9" s="699" t="s">
        <v>14</v>
      </c>
      <c r="W9" s="700">
        <f t="shared" si="2"/>
        <v>100</v>
      </c>
      <c r="X9" s="701"/>
      <c r="Y9" s="3679"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814"/>
      <c r="Q10" s="1341" t="str">
        <f t="shared" si="6"/>
        <v>土地使用年限（年）</v>
      </c>
      <c r="R10" s="699" t="s">
        <v>14</v>
      </c>
      <c r="S10" s="700">
        <f t="shared" si="0"/>
        <v>100</v>
      </c>
      <c r="T10" s="699" t="s">
        <v>14</v>
      </c>
      <c r="U10" s="700">
        <f t="shared" si="1"/>
        <v>100</v>
      </c>
      <c r="V10" s="699" t="s">
        <v>14</v>
      </c>
      <c r="W10" s="700">
        <f t="shared" si="2"/>
        <v>100</v>
      </c>
      <c r="X10" s="701"/>
      <c r="Y10" s="3679"/>
      <c r="Z10" s="52" t="str">
        <f t="shared" si="7"/>
        <v>土地使用年限（年）</v>
      </c>
      <c r="AA10" s="702">
        <f t="shared" si="3"/>
        <v>1</v>
      </c>
      <c r="AB10" s="702">
        <f t="shared" si="4"/>
        <v>1</v>
      </c>
      <c r="AC10" s="702">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14"/>
      <c r="Q11" s="1341" t="str">
        <f t="shared" si="6"/>
        <v>容积率</v>
      </c>
      <c r="R11" s="699" t="s">
        <v>14</v>
      </c>
      <c r="S11" s="700">
        <f t="shared" si="0"/>
        <v>100</v>
      </c>
      <c r="T11" s="699" t="s">
        <v>14</v>
      </c>
      <c r="U11" s="700">
        <f t="shared" si="1"/>
        <v>100</v>
      </c>
      <c r="V11" s="699" t="s">
        <v>14</v>
      </c>
      <c r="W11" s="700">
        <f t="shared" si="2"/>
        <v>100</v>
      </c>
      <c r="X11" s="701"/>
      <c r="Y11" s="3679"/>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14"/>
      <c r="Q12" s="1341">
        <f t="shared" si="6"/>
        <v>111</v>
      </c>
      <c r="R12" s="699" t="s">
        <v>14</v>
      </c>
      <c r="S12" s="700">
        <f t="shared" si="0"/>
        <v>100</v>
      </c>
      <c r="T12" s="699" t="s">
        <v>14</v>
      </c>
      <c r="U12" s="700">
        <f t="shared" si="1"/>
        <v>100</v>
      </c>
      <c r="V12" s="699" t="s">
        <v>14</v>
      </c>
      <c r="W12" s="700">
        <f t="shared" si="2"/>
        <v>100</v>
      </c>
      <c r="X12" s="701"/>
      <c r="Y12" s="367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14"/>
      <c r="Q13" s="1341">
        <f t="shared" si="6"/>
        <v>111</v>
      </c>
      <c r="R13" s="699" t="s">
        <v>14</v>
      </c>
      <c r="S13" s="700">
        <f t="shared" si="0"/>
        <v>100</v>
      </c>
      <c r="T13" s="699" t="s">
        <v>14</v>
      </c>
      <c r="U13" s="700">
        <f t="shared" si="1"/>
        <v>100</v>
      </c>
      <c r="V13" s="699" t="s">
        <v>14</v>
      </c>
      <c r="W13" s="700">
        <f t="shared" si="2"/>
        <v>100</v>
      </c>
      <c r="X13" s="701"/>
      <c r="Y13" s="367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14"/>
      <c r="Q14" s="1341">
        <f t="shared" si="6"/>
        <v>111</v>
      </c>
      <c r="R14" s="699" t="s">
        <v>14</v>
      </c>
      <c r="S14" s="700">
        <f t="shared" si="0"/>
        <v>100</v>
      </c>
      <c r="T14" s="699" t="s">
        <v>14</v>
      </c>
      <c r="U14" s="700">
        <f t="shared" si="1"/>
        <v>100</v>
      </c>
      <c r="V14" s="699" t="s">
        <v>14</v>
      </c>
      <c r="W14" s="700">
        <f t="shared" si="2"/>
        <v>100</v>
      </c>
      <c r="X14" s="701"/>
      <c r="Y14" s="3679"/>
      <c r="Z14" s="52">
        <f t="shared" si="7"/>
        <v>111</v>
      </c>
      <c r="AA14" s="702">
        <f t="shared" si="3"/>
        <v>1</v>
      </c>
      <c r="AB14" s="702">
        <f t="shared" si="4"/>
        <v>1</v>
      </c>
      <c r="AC14" s="702">
        <f t="shared" si="5"/>
        <v>1</v>
      </c>
    </row>
    <row r="15" spans="1:29" ht="32.25" customHeight="1">
      <c r="A15" s="391" t="s">
        <v>1688</v>
      </c>
      <c r="B15" s="61" t="s">
        <v>1775</v>
      </c>
      <c r="C15" s="1894" t="str">
        <f>估价对象房地状况!C4</f>
        <v>周边以配套商业为主</v>
      </c>
      <c r="D15" s="392">
        <v>100</v>
      </c>
      <c r="E15" s="393"/>
      <c r="F15" s="394">
        <f>SUMIF(76:76,E16,77:77)-SUMIF(76:76,C16,77:77)+100</f>
        <v>105</v>
      </c>
      <c r="G15" s="395"/>
      <c r="H15" s="392">
        <f>SUMIF(76:76,G16,77:77)-SUMIF(76:76,C16,77:77)+100</f>
        <v>110</v>
      </c>
      <c r="I15" s="393"/>
      <c r="J15" s="392">
        <f>SUMIF(76:76,I16,77:77)-SUMIF(76:76,C16,77:77)+100</f>
        <v>105</v>
      </c>
      <c r="K15" s="563">
        <v>5</v>
      </c>
      <c r="L15" s="2715"/>
      <c r="M15" s="2709"/>
      <c r="N15" s="2709"/>
      <c r="O15" s="2709"/>
      <c r="P15" s="3812" t="s">
        <v>1689</v>
      </c>
      <c r="Q15" s="1350" t="str">
        <f t="shared" si="6"/>
        <v>商业繁华度</v>
      </c>
      <c r="R15" s="703" t="s">
        <v>14</v>
      </c>
      <c r="S15" s="704">
        <f t="shared" si="0"/>
        <v>105</v>
      </c>
      <c r="T15" s="703" t="s">
        <v>14</v>
      </c>
      <c r="U15" s="704">
        <f t="shared" si="1"/>
        <v>110</v>
      </c>
      <c r="V15" s="703" t="s">
        <v>14</v>
      </c>
      <c r="W15" s="704">
        <f t="shared" si="2"/>
        <v>105</v>
      </c>
      <c r="X15" s="1353"/>
      <c r="Y15" s="3805" t="s">
        <v>1689</v>
      </c>
      <c r="Z15" s="1354" t="str">
        <f t="shared" si="7"/>
        <v>商业繁华度</v>
      </c>
      <c r="AA15" s="1351">
        <f t="shared" si="3"/>
        <v>0.95238095238095233</v>
      </c>
      <c r="AB15" s="1351">
        <f t="shared" si="4"/>
        <v>0.90909090909090906</v>
      </c>
      <c r="AC15" s="1351">
        <f t="shared" si="5"/>
        <v>0.95238095238095233</v>
      </c>
    </row>
    <row r="16" spans="1:29" ht="15">
      <c r="A16" s="379"/>
      <c r="B16" s="397"/>
      <c r="C16" s="398" t="s">
        <v>3617</v>
      </c>
      <c r="D16" s="399"/>
      <c r="E16" s="398" t="s">
        <v>3616</v>
      </c>
      <c r="F16" s="400"/>
      <c r="G16" s="398" t="s">
        <v>3396</v>
      </c>
      <c r="H16" s="401"/>
      <c r="I16" s="398" t="s">
        <v>3616</v>
      </c>
      <c r="J16" s="399"/>
      <c r="K16" s="564"/>
      <c r="L16" s="2715"/>
      <c r="M16" s="2709"/>
      <c r="N16" s="2709"/>
      <c r="O16" s="2709"/>
      <c r="P16" s="3813"/>
      <c r="Q16" s="1350"/>
      <c r="R16" s="703"/>
      <c r="S16" s="704"/>
      <c r="T16" s="703"/>
      <c r="U16" s="704"/>
      <c r="V16" s="703"/>
      <c r="W16" s="704"/>
      <c r="X16" s="1353"/>
      <c r="Y16" s="3806"/>
      <c r="Z16" s="1354"/>
      <c r="AA16" s="1351">
        <v>1</v>
      </c>
      <c r="AB16" s="1351">
        <v>1</v>
      </c>
      <c r="AC16" s="1351">
        <v>1</v>
      </c>
    </row>
    <row r="17" spans="1:29" ht="85.5">
      <c r="A17" s="379"/>
      <c r="B17" s="402" t="s">
        <v>1257</v>
      </c>
      <c r="C17" s="1898" t="str">
        <f>估价对象房地状况!C6</f>
        <v>周边有359、空港1、3路等，周边道路密集一般，停车便捷程度一般，综合评价交通便捷度较差</v>
      </c>
      <c r="D17" s="401">
        <v>100</v>
      </c>
      <c r="E17" s="403"/>
      <c r="F17" s="404">
        <f>SUMIF(78:78,E18,79:79)-SUMIF(78:78,C18,79:79)+100</f>
        <v>103</v>
      </c>
      <c r="G17" s="405"/>
      <c r="H17" s="406">
        <f>SUMIF(78:78,G18,79:79)-SUMIF(78:78,C18,79:79)+100</f>
        <v>103</v>
      </c>
      <c r="I17" s="403"/>
      <c r="J17" s="406">
        <f>SUMIF(78:78,I18,79:79)-SUMIF(78:78,C18,79:79)+100</f>
        <v>103</v>
      </c>
      <c r="K17" s="563">
        <v>3</v>
      </c>
      <c r="L17" s="2715"/>
      <c r="M17" s="2709"/>
      <c r="N17" s="2709"/>
      <c r="O17" s="2709"/>
      <c r="P17" s="3813"/>
      <c r="Q17" s="1350" t="str">
        <f>B17</f>
        <v>交通便捷度</v>
      </c>
      <c r="R17" s="703" t="s">
        <v>14</v>
      </c>
      <c r="S17" s="704">
        <f>F17</f>
        <v>103</v>
      </c>
      <c r="T17" s="703" t="s">
        <v>14</v>
      </c>
      <c r="U17" s="704">
        <f>H17</f>
        <v>103</v>
      </c>
      <c r="V17" s="703" t="s">
        <v>14</v>
      </c>
      <c r="W17" s="704">
        <f>J17</f>
        <v>103</v>
      </c>
      <c r="X17" s="1353"/>
      <c r="Y17" s="3806"/>
      <c r="Z17" s="1354" t="str">
        <f>Q17</f>
        <v>交通便捷度</v>
      </c>
      <c r="AA17" s="1351">
        <f t="shared" si="3"/>
        <v>0.970873786407767</v>
      </c>
      <c r="AB17" s="1351">
        <f t="shared" si="4"/>
        <v>0.970873786407767</v>
      </c>
      <c r="AC17" s="1351">
        <f t="shared" si="5"/>
        <v>0.970873786407767</v>
      </c>
    </row>
    <row r="18" spans="1:29" ht="15">
      <c r="A18" s="379"/>
      <c r="B18" s="407"/>
      <c r="C18" s="1899" t="s">
        <v>3617</v>
      </c>
      <c r="D18" s="401"/>
      <c r="E18" s="398" t="s">
        <v>3616</v>
      </c>
      <c r="F18" s="404"/>
      <c r="G18" s="398" t="s">
        <v>3616</v>
      </c>
      <c r="H18" s="399"/>
      <c r="I18" s="398" t="s">
        <v>3616</v>
      </c>
      <c r="J18" s="399"/>
      <c r="K18" s="564"/>
      <c r="L18" s="2715"/>
      <c r="M18" s="2709"/>
      <c r="N18" s="2709"/>
      <c r="O18" s="2709"/>
      <c r="P18" s="3813"/>
      <c r="Q18" s="1350"/>
      <c r="R18" s="703"/>
      <c r="S18" s="704"/>
      <c r="T18" s="703"/>
      <c r="U18" s="704"/>
      <c r="V18" s="703"/>
      <c r="W18" s="704"/>
      <c r="X18" s="1353"/>
      <c r="Y18" s="3806"/>
      <c r="Z18" s="1354"/>
      <c r="AA18" s="1351">
        <v>1</v>
      </c>
      <c r="AB18" s="1351">
        <v>1</v>
      </c>
      <c r="AC18" s="1351">
        <v>1</v>
      </c>
    </row>
    <row r="19" spans="1:29" ht="99.75">
      <c r="A19" s="379"/>
      <c r="B19" s="402" t="s">
        <v>1776</v>
      </c>
      <c r="C19" s="1898" t="str">
        <f>估价对象房地状况!C7</f>
        <v>估价对象所在区域银行、购物场所、学校等公共配套设施齐备，综合评价公共配套设施水平一般。</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13"/>
      <c r="Q19" s="1350" t="str">
        <f>B19</f>
        <v>公共配套设施</v>
      </c>
      <c r="R19" s="703" t="s">
        <v>14</v>
      </c>
      <c r="S19" s="704">
        <f>F19</f>
        <v>100</v>
      </c>
      <c r="T19" s="703" t="s">
        <v>14</v>
      </c>
      <c r="U19" s="704">
        <f>H19</f>
        <v>100</v>
      </c>
      <c r="V19" s="703" t="s">
        <v>14</v>
      </c>
      <c r="W19" s="704">
        <f>J19</f>
        <v>100</v>
      </c>
      <c r="X19" s="1353"/>
      <c r="Y19" s="3806"/>
      <c r="Z19" s="1354" t="str">
        <f>Q19</f>
        <v>公共配套设施</v>
      </c>
      <c r="AA19" s="1351">
        <f t="shared" si="3"/>
        <v>1</v>
      </c>
      <c r="AB19" s="1351">
        <f t="shared" si="4"/>
        <v>1</v>
      </c>
      <c r="AC19" s="1351">
        <f t="shared" si="5"/>
        <v>1</v>
      </c>
    </row>
    <row r="20" spans="1:29" ht="15">
      <c r="A20" s="379"/>
      <c r="B20" s="407"/>
      <c r="C20" s="398" t="s">
        <v>3616</v>
      </c>
      <c r="D20" s="399"/>
      <c r="E20" s="398" t="s">
        <v>3616</v>
      </c>
      <c r="F20" s="400"/>
      <c r="G20" s="398" t="s">
        <v>3616</v>
      </c>
      <c r="H20" s="399"/>
      <c r="I20" s="398" t="s">
        <v>3616</v>
      </c>
      <c r="J20" s="399"/>
      <c r="K20" s="564"/>
      <c r="L20" s="2715"/>
      <c r="M20" s="2709"/>
      <c r="N20" s="2709"/>
      <c r="O20" s="2709"/>
      <c r="P20" s="3813"/>
      <c r="Q20" s="1350"/>
      <c r="R20" s="703"/>
      <c r="S20" s="704"/>
      <c r="T20" s="703"/>
      <c r="U20" s="704"/>
      <c r="V20" s="703"/>
      <c r="W20" s="704"/>
      <c r="X20" s="1353"/>
      <c r="Y20" s="3806"/>
      <c r="Z20" s="1354"/>
      <c r="AA20" s="1351">
        <v>1</v>
      </c>
      <c r="AB20" s="1351">
        <v>1</v>
      </c>
      <c r="AC20" s="1351">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13"/>
      <c r="Q21" s="1350" t="str">
        <f>B21</f>
        <v>基础设施水平</v>
      </c>
      <c r="R21" s="703" t="s">
        <v>14</v>
      </c>
      <c r="S21" s="704">
        <f>F21</f>
        <v>100</v>
      </c>
      <c r="T21" s="703" t="s">
        <v>14</v>
      </c>
      <c r="U21" s="704">
        <f>H21</f>
        <v>100</v>
      </c>
      <c r="V21" s="703" t="s">
        <v>14</v>
      </c>
      <c r="W21" s="704">
        <f>J21</f>
        <v>100</v>
      </c>
      <c r="X21" s="1353"/>
      <c r="Y21" s="3806"/>
      <c r="Z21" s="1354" t="str">
        <f>Q21</f>
        <v>基础设施水平</v>
      </c>
      <c r="AA21" s="1351">
        <f t="shared" ref="AA21" si="8">D21/F21</f>
        <v>1</v>
      </c>
      <c r="AB21" s="1351">
        <f t="shared" ref="AB21" si="9">D21/H21</f>
        <v>1</v>
      </c>
      <c r="AC21" s="1351">
        <f t="shared" ref="AC21" si="10">D21/J21</f>
        <v>1</v>
      </c>
    </row>
    <row r="22" spans="1:29" ht="15">
      <c r="A22" s="379"/>
      <c r="B22" s="1129"/>
      <c r="C22" s="1899" t="s">
        <v>3397</v>
      </c>
      <c r="D22" s="399"/>
      <c r="E22" s="1899" t="s">
        <v>3397</v>
      </c>
      <c r="F22" s="400"/>
      <c r="G22" s="1899" t="s">
        <v>3397</v>
      </c>
      <c r="H22" s="399"/>
      <c r="I22" s="1899" t="s">
        <v>3397</v>
      </c>
      <c r="J22" s="399"/>
      <c r="K22" s="1128"/>
      <c r="L22" s="2715"/>
      <c r="M22" s="2709"/>
      <c r="N22" s="2709"/>
      <c r="O22" s="2709"/>
      <c r="P22" s="3813"/>
      <c r="Q22" s="1350"/>
      <c r="R22" s="703"/>
      <c r="S22" s="704"/>
      <c r="T22" s="703"/>
      <c r="U22" s="704"/>
      <c r="V22" s="703"/>
      <c r="W22" s="704"/>
      <c r="X22" s="1353"/>
      <c r="Y22" s="3806"/>
      <c r="Z22" s="1354"/>
      <c r="AA22" s="1351">
        <v>1</v>
      </c>
      <c r="AB22" s="1351">
        <v>1</v>
      </c>
      <c r="AC22" s="1351">
        <v>1</v>
      </c>
    </row>
    <row r="23" spans="1:29" ht="85.5">
      <c r="A23" s="379"/>
      <c r="B23" s="3990" t="s">
        <v>1259</v>
      </c>
      <c r="C23" s="1953" t="str">
        <f>估价对象房地状况!C9</f>
        <v>区域内有国航大学、天竺公园等自然及人文环境，综合评价自然及人文环境状况一般。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13"/>
      <c r="Q23" s="1350" t="str">
        <f>B23</f>
        <v>自然及人文环境</v>
      </c>
      <c r="R23" s="703" t="s">
        <v>14</v>
      </c>
      <c r="S23" s="704">
        <f>F23</f>
        <v>100</v>
      </c>
      <c r="T23" s="703" t="s">
        <v>14</v>
      </c>
      <c r="U23" s="704">
        <f>H23</f>
        <v>100</v>
      </c>
      <c r="V23" s="703" t="s">
        <v>14</v>
      </c>
      <c r="W23" s="704">
        <f>J23</f>
        <v>100</v>
      </c>
      <c r="X23" s="1353"/>
      <c r="Y23" s="3806"/>
      <c r="Z23" s="1354" t="str">
        <f>Q23</f>
        <v>自然及人文环境</v>
      </c>
      <c r="AA23" s="1351">
        <f t="shared" si="3"/>
        <v>1</v>
      </c>
      <c r="AB23" s="1351">
        <f t="shared" si="4"/>
        <v>1</v>
      </c>
      <c r="AC23" s="1351">
        <f t="shared" si="5"/>
        <v>1</v>
      </c>
    </row>
    <row r="24" spans="1:29" ht="15">
      <c r="A24" s="379"/>
      <c r="B24" s="407"/>
      <c r="C24" s="398" t="s">
        <v>3616</v>
      </c>
      <c r="D24" s="399"/>
      <c r="E24" s="398" t="s">
        <v>3616</v>
      </c>
      <c r="F24" s="400"/>
      <c r="G24" s="398" t="s">
        <v>3616</v>
      </c>
      <c r="H24" s="399"/>
      <c r="I24" s="398" t="s">
        <v>3616</v>
      </c>
      <c r="J24" s="399"/>
      <c r="K24" s="564"/>
      <c r="L24" s="2715"/>
      <c r="M24" s="2709"/>
      <c r="N24" s="2709"/>
      <c r="O24" s="2709"/>
      <c r="P24" s="3813"/>
      <c r="Q24" s="1350"/>
      <c r="R24" s="703"/>
      <c r="S24" s="704"/>
      <c r="T24" s="703"/>
      <c r="U24" s="704"/>
      <c r="V24" s="703"/>
      <c r="W24" s="704"/>
      <c r="X24" s="1353"/>
      <c r="Y24" s="3806"/>
      <c r="Z24" s="1354"/>
      <c r="AA24" s="1351">
        <v>1</v>
      </c>
      <c r="AB24" s="1351">
        <v>1</v>
      </c>
      <c r="AC24" s="1351">
        <v>1</v>
      </c>
    </row>
    <row r="25" spans="1:29" ht="15">
      <c r="A25" s="379"/>
      <c r="B25" s="375" t="s">
        <v>1778</v>
      </c>
      <c r="C25" s="565" t="s">
        <v>3634</v>
      </c>
      <c r="D25" s="386">
        <v>100</v>
      </c>
      <c r="E25" s="565" t="s">
        <v>3634</v>
      </c>
      <c r="F25" s="412">
        <f>SUMIF(86:86,E25,87:87)-SUMIF(86:86,C25,87:87)+100</f>
        <v>100</v>
      </c>
      <c r="G25" s="565" t="s">
        <v>3634</v>
      </c>
      <c r="H25" s="386">
        <f>SUMIF(86:86,G25,87:87)-SUMIF(86:86,C25,87:87)+100</f>
        <v>100</v>
      </c>
      <c r="I25" s="565" t="s">
        <v>3634</v>
      </c>
      <c r="J25" s="386">
        <f>SUMIF(86:86,I25,87:87)-SUMIF(86:86,C25,87:87)+100</f>
        <v>100</v>
      </c>
      <c r="K25" s="561"/>
      <c r="L25" s="2715"/>
      <c r="M25" s="2709"/>
      <c r="N25" s="2709"/>
      <c r="O25" s="2709"/>
      <c r="P25" s="3813"/>
      <c r="Q25" s="1350" t="str">
        <f t="shared" ref="Q25:Q46" si="11">B25</f>
        <v>临街状况</v>
      </c>
      <c r="R25" s="703" t="s">
        <v>14</v>
      </c>
      <c r="S25" s="704">
        <f>F25</f>
        <v>100</v>
      </c>
      <c r="T25" s="703" t="s">
        <v>14</v>
      </c>
      <c r="U25" s="704">
        <f>H25</f>
        <v>100</v>
      </c>
      <c r="V25" s="703" t="s">
        <v>14</v>
      </c>
      <c r="W25" s="704">
        <f>J25</f>
        <v>100</v>
      </c>
      <c r="X25" s="1353"/>
      <c r="Y25" s="3806"/>
      <c r="Z25" s="1354" t="str">
        <f>Q25</f>
        <v>临街状况</v>
      </c>
      <c r="AA25" s="1351">
        <f t="shared" si="3"/>
        <v>1</v>
      </c>
      <c r="AB25" s="1351">
        <f t="shared" si="4"/>
        <v>1</v>
      </c>
      <c r="AC25" s="1351">
        <f t="shared" si="5"/>
        <v>1</v>
      </c>
    </row>
    <row r="26" spans="1:29" ht="15">
      <c r="A26" s="379"/>
      <c r="B26" s="1131" t="s">
        <v>1779</v>
      </c>
      <c r="C26" s="3531"/>
      <c r="D26" s="386">
        <v>100</v>
      </c>
      <c r="E26" s="3531"/>
      <c r="F26" s="412">
        <f>SUMIF(88:88,E26,89:89)-SUMIF(88:88,C26,89:89)+100</f>
        <v>100</v>
      </c>
      <c r="G26" s="3531"/>
      <c r="H26" s="386">
        <f>SUMIF(88:88,G26,89:89)-SUMIF(88:88,C26,89:89)+100</f>
        <v>100</v>
      </c>
      <c r="I26" s="3531"/>
      <c r="J26" s="386">
        <f>SUMIF(88:88,I26,89:89)-SUMIF(88:88,C26,89:89)+100</f>
        <v>100</v>
      </c>
      <c r="K26" s="562"/>
      <c r="L26" s="2715"/>
      <c r="M26" s="2709"/>
      <c r="N26" s="2709"/>
      <c r="O26" s="2709"/>
      <c r="P26" s="3813"/>
      <c r="Q26" s="1350" t="str">
        <f t="shared" si="11"/>
        <v>平面位置/可视性</v>
      </c>
      <c r="R26" s="703" t="s">
        <v>14</v>
      </c>
      <c r="S26" s="704">
        <f>F26</f>
        <v>100</v>
      </c>
      <c r="T26" s="703" t="s">
        <v>14</v>
      </c>
      <c r="U26" s="704">
        <f>H26</f>
        <v>100</v>
      </c>
      <c r="V26" s="703" t="s">
        <v>14</v>
      </c>
      <c r="W26" s="704">
        <f>J26</f>
        <v>100</v>
      </c>
      <c r="X26" s="1353"/>
      <c r="Y26" s="3806"/>
      <c r="Z26" s="1354" t="str">
        <f>Q26</f>
        <v>平面位置/可视性</v>
      </c>
      <c r="AA26" s="1351">
        <f t="shared" si="3"/>
        <v>1</v>
      </c>
      <c r="AB26" s="1351">
        <f t="shared" si="4"/>
        <v>1</v>
      </c>
      <c r="AC26" s="1351">
        <f t="shared" si="5"/>
        <v>1</v>
      </c>
    </row>
    <row r="27" spans="1:29" s="108" customFormat="1" ht="15">
      <c r="A27" s="382"/>
      <c r="B27" s="402" t="s">
        <v>1780</v>
      </c>
      <c r="C27" s="3988" t="s">
        <v>3618</v>
      </c>
      <c r="D27" s="413">
        <v>100</v>
      </c>
      <c r="E27" s="3989" t="s">
        <v>3616</v>
      </c>
      <c r="F27" s="415">
        <f>SUMIF(90:90,E27,91:91)-SUMIF(90:90,C27,91:91)+100</f>
        <v>104</v>
      </c>
      <c r="G27" s="3989" t="s">
        <v>3396</v>
      </c>
      <c r="H27" s="413">
        <f>SUMIF(90:90,G27,91:91)-SUMIF(90:90,C27,91:91)+100</f>
        <v>106</v>
      </c>
      <c r="I27" s="3989" t="s">
        <v>3616</v>
      </c>
      <c r="J27" s="413">
        <f>SUMIF(90:90,I27,91:91)-SUMIF(90:90,C27,91:91)+100</f>
        <v>104</v>
      </c>
      <c r="K27" s="561">
        <v>2</v>
      </c>
      <c r="L27" s="2710"/>
      <c r="M27" s="2711"/>
      <c r="N27" s="2711"/>
      <c r="O27" s="2711"/>
      <c r="P27" s="3813"/>
      <c r="Q27" s="1341" t="str">
        <f t="shared" si="11"/>
        <v>人流量</v>
      </c>
      <c r="R27" s="699" t="s">
        <v>14</v>
      </c>
      <c r="S27" s="700">
        <f>F27</f>
        <v>104</v>
      </c>
      <c r="T27" s="699" t="s">
        <v>14</v>
      </c>
      <c r="U27" s="700">
        <f>H27</f>
        <v>106</v>
      </c>
      <c r="V27" s="699" t="s">
        <v>14</v>
      </c>
      <c r="W27" s="700">
        <f>J27</f>
        <v>104</v>
      </c>
      <c r="X27" s="701"/>
      <c r="Y27" s="3806"/>
      <c r="Z27" s="52" t="str">
        <f>Q27</f>
        <v>人流量</v>
      </c>
      <c r="AA27" s="1351">
        <f>D27/F27</f>
        <v>0.96153846153846156</v>
      </c>
      <c r="AB27" s="1351">
        <f>D27/H27</f>
        <v>0.94339622641509435</v>
      </c>
      <c r="AC27" s="1351">
        <f>D27/J27</f>
        <v>0.96153846153846156</v>
      </c>
    </row>
    <row r="28" spans="1:29" ht="15">
      <c r="A28" s="379"/>
      <c r="B28" s="375" t="s">
        <v>1781</v>
      </c>
      <c r="C28" s="565" t="s">
        <v>3637</v>
      </c>
      <c r="D28" s="386">
        <v>100</v>
      </c>
      <c r="E28" s="565" t="s">
        <v>3637</v>
      </c>
      <c r="F28" s="412">
        <f>SUMIF(92:92,E28,93:93)-SUMIF(92:92,C28,93:93)+100</f>
        <v>100</v>
      </c>
      <c r="G28" s="565" t="s">
        <v>3637</v>
      </c>
      <c r="H28" s="386">
        <f>SUMIF(92:92,G28,93:93)-SUMIF(92:92,C28,93:93)+100</f>
        <v>100</v>
      </c>
      <c r="I28" s="565" t="s">
        <v>3637</v>
      </c>
      <c r="J28" s="386">
        <f>SUMIF(92:92,I28,93:93)-SUMIF(92:92,C28,93:93)+100</f>
        <v>100</v>
      </c>
      <c r="K28" s="562"/>
      <c r="L28" s="2715"/>
      <c r="M28" s="2709"/>
      <c r="N28" s="2709"/>
      <c r="O28" s="2709"/>
      <c r="P28" s="381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806"/>
      <c r="Z28" s="1354" t="str">
        <f t="shared" ref="Z28:Z46" si="15">Q28</f>
        <v>楼层</v>
      </c>
      <c r="AA28" s="1351">
        <f t="shared" si="3"/>
        <v>1</v>
      </c>
      <c r="AB28" s="1351">
        <f t="shared" si="4"/>
        <v>1</v>
      </c>
      <c r="AC28" s="1351">
        <f t="shared" si="5"/>
        <v>1</v>
      </c>
    </row>
    <row r="29" spans="1:29" ht="15">
      <c r="A29" s="379"/>
      <c r="B29" s="3987" t="s">
        <v>3679</v>
      </c>
      <c r="C29" s="3531" t="s">
        <v>3680</v>
      </c>
      <c r="D29" s="386">
        <v>100</v>
      </c>
      <c r="E29" s="3531" t="s">
        <v>3681</v>
      </c>
      <c r="F29" s="412">
        <f>SUMIF(94:94,E29,95:95)-SUMIF(94:94,C29,95:95)+100</f>
        <v>103</v>
      </c>
      <c r="G29" s="3531" t="s">
        <v>3681</v>
      </c>
      <c r="H29" s="386">
        <f>SUMIF(94:94,G29,95:95)-SUMIF(94:94,C29,95:95)+100</f>
        <v>103</v>
      </c>
      <c r="I29" s="3531" t="s">
        <v>3681</v>
      </c>
      <c r="J29" s="386">
        <f>SUMIF(94:94,I29,95:95)-SUMIF(94:94,C29,95:95)+100</f>
        <v>103</v>
      </c>
      <c r="K29" s="562"/>
      <c r="L29" s="2715"/>
      <c r="M29" s="2709"/>
      <c r="N29" s="2709"/>
      <c r="O29" s="2709"/>
      <c r="P29" s="3813"/>
      <c r="Q29" s="1350" t="str">
        <f t="shared" si="11"/>
        <v>临路情况</v>
      </c>
      <c r="R29" s="703" t="s">
        <v>14</v>
      </c>
      <c r="S29" s="704">
        <f t="shared" si="12"/>
        <v>103</v>
      </c>
      <c r="T29" s="703" t="s">
        <v>14</v>
      </c>
      <c r="U29" s="704">
        <f t="shared" si="13"/>
        <v>103</v>
      </c>
      <c r="V29" s="703" t="s">
        <v>14</v>
      </c>
      <c r="W29" s="704">
        <f t="shared" si="14"/>
        <v>103</v>
      </c>
      <c r="X29" s="1353"/>
      <c r="Y29" s="3806"/>
      <c r="Z29" s="1354" t="str">
        <f t="shared" si="15"/>
        <v>临路情况</v>
      </c>
      <c r="AA29" s="1351">
        <f t="shared" si="3"/>
        <v>0.970873786407767</v>
      </c>
      <c r="AB29" s="1351">
        <f t="shared" si="4"/>
        <v>0.970873786407767</v>
      </c>
      <c r="AC29" s="1351">
        <f t="shared" si="5"/>
        <v>0.970873786407767</v>
      </c>
    </row>
    <row r="30" spans="1:29" ht="15">
      <c r="A30" s="379"/>
      <c r="B30" s="3987" t="s">
        <v>3683</v>
      </c>
      <c r="C30" s="3531" t="s">
        <v>3684</v>
      </c>
      <c r="D30" s="386">
        <v>100</v>
      </c>
      <c r="E30" s="3531" t="s">
        <v>3685</v>
      </c>
      <c r="F30" s="412">
        <f>SUMIF(96:96,E30,97:97)-SUMIF(96:96,C30,97:97)+100</f>
        <v>105</v>
      </c>
      <c r="G30" s="3531" t="s">
        <v>3685</v>
      </c>
      <c r="H30" s="386">
        <f>SUMIF(96:96,G30,97:97)-SUMIF(96:96,C30,97:97)+100</f>
        <v>105</v>
      </c>
      <c r="I30" s="3531" t="s">
        <v>3685</v>
      </c>
      <c r="J30" s="386">
        <f>SUMIF(96:96,I30,97:97)-SUMIF(96:96,C30,97:97)+100</f>
        <v>105</v>
      </c>
      <c r="K30" s="562"/>
      <c r="L30" s="2715"/>
      <c r="M30" s="2709"/>
      <c r="N30" s="2709"/>
      <c r="O30" s="2709"/>
      <c r="P30" s="3813"/>
      <c r="Q30" s="1350" t="str">
        <f t="shared" si="11"/>
        <v>区域产业发展方向</v>
      </c>
      <c r="R30" s="703" t="s">
        <v>14</v>
      </c>
      <c r="S30" s="704">
        <f t="shared" si="12"/>
        <v>105</v>
      </c>
      <c r="T30" s="703" t="s">
        <v>14</v>
      </c>
      <c r="U30" s="704">
        <f t="shared" si="13"/>
        <v>105</v>
      </c>
      <c r="V30" s="703" t="s">
        <v>14</v>
      </c>
      <c r="W30" s="704">
        <f t="shared" si="14"/>
        <v>105</v>
      </c>
      <c r="X30" s="1353"/>
      <c r="Y30" s="3806"/>
      <c r="Z30" s="1354" t="str">
        <f t="shared" si="15"/>
        <v>区域产业发展方向</v>
      </c>
      <c r="AA30" s="1351">
        <f t="shared" si="3"/>
        <v>0.95238095238095233</v>
      </c>
      <c r="AB30" s="1351">
        <f t="shared" si="4"/>
        <v>0.95238095238095233</v>
      </c>
      <c r="AC30" s="1351">
        <f t="shared" si="5"/>
        <v>0.95238095238095233</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13"/>
      <c r="Q31" s="1350">
        <f t="shared" si="11"/>
        <v>111</v>
      </c>
      <c r="R31" s="703" t="s">
        <v>14</v>
      </c>
      <c r="S31" s="704">
        <f t="shared" si="12"/>
        <v>100</v>
      </c>
      <c r="T31" s="703" t="s">
        <v>14</v>
      </c>
      <c r="U31" s="704">
        <f t="shared" si="13"/>
        <v>100</v>
      </c>
      <c r="V31" s="703" t="s">
        <v>14</v>
      </c>
      <c r="W31" s="704">
        <f t="shared" si="14"/>
        <v>100</v>
      </c>
      <c r="X31" s="1353"/>
      <c r="Y31" s="3806"/>
      <c r="Z31" s="1354">
        <f t="shared" si="15"/>
        <v>111</v>
      </c>
      <c r="AA31" s="1351">
        <f t="shared" si="3"/>
        <v>1</v>
      </c>
      <c r="AB31" s="1351">
        <f t="shared" si="4"/>
        <v>1</v>
      </c>
      <c r="AC31" s="1351">
        <f t="shared" si="5"/>
        <v>1</v>
      </c>
    </row>
    <row r="32" spans="1:29" ht="15">
      <c r="A32" s="391" t="s">
        <v>1692</v>
      </c>
      <c r="B32" s="63" t="s">
        <v>1782</v>
      </c>
      <c r="C32" s="1908" t="s">
        <v>3462</v>
      </c>
      <c r="D32" s="418">
        <v>100</v>
      </c>
      <c r="E32" s="1908" t="s">
        <v>3639</v>
      </c>
      <c r="F32" s="412">
        <f>SUMIF(100:100,E32,101:101)-SUMIF(100:100,C32,101:101)+100</f>
        <v>97</v>
      </c>
      <c r="G32" s="1908" t="s">
        <v>3639</v>
      </c>
      <c r="H32" s="386">
        <f>SUMIF(100:100,G32,101:101)-SUMIF(100:100,C32,101:101)+100</f>
        <v>97</v>
      </c>
      <c r="I32" s="1908" t="s">
        <v>3639</v>
      </c>
      <c r="J32" s="418">
        <f>SUMIF(100:100,I32,101:101)-SUMIF(100:100,C32,101:101)+100</f>
        <v>97</v>
      </c>
      <c r="K32" s="561">
        <v>3</v>
      </c>
      <c r="L32" s="2715"/>
      <c r="M32" s="2709"/>
      <c r="N32" s="2709"/>
      <c r="O32" s="2709"/>
      <c r="P32" s="3807" t="s">
        <v>1694</v>
      </c>
      <c r="Q32" s="1350" t="str">
        <f t="shared" si="11"/>
        <v>商业类型</v>
      </c>
      <c r="R32" s="703" t="s">
        <v>14</v>
      </c>
      <c r="S32" s="704">
        <f t="shared" si="12"/>
        <v>97</v>
      </c>
      <c r="T32" s="703" t="s">
        <v>14</v>
      </c>
      <c r="U32" s="704">
        <f t="shared" si="13"/>
        <v>97</v>
      </c>
      <c r="V32" s="703" t="s">
        <v>14</v>
      </c>
      <c r="W32" s="704">
        <f t="shared" si="14"/>
        <v>97</v>
      </c>
      <c r="X32" s="1353"/>
      <c r="Y32" s="3810" t="s">
        <v>1694</v>
      </c>
      <c r="Z32" s="1354" t="str">
        <f t="shared" si="15"/>
        <v>商业类型</v>
      </c>
      <c r="AA32" s="1351">
        <f t="shared" si="3"/>
        <v>1.0309278350515463</v>
      </c>
      <c r="AB32" s="1351">
        <f t="shared" si="4"/>
        <v>1.0309278350515463</v>
      </c>
      <c r="AC32" s="1351">
        <f t="shared" si="5"/>
        <v>1.0309278350515463</v>
      </c>
    </row>
    <row r="33" spans="1:29" s="422" customFormat="1" ht="15">
      <c r="A33" s="419"/>
      <c r="B33" s="375" t="s">
        <v>1695</v>
      </c>
      <c r="C33" s="420">
        <f>'数据-汇总表'!F19</f>
        <v>466.83</v>
      </c>
      <c r="D33" s="127">
        <v>100</v>
      </c>
      <c r="E33" s="381">
        <f>租金案例!I5</f>
        <v>350</v>
      </c>
      <c r="F33" s="376">
        <f>LOOKUP(E33,103:103,104:104)-LOOKUP(C33,103:103,104:104)+100</f>
        <v>100</v>
      </c>
      <c r="G33" s="380">
        <f>租金案例!I6</f>
        <v>250</v>
      </c>
      <c r="H33" s="127">
        <f>LOOKUP(G33,103:103,104:104)-LOOKUP(C33,103:103,104:104)+100</f>
        <v>101</v>
      </c>
      <c r="I33" s="380">
        <f>租金案例!I7</f>
        <v>140</v>
      </c>
      <c r="J33" s="127">
        <f>LOOKUP(I33,103:103,104:104)-LOOKUP(C33,103:103,104:104)+100</f>
        <v>102</v>
      </c>
      <c r="K33" s="562"/>
      <c r="L33" s="2714"/>
      <c r="M33" s="2716"/>
      <c r="N33" s="2716"/>
      <c r="O33" s="2716"/>
      <c r="P33" s="3808"/>
      <c r="Q33" s="705" t="str">
        <f t="shared" si="11"/>
        <v>项目建筑规模</v>
      </c>
      <c r="R33" s="706" t="s">
        <v>14</v>
      </c>
      <c r="S33" s="707">
        <f t="shared" si="12"/>
        <v>100</v>
      </c>
      <c r="T33" s="706" t="s">
        <v>14</v>
      </c>
      <c r="U33" s="707">
        <f t="shared" si="13"/>
        <v>101</v>
      </c>
      <c r="V33" s="706" t="s">
        <v>14</v>
      </c>
      <c r="W33" s="707">
        <f t="shared" si="14"/>
        <v>102</v>
      </c>
      <c r="X33" s="708"/>
      <c r="Y33" s="3810"/>
      <c r="Z33" s="709" t="str">
        <f t="shared" si="15"/>
        <v>项目建筑规模</v>
      </c>
      <c r="AA33" s="1351">
        <f t="shared" si="3"/>
        <v>1</v>
      </c>
      <c r="AB33" s="1351">
        <f t="shared" si="4"/>
        <v>0.99009900990099009</v>
      </c>
      <c r="AC33" s="1351">
        <f t="shared" si="5"/>
        <v>0.98039215686274506</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808"/>
      <c r="Q34" s="1350" t="str">
        <f t="shared" si="11"/>
        <v>建筑结构</v>
      </c>
      <c r="R34" s="703" t="s">
        <v>14</v>
      </c>
      <c r="S34" s="704">
        <f t="shared" si="12"/>
        <v>100</v>
      </c>
      <c r="T34" s="703" t="s">
        <v>14</v>
      </c>
      <c r="U34" s="704">
        <f t="shared" si="13"/>
        <v>100</v>
      </c>
      <c r="V34" s="703" t="s">
        <v>14</v>
      </c>
      <c r="W34" s="704">
        <f t="shared" si="14"/>
        <v>100</v>
      </c>
      <c r="X34" s="1353"/>
      <c r="Y34" s="3810"/>
      <c r="Z34" s="1354" t="str">
        <f t="shared" si="15"/>
        <v>建筑结构</v>
      </c>
      <c r="AA34" s="1351">
        <f t="shared" si="3"/>
        <v>1</v>
      </c>
      <c r="AB34" s="1351">
        <f t="shared" si="4"/>
        <v>1</v>
      </c>
      <c r="AC34" s="1351">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808"/>
      <c r="Q35" s="1350" t="str">
        <f t="shared" si="11"/>
        <v>公共部分装修</v>
      </c>
      <c r="R35" s="703" t="s">
        <v>14</v>
      </c>
      <c r="S35" s="704">
        <f t="shared" si="12"/>
        <v>100</v>
      </c>
      <c r="T35" s="703" t="s">
        <v>14</v>
      </c>
      <c r="U35" s="704">
        <f t="shared" si="13"/>
        <v>100</v>
      </c>
      <c r="V35" s="703" t="s">
        <v>14</v>
      </c>
      <c r="W35" s="704">
        <f t="shared" si="14"/>
        <v>100</v>
      </c>
      <c r="X35" s="1353"/>
      <c r="Y35" s="3810"/>
      <c r="Z35" s="1354" t="str">
        <f t="shared" si="15"/>
        <v>公共部分装修</v>
      </c>
      <c r="AA35" s="1351">
        <f t="shared" si="3"/>
        <v>1</v>
      </c>
      <c r="AB35" s="1351">
        <f t="shared" si="4"/>
        <v>1</v>
      </c>
      <c r="AC35" s="1351">
        <f t="shared" si="5"/>
        <v>1</v>
      </c>
    </row>
    <row r="36" spans="1:29" ht="15">
      <c r="A36" s="423"/>
      <c r="B36" s="375" t="s">
        <v>1784</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c r="L36" s="2715"/>
      <c r="M36" s="2709"/>
      <c r="N36" s="2709"/>
      <c r="O36" s="2709"/>
      <c r="P36" s="3808"/>
      <c r="Q36" s="1350" t="str">
        <f t="shared" si="11"/>
        <v>成新度</v>
      </c>
      <c r="R36" s="703" t="s">
        <v>14</v>
      </c>
      <c r="S36" s="704">
        <f t="shared" si="12"/>
        <v>100</v>
      </c>
      <c r="T36" s="703" t="s">
        <v>14</v>
      </c>
      <c r="U36" s="704">
        <f t="shared" si="13"/>
        <v>100</v>
      </c>
      <c r="V36" s="703" t="s">
        <v>14</v>
      </c>
      <c r="W36" s="704">
        <f t="shared" si="14"/>
        <v>100</v>
      </c>
      <c r="X36" s="1353"/>
      <c r="Y36" s="3810"/>
      <c r="Z36" s="1354" t="str">
        <f t="shared" si="15"/>
        <v>成新度</v>
      </c>
      <c r="AA36" s="1351">
        <f t="shared" si="3"/>
        <v>1</v>
      </c>
      <c r="AB36" s="1351">
        <f t="shared" si="4"/>
        <v>1</v>
      </c>
      <c r="AC36" s="1351">
        <f t="shared" si="5"/>
        <v>1</v>
      </c>
    </row>
    <row r="37" spans="1:29" s="108" customFormat="1" ht="15">
      <c r="A37" s="424"/>
      <c r="B37" s="375" t="s">
        <v>1785</v>
      </c>
      <c r="C37" s="1904" t="s">
        <v>3640</v>
      </c>
      <c r="D37" s="127">
        <v>100</v>
      </c>
      <c r="E37" s="1904" t="s">
        <v>3640</v>
      </c>
      <c r="F37" s="412">
        <f>SUMIF(112:112,E37,113:113)-SUMIF(112:112,C37,113:113)+100</f>
        <v>100</v>
      </c>
      <c r="G37" s="1904" t="s">
        <v>3640</v>
      </c>
      <c r="H37" s="386">
        <f>SUMIF(112:112,G37,113:113)-SUMIF(112:112,C37,113:113)+100</f>
        <v>100</v>
      </c>
      <c r="I37" s="1904" t="s">
        <v>3640</v>
      </c>
      <c r="J37" s="386">
        <f>SUMIF(112:112,I37,113:113)-SUMIF(112:112,C37,113:113)+100</f>
        <v>100</v>
      </c>
      <c r="K37" s="561">
        <v>1</v>
      </c>
      <c r="L37" s="2710"/>
      <c r="M37" s="2711"/>
      <c r="N37" s="2711"/>
      <c r="O37" s="2711"/>
      <c r="P37" s="3808"/>
      <c r="Q37" s="1341" t="str">
        <f t="shared" si="11"/>
        <v>市政基础设施</v>
      </c>
      <c r="R37" s="699" t="s">
        <v>14</v>
      </c>
      <c r="S37" s="700">
        <f t="shared" si="12"/>
        <v>100</v>
      </c>
      <c r="T37" s="699" t="s">
        <v>14</v>
      </c>
      <c r="U37" s="700">
        <f t="shared" si="13"/>
        <v>100</v>
      </c>
      <c r="V37" s="699" t="s">
        <v>14</v>
      </c>
      <c r="W37" s="700">
        <f t="shared" si="14"/>
        <v>100</v>
      </c>
      <c r="X37" s="701"/>
      <c r="Y37" s="3810"/>
      <c r="Z37" s="52" t="str">
        <f t="shared" si="15"/>
        <v>市政基础设施</v>
      </c>
      <c r="AA37" s="702">
        <f t="shared" si="3"/>
        <v>1</v>
      </c>
      <c r="AB37" s="702">
        <f t="shared" si="4"/>
        <v>1</v>
      </c>
      <c r="AC37" s="702">
        <f t="shared" si="5"/>
        <v>1</v>
      </c>
    </row>
    <row r="38" spans="1:29" ht="15">
      <c r="A38" s="423"/>
      <c r="B38" s="375" t="s">
        <v>1786</v>
      </c>
      <c r="C38" s="1904" t="s">
        <v>3629</v>
      </c>
      <c r="D38" s="386">
        <v>100</v>
      </c>
      <c r="E38" s="1904" t="s">
        <v>3629</v>
      </c>
      <c r="F38" s="412">
        <f>SUMIF(114:114,E38,115:115)-SUMIF(114:114,C38,115:115)+100</f>
        <v>100</v>
      </c>
      <c r="G38" s="1904" t="s">
        <v>3629</v>
      </c>
      <c r="H38" s="386">
        <f>SUMIF(114:114,G38,115:115)-SUMIF(114:114,C38,115:115)+100</f>
        <v>100</v>
      </c>
      <c r="I38" s="1904" t="s">
        <v>3629</v>
      </c>
      <c r="J38" s="386">
        <f>SUMIF(114:114,I38,115:115)-SUMIF(114:114,C38,115:115)+100</f>
        <v>100</v>
      </c>
      <c r="K38" s="561">
        <v>2</v>
      </c>
      <c r="L38" s="2715"/>
      <c r="M38" s="2709"/>
      <c r="N38" s="2709"/>
      <c r="O38" s="2709"/>
      <c r="P38" s="3808" t="s">
        <v>1694</v>
      </c>
      <c r="Q38" s="1350" t="str">
        <f t="shared" si="11"/>
        <v>业态</v>
      </c>
      <c r="R38" s="703" t="s">
        <v>14</v>
      </c>
      <c r="S38" s="704">
        <f t="shared" si="12"/>
        <v>100</v>
      </c>
      <c r="T38" s="703" t="s">
        <v>14</v>
      </c>
      <c r="U38" s="704">
        <f t="shared" si="13"/>
        <v>100</v>
      </c>
      <c r="V38" s="703" t="s">
        <v>14</v>
      </c>
      <c r="W38" s="704">
        <f t="shared" si="14"/>
        <v>100</v>
      </c>
      <c r="X38" s="1353"/>
      <c r="Y38" s="3810" t="s">
        <v>1694</v>
      </c>
      <c r="Z38" s="1354" t="str">
        <f t="shared" si="15"/>
        <v>业态</v>
      </c>
      <c r="AA38" s="1351">
        <f t="shared" si="3"/>
        <v>1</v>
      </c>
      <c r="AB38" s="1351">
        <f t="shared" si="4"/>
        <v>1</v>
      </c>
      <c r="AC38" s="1351">
        <f t="shared" si="5"/>
        <v>1</v>
      </c>
    </row>
    <row r="39" spans="1:29" ht="15">
      <c r="A39" s="423"/>
      <c r="B39" s="375" t="s">
        <v>1787</v>
      </c>
      <c r="C39" s="1904" t="s">
        <v>3627</v>
      </c>
      <c r="D39" s="386">
        <v>100</v>
      </c>
      <c r="E39" s="1904" t="s">
        <v>3627</v>
      </c>
      <c r="F39" s="412">
        <f>SUMIF(116:116,E39,117:117)-SUMIF(116:116,C39,117:117)+100</f>
        <v>100</v>
      </c>
      <c r="G39" s="1904" t="s">
        <v>3627</v>
      </c>
      <c r="H39" s="386">
        <f>SUMIF(116:116,G39,117:117)-SUMIF(116:116,C39,117:117)+100</f>
        <v>100</v>
      </c>
      <c r="I39" s="1904" t="s">
        <v>3627</v>
      </c>
      <c r="J39" s="386">
        <f>SUMIF(116:116,I39,117:117)-SUMIF(116:116,C39,117:117)+100</f>
        <v>100</v>
      </c>
      <c r="K39" s="561">
        <v>2</v>
      </c>
      <c r="L39" s="2715"/>
      <c r="M39" s="2709"/>
      <c r="N39" s="2709"/>
      <c r="O39" s="2709"/>
      <c r="P39" s="3808"/>
      <c r="Q39" s="1350" t="str">
        <f t="shared" si="11"/>
        <v>层高</v>
      </c>
      <c r="R39" s="703" t="s">
        <v>14</v>
      </c>
      <c r="S39" s="704">
        <f t="shared" si="12"/>
        <v>100</v>
      </c>
      <c r="T39" s="703" t="s">
        <v>14</v>
      </c>
      <c r="U39" s="704">
        <f t="shared" si="13"/>
        <v>100</v>
      </c>
      <c r="V39" s="703" t="s">
        <v>14</v>
      </c>
      <c r="W39" s="704">
        <f t="shared" si="14"/>
        <v>100</v>
      </c>
      <c r="X39" s="1353"/>
      <c r="Y39" s="3810"/>
      <c r="Z39" s="1354" t="str">
        <f t="shared" si="15"/>
        <v>层高</v>
      </c>
      <c r="AA39" s="1351">
        <f t="shared" si="3"/>
        <v>1</v>
      </c>
      <c r="AB39" s="1351">
        <f t="shared" si="4"/>
        <v>1</v>
      </c>
      <c r="AC39" s="1351">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808"/>
      <c r="Q40" s="1350" t="str">
        <f t="shared" si="11"/>
        <v>单套建筑面积</v>
      </c>
      <c r="R40" s="703" t="s">
        <v>14</v>
      </c>
      <c r="S40" s="704">
        <f t="shared" si="12"/>
        <v>100</v>
      </c>
      <c r="T40" s="703" t="s">
        <v>14</v>
      </c>
      <c r="U40" s="704">
        <f t="shared" si="13"/>
        <v>100</v>
      </c>
      <c r="V40" s="703" t="s">
        <v>14</v>
      </c>
      <c r="W40" s="704">
        <f t="shared" si="14"/>
        <v>100</v>
      </c>
      <c r="X40" s="1353"/>
      <c r="Y40" s="3810"/>
      <c r="Z40" s="1354" t="str">
        <f t="shared" si="15"/>
        <v>单套建筑面积</v>
      </c>
      <c r="AA40" s="1351">
        <f t="shared" si="3"/>
        <v>1</v>
      </c>
      <c r="AB40" s="1351">
        <f t="shared" si="4"/>
        <v>1</v>
      </c>
      <c r="AC40" s="1351">
        <f t="shared" si="5"/>
        <v>1</v>
      </c>
    </row>
    <row r="41" spans="1:29" s="422" customFormat="1" ht="15">
      <c r="A41" s="419"/>
      <c r="B41" s="1352"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808"/>
      <c r="Q41" s="705" t="str">
        <f t="shared" si="11"/>
        <v>进深比</v>
      </c>
      <c r="R41" s="706" t="s">
        <v>14</v>
      </c>
      <c r="S41" s="707">
        <f t="shared" si="12"/>
        <v>100</v>
      </c>
      <c r="T41" s="706" t="s">
        <v>14</v>
      </c>
      <c r="U41" s="707">
        <f t="shared" si="13"/>
        <v>100</v>
      </c>
      <c r="V41" s="706" t="s">
        <v>14</v>
      </c>
      <c r="W41" s="707">
        <f t="shared" si="14"/>
        <v>100</v>
      </c>
      <c r="X41" s="708"/>
      <c r="Y41" s="3810"/>
      <c r="Z41" s="709" t="str">
        <f t="shared" si="15"/>
        <v>进深比</v>
      </c>
      <c r="AA41" s="1351">
        <f t="shared" si="3"/>
        <v>1</v>
      </c>
      <c r="AB41" s="1351">
        <f t="shared" si="4"/>
        <v>1</v>
      </c>
      <c r="AC41" s="1351">
        <f t="shared" si="5"/>
        <v>1</v>
      </c>
    </row>
    <row r="42" spans="1:29" ht="15">
      <c r="A42" s="423"/>
      <c r="B42" s="375" t="s">
        <v>1790</v>
      </c>
      <c r="C42" s="1904" t="s">
        <v>3641</v>
      </c>
      <c r="D42" s="386">
        <v>100</v>
      </c>
      <c r="E42" s="1904" t="s">
        <v>3642</v>
      </c>
      <c r="F42" s="412">
        <f>SUMIF(122:122,E42,123:123)-SUMIF(122:122,C42,123:123)+100</f>
        <v>102</v>
      </c>
      <c r="G42" s="1904" t="s">
        <v>3642</v>
      </c>
      <c r="H42" s="386">
        <f>SUMIF(122:122,G42,123:123)-SUMIF(122:122,C42,123:123)+100</f>
        <v>102</v>
      </c>
      <c r="I42" s="1904" t="s">
        <v>3642</v>
      </c>
      <c r="J42" s="386">
        <f>SUMIF(122:122,I42,123:123)-SUMIF(122:122,C42,123:123)+100</f>
        <v>102</v>
      </c>
      <c r="K42" s="561">
        <v>2</v>
      </c>
      <c r="L42" s="2715"/>
      <c r="M42" s="2709"/>
      <c r="N42" s="2709"/>
      <c r="O42" s="2709"/>
      <c r="P42" s="3808"/>
      <c r="Q42" s="1350" t="str">
        <f t="shared" si="11"/>
        <v>内部装修</v>
      </c>
      <c r="R42" s="703" t="s">
        <v>14</v>
      </c>
      <c r="S42" s="704">
        <f t="shared" si="12"/>
        <v>102</v>
      </c>
      <c r="T42" s="703" t="s">
        <v>14</v>
      </c>
      <c r="U42" s="704">
        <f t="shared" si="13"/>
        <v>102</v>
      </c>
      <c r="V42" s="703" t="s">
        <v>14</v>
      </c>
      <c r="W42" s="704">
        <f t="shared" si="14"/>
        <v>102</v>
      </c>
      <c r="X42" s="1353"/>
      <c r="Y42" s="3810"/>
      <c r="Z42" s="1354" t="str">
        <f t="shared" si="15"/>
        <v>内部装修</v>
      </c>
      <c r="AA42" s="1351">
        <f t="shared" si="3"/>
        <v>0.98039215686274506</v>
      </c>
      <c r="AB42" s="1351">
        <f t="shared" si="4"/>
        <v>0.98039215686274506</v>
      </c>
      <c r="AC42" s="1351">
        <f t="shared" si="5"/>
        <v>0.98039215686274506</v>
      </c>
    </row>
    <row r="43" spans="1:29" ht="15">
      <c r="A43" s="423"/>
      <c r="B43" s="375" t="s">
        <v>1705</v>
      </c>
      <c r="C43" s="1904" t="s">
        <v>3616</v>
      </c>
      <c r="D43" s="386">
        <v>100</v>
      </c>
      <c r="E43" s="1904" t="s">
        <v>3396</v>
      </c>
      <c r="F43" s="412">
        <f>SUMIF(124:124,E43,125:125)-SUMIF(124:124,C43,125:125)+100</f>
        <v>102</v>
      </c>
      <c r="G43" s="1904" t="s">
        <v>3396</v>
      </c>
      <c r="H43" s="386">
        <f>SUMIF(124:124,G43,125:125)-SUMIF(124:124,C43,125:125)+100</f>
        <v>102</v>
      </c>
      <c r="I43" s="1904" t="s">
        <v>3396</v>
      </c>
      <c r="J43" s="386">
        <f>SUMIF(124:124,I43,125:125)-SUMIF(124:124,C43,125:125)+100</f>
        <v>102</v>
      </c>
      <c r="K43" s="561">
        <v>2</v>
      </c>
      <c r="L43" s="2715"/>
      <c r="M43" s="2709"/>
      <c r="N43" s="2709"/>
      <c r="O43" s="2709"/>
      <c r="P43" s="3808"/>
      <c r="Q43" s="1350" t="str">
        <f t="shared" si="11"/>
        <v>内部装修维护情况</v>
      </c>
      <c r="R43" s="703" t="s">
        <v>14</v>
      </c>
      <c r="S43" s="704">
        <f t="shared" si="12"/>
        <v>102</v>
      </c>
      <c r="T43" s="703" t="s">
        <v>14</v>
      </c>
      <c r="U43" s="704">
        <f t="shared" si="13"/>
        <v>102</v>
      </c>
      <c r="V43" s="703" t="s">
        <v>14</v>
      </c>
      <c r="W43" s="704">
        <f t="shared" si="14"/>
        <v>102</v>
      </c>
      <c r="X43" s="1353"/>
      <c r="Y43" s="3810"/>
      <c r="Z43" s="1354" t="str">
        <f t="shared" si="15"/>
        <v>内部装修维护情况</v>
      </c>
      <c r="AA43" s="1351">
        <f t="shared" si="3"/>
        <v>0.98039215686274506</v>
      </c>
      <c r="AB43" s="1351">
        <f t="shared" si="4"/>
        <v>0.98039215686274506</v>
      </c>
      <c r="AC43" s="1351">
        <f t="shared" si="5"/>
        <v>0.98039215686274506</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808"/>
      <c r="Q44" s="1341">
        <f t="shared" si="11"/>
        <v>111</v>
      </c>
      <c r="R44" s="699" t="s">
        <v>14</v>
      </c>
      <c r="S44" s="700">
        <f t="shared" si="12"/>
        <v>100</v>
      </c>
      <c r="T44" s="699" t="s">
        <v>14</v>
      </c>
      <c r="U44" s="700">
        <f t="shared" si="13"/>
        <v>100</v>
      </c>
      <c r="V44" s="699" t="s">
        <v>14</v>
      </c>
      <c r="W44" s="700">
        <f t="shared" si="14"/>
        <v>100</v>
      </c>
      <c r="X44" s="701"/>
      <c r="Y44" s="381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08"/>
      <c r="Q45" s="1350">
        <f t="shared" si="11"/>
        <v>111</v>
      </c>
      <c r="R45" s="703" t="s">
        <v>14</v>
      </c>
      <c r="S45" s="704">
        <f t="shared" si="12"/>
        <v>100</v>
      </c>
      <c r="T45" s="703" t="s">
        <v>14</v>
      </c>
      <c r="U45" s="704">
        <f t="shared" si="13"/>
        <v>100</v>
      </c>
      <c r="V45" s="703" t="s">
        <v>14</v>
      </c>
      <c r="W45" s="704">
        <f t="shared" si="14"/>
        <v>100</v>
      </c>
      <c r="X45" s="1353"/>
      <c r="Y45" s="381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09"/>
      <c r="Q46" s="1350">
        <f t="shared" si="11"/>
        <v>111</v>
      </c>
      <c r="R46" s="703" t="s">
        <v>14</v>
      </c>
      <c r="S46" s="704">
        <f t="shared" si="12"/>
        <v>100</v>
      </c>
      <c r="T46" s="703" t="s">
        <v>14</v>
      </c>
      <c r="U46" s="704">
        <f t="shared" si="13"/>
        <v>100</v>
      </c>
      <c r="V46" s="703" t="s">
        <v>14</v>
      </c>
      <c r="W46" s="704">
        <f t="shared" si="14"/>
        <v>100</v>
      </c>
      <c r="X46" s="1353"/>
      <c r="Y46" s="3811"/>
      <c r="Z46" s="1354">
        <f t="shared" si="15"/>
        <v>111</v>
      </c>
      <c r="AA46" s="1351">
        <f t="shared" si="3"/>
        <v>1</v>
      </c>
      <c r="AB46" s="1351">
        <f t="shared" si="4"/>
        <v>1</v>
      </c>
      <c r="AC46" s="1351">
        <f t="shared" si="5"/>
        <v>1</v>
      </c>
    </row>
    <row r="47" spans="1:29" ht="15">
      <c r="A47" s="430" t="s">
        <v>1706</v>
      </c>
      <c r="B47" s="431"/>
      <c r="C47" s="1152" t="s">
        <v>0</v>
      </c>
      <c r="D47" s="1153"/>
      <c r="E47" s="1154">
        <f>租金案例!L5</f>
        <v>1.98</v>
      </c>
      <c r="F47" s="1155"/>
      <c r="G47" s="1156">
        <f>租金案例!L6</f>
        <v>2</v>
      </c>
      <c r="H47" s="1157"/>
      <c r="I47" s="3533">
        <f>租金案例!L7</f>
        <v>1.68</v>
      </c>
      <c r="J47" s="1157"/>
      <c r="K47" s="712"/>
      <c r="L47" s="2717"/>
      <c r="M47" s="2718"/>
      <c r="N47" s="2709"/>
      <c r="O47" s="2718"/>
      <c r="P47" s="3803" t="str">
        <f>A47</f>
        <v>成交单价（元/平方米）</v>
      </c>
      <c r="Q47" s="3803"/>
      <c r="R47" s="3834">
        <f>E47</f>
        <v>1.98</v>
      </c>
      <c r="S47" s="3834"/>
      <c r="T47" s="3834">
        <f>G47</f>
        <v>2</v>
      </c>
      <c r="U47" s="3834"/>
      <c r="V47" s="3834">
        <f>I47</f>
        <v>1.68</v>
      </c>
      <c r="W47" s="3834"/>
      <c r="X47" s="688"/>
      <c r="Y47" s="710"/>
      <c r="Z47" s="688"/>
      <c r="AA47" s="688"/>
      <c r="AB47" s="688"/>
      <c r="AC47" s="688"/>
    </row>
    <row r="48" spans="1:29" ht="15.75" thickBot="1">
      <c r="A48" s="437" t="s">
        <v>1791</v>
      </c>
      <c r="B48" s="438"/>
      <c r="C48" s="1158">
        <f>R49</f>
        <v>1.5</v>
      </c>
      <c r="D48" s="2315" t="s">
        <v>2134</v>
      </c>
      <c r="E48" s="1159">
        <f>R48</f>
        <v>1.6</v>
      </c>
      <c r="F48" s="2316"/>
      <c r="G48" s="1158">
        <f>T48</f>
        <v>1.5</v>
      </c>
      <c r="H48" s="2316"/>
      <c r="I48" s="1159">
        <f>V48</f>
        <v>1.3</v>
      </c>
      <c r="J48" s="2316"/>
      <c r="K48" s="2318">
        <f>F48+H48+J48</f>
        <v>0</v>
      </c>
      <c r="L48" s="2717"/>
      <c r="M48" s="2718"/>
      <c r="N48" s="2709"/>
      <c r="O48" s="2718"/>
      <c r="P48" s="3803" t="str">
        <f>A48</f>
        <v>比较价值（元/平方米）</v>
      </c>
      <c r="Q48" s="3803"/>
      <c r="R48" s="3804">
        <f>IF(F1="售价",ROUND(PRODUCT(R47,AA7:AA46),0),ROUND(PRODUCT(R47,AA7:AA46),1))</f>
        <v>1.6</v>
      </c>
      <c r="S48" s="3804"/>
      <c r="T48" s="3804">
        <f>IF(F1="售价",ROUND(PRODUCT(T47,AB7:AB46),0),ROUND(PRODUCT(T47,AB7:AB46),1))</f>
        <v>1.5</v>
      </c>
      <c r="U48" s="3804"/>
      <c r="V48" s="3804">
        <f>IF(F1="售价",ROUND(PRODUCT(V47,AC7:AC46),0),ROUND(PRODUCT(V47,AC7:AC46),1))</f>
        <v>1.3</v>
      </c>
      <c r="W48" s="3804"/>
      <c r="X48" s="688"/>
      <c r="Y48" s="688"/>
      <c r="Z48" s="688"/>
      <c r="AA48" s="688"/>
      <c r="AB48" s="688"/>
      <c r="AC48" s="688"/>
    </row>
    <row r="49" spans="1:29" ht="15.75" thickBot="1">
      <c r="A49" s="441" t="s">
        <v>1792</v>
      </c>
      <c r="B49" s="442"/>
      <c r="C49" s="1161">
        <f>R49</f>
        <v>1.5</v>
      </c>
      <c r="D49" s="1161"/>
      <c r="E49" s="1161"/>
      <c r="F49" s="1161"/>
      <c r="G49" s="1161"/>
      <c r="H49" s="1161"/>
      <c r="I49" s="1161"/>
      <c r="J49" s="1161"/>
      <c r="K49" s="713"/>
      <c r="L49" s="2717"/>
      <c r="M49" s="2718"/>
      <c r="N49" s="2709"/>
      <c r="O49" s="2718"/>
      <c r="P49" s="3800" t="str">
        <f>A49</f>
        <v>估价对象XX用房的比较价值（楼面单价，元/平方米）</v>
      </c>
      <c r="Q49" s="3801"/>
      <c r="R49" s="3802">
        <f>IF(F1="售价",ROUND(IF(D48="简单平均",AVERAGE(R48:V48),R48*F48+T48*H48+V48*J48),0),ROUND(IF(D48="简单平均",AVERAGE(R48:V48),R48*F48+T48*H48+V48*J48),1))</f>
        <v>1.5</v>
      </c>
      <c r="S49" s="3802"/>
      <c r="T49" s="3802"/>
      <c r="U49" s="3802"/>
      <c r="V49" s="3802"/>
      <c r="W49" s="380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0.23749999999999982</v>
      </c>
      <c r="F52" s="449" t="str">
        <f>IF(OR(E52&gt;=0.3,E52&lt;=-0.3),"超过30%","")</f>
        <v/>
      </c>
      <c r="G52" s="448">
        <f>IF(G47&lt;G48,G48/G47-1,G47/G48-1)</f>
        <v>0.33333333333333326</v>
      </c>
      <c r="H52" s="449" t="str">
        <f>IF(OR(G52&gt;=0.3,G52&lt;=-0.3),"超过30%","")</f>
        <v>超过30%</v>
      </c>
      <c r="I52" s="448">
        <f>IF(I47&lt;I48,I48/I47-1,I47/I48-1)</f>
        <v>0.29230769230769216</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6.6666666666666652E-2</v>
      </c>
      <c r="F53" s="449" t="str">
        <f>IF(OR(E53&gt;=0.2,E53&lt;=-0.2),"超过20%","")</f>
        <v/>
      </c>
      <c r="G53" s="448">
        <f>IF(G48&lt;I48,I48/G48-1,G48/I48-1)</f>
        <v>0.15384615384615374</v>
      </c>
      <c r="H53" s="449" t="str">
        <f>IF(OR(G53&gt;=0.2,G53&lt;=-0.2),"超过20%","")</f>
        <v/>
      </c>
      <c r="I53" s="448">
        <f>IF(I48&lt;E48,E48/I48-1,I48/E48-1)</f>
        <v>0.23076923076923084</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1.0101010101010166E-2</v>
      </c>
      <c r="F54" s="449" t="str">
        <f>IF(OR(E54&gt;=0.3,E54&lt;=-0.3),"超过30%","")</f>
        <v/>
      </c>
      <c r="G54" s="448">
        <f>IF(G47&lt;I47,I47/G47-1,G47/I47-1)</f>
        <v>0.19047619047619047</v>
      </c>
      <c r="H54" s="449" t="str">
        <f>IF(OR(G54&gt;=0.3,G54&lt;=-0.3),"超过30%","")</f>
        <v/>
      </c>
      <c r="I54" s="448">
        <f>IF(I47&lt;E47,E47/I47-1,I47/E47-1)</f>
        <v>0.1785714285714286</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1796</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7">D68&amp;"（含）"&amp;"-"&amp;E68</f>
        <v>1（含）-2</v>
      </c>
      <c r="E67" s="496" t="str">
        <f t="shared" si="17"/>
        <v>2（含）-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97</v>
      </c>
      <c r="E79" s="493">
        <f>D79-$K17</f>
        <v>94</v>
      </c>
      <c r="F79" s="493">
        <f>E79-$K17</f>
        <v>91</v>
      </c>
      <c r="G79" s="493">
        <f>F79-$K17</f>
        <v>88</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44" t="s">
        <v>3615</v>
      </c>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4" t="s">
        <v>3445</v>
      </c>
      <c r="D88" s="503" t="s">
        <v>3396</v>
      </c>
      <c r="E88" s="503" t="s">
        <v>3616</v>
      </c>
      <c r="F88" s="503" t="s">
        <v>3617</v>
      </c>
      <c r="G88" s="503" t="s">
        <v>3618</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1">D89-2</f>
        <v>96</v>
      </c>
      <c r="F89" s="485">
        <f t="shared" si="21"/>
        <v>94</v>
      </c>
      <c r="G89" s="485">
        <f t="shared" si="21"/>
        <v>92</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44" t="s">
        <v>3445</v>
      </c>
      <c r="D90" s="503" t="s">
        <v>3396</v>
      </c>
      <c r="E90" s="503" t="s">
        <v>3616</v>
      </c>
      <c r="F90" s="503" t="s">
        <v>3617</v>
      </c>
      <c r="G90" s="503" t="s">
        <v>3618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3532" t="s">
        <v>3638</v>
      </c>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77</v>
      </c>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t="str">
        <f>B29</f>
        <v>临路情况</v>
      </c>
      <c r="C94" s="3444" t="s">
        <v>3681</v>
      </c>
      <c r="D94" s="3444" t="s">
        <v>3682</v>
      </c>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v>100</v>
      </c>
      <c r="D95" s="485">
        <v>97</v>
      </c>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t="str">
        <f>B30</f>
        <v>区域产业发展方向</v>
      </c>
      <c r="C96" s="3531" t="s">
        <v>3685</v>
      </c>
      <c r="D96" s="3531" t="s">
        <v>3684</v>
      </c>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v>100</v>
      </c>
      <c r="D97" s="485">
        <v>95</v>
      </c>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529" t="s">
        <v>3620</v>
      </c>
      <c r="D100" s="3529" t="s">
        <v>3619</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4" t="s">
        <v>3621</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4" t="s">
        <v>3622</v>
      </c>
      <c r="D107" s="3444" t="s">
        <v>3623</v>
      </c>
      <c r="E107" s="3444" t="s">
        <v>3624</v>
      </c>
      <c r="F107" s="3530" t="s">
        <v>3625</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8">D111+$K36</f>
        <v>100</v>
      </c>
      <c r="F111" s="493">
        <f t="shared" si="28"/>
        <v>100</v>
      </c>
      <c r="G111" s="493">
        <f t="shared" si="28"/>
        <v>100</v>
      </c>
      <c r="H111" s="493">
        <f t="shared" si="28"/>
        <v>100</v>
      </c>
      <c r="I111" s="493">
        <f t="shared" si="28"/>
        <v>100</v>
      </c>
      <c r="J111" s="493">
        <f t="shared" si="28"/>
        <v>100</v>
      </c>
      <c r="K111" s="493">
        <f t="shared" si="28"/>
        <v>100</v>
      </c>
      <c r="L111" s="493">
        <f t="shared" si="28"/>
        <v>100</v>
      </c>
      <c r="M111" s="493">
        <f t="shared" si="28"/>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3444" t="s">
        <v>3626</v>
      </c>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4" t="s">
        <v>3630</v>
      </c>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4">
        <f t="shared" si="30"/>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4" t="s">
        <v>3628</v>
      </c>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4" t="s">
        <v>3622</v>
      </c>
      <c r="D122" s="3444" t="s">
        <v>3623</v>
      </c>
      <c r="E122" s="3444" t="s">
        <v>3624</v>
      </c>
      <c r="F122" s="3530" t="s">
        <v>3625</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A32" zoomScaleNormal="100" workbookViewId="0">
      <selection activeCell="L48" sqref="L48"/>
    </sheetView>
  </sheetViews>
  <sheetFormatPr defaultColWidth="9" defaultRowHeight="13.5"/>
  <cols>
    <col min="1" max="1" width="6.375" style="3465" customWidth="1"/>
    <col min="2" max="2" width="19.375" style="3520" customWidth="1"/>
    <col min="3" max="3" width="6.125" style="3521" customWidth="1"/>
    <col min="4" max="4" width="6.375" style="3521" customWidth="1"/>
    <col min="5" max="5" width="7.375" style="3521" customWidth="1"/>
    <col min="6" max="6" width="16" style="3521" customWidth="1"/>
    <col min="7" max="7" width="19.375" style="3522" customWidth="1"/>
    <col min="8" max="8" width="19.5" style="3465" customWidth="1"/>
    <col min="9" max="9" width="8.625" style="3465" customWidth="1"/>
    <col min="10" max="10" width="10.5" style="3464" customWidth="1"/>
    <col min="11" max="11" width="10.625" style="3487" customWidth="1"/>
    <col min="12" max="12" width="14.875" style="3487" customWidth="1"/>
    <col min="13" max="16" width="8.125" style="3465" customWidth="1"/>
    <col min="17" max="16384" width="9" style="3465"/>
  </cols>
  <sheetData>
    <row r="1" spans="1:16">
      <c r="A1" s="3890" t="s">
        <v>3465</v>
      </c>
      <c r="B1" s="3890"/>
      <c r="C1" s="3890"/>
      <c r="D1" s="3890"/>
      <c r="E1" s="3890"/>
      <c r="F1" s="3890"/>
      <c r="G1" s="3890"/>
      <c r="H1" s="3890"/>
      <c r="I1" s="3890"/>
      <c r="K1" s="3891" t="s">
        <v>3466</v>
      </c>
      <c r="L1" s="3534" t="s">
        <v>3467</v>
      </c>
      <c r="M1" s="3535">
        <v>0</v>
      </c>
      <c r="N1" s="3536"/>
      <c r="O1" s="3536"/>
    </row>
    <row r="2" spans="1:16" ht="15.75" customHeight="1">
      <c r="A2" s="3466" t="s">
        <v>3468</v>
      </c>
      <c r="B2" s="3467" t="s">
        <v>3469</v>
      </c>
      <c r="C2" s="3857" t="s">
        <v>3470</v>
      </c>
      <c r="D2" s="3858"/>
      <c r="E2" s="3858"/>
      <c r="F2" s="3859"/>
      <c r="G2" s="3468" t="s">
        <v>3471</v>
      </c>
      <c r="H2" s="3868" t="s">
        <v>3472</v>
      </c>
      <c r="I2" s="3868"/>
      <c r="K2" s="3891"/>
      <c r="L2" s="3534" t="s">
        <v>3473</v>
      </c>
      <c r="M2" s="3537" t="s">
        <v>3474</v>
      </c>
      <c r="N2" s="3469"/>
      <c r="O2" s="3469"/>
    </row>
    <row r="3" spans="1:16" ht="24">
      <c r="A3" s="3470" t="s">
        <v>3475</v>
      </c>
      <c r="B3" s="3471" t="s">
        <v>3459</v>
      </c>
      <c r="C3" s="3892">
        <v>8000</v>
      </c>
      <c r="D3" s="3893"/>
      <c r="E3" s="3893"/>
      <c r="F3" s="3894"/>
      <c r="G3" s="3470" t="s">
        <v>3476</v>
      </c>
      <c r="H3" s="3472" t="s">
        <v>3477</v>
      </c>
      <c r="I3" s="3473">
        <f>1</f>
        <v>1</v>
      </c>
      <c r="K3" s="3891"/>
      <c r="L3" s="3534" t="s">
        <v>3478</v>
      </c>
      <c r="M3" s="3537" t="s">
        <v>3479</v>
      </c>
      <c r="N3" s="3469"/>
      <c r="O3" s="3474"/>
    </row>
    <row r="4" spans="1:16">
      <c r="A4" s="3860" t="s">
        <v>3480</v>
      </c>
      <c r="B4" s="3861" t="s">
        <v>3481</v>
      </c>
      <c r="C4" s="3895">
        <f>ROUND(C3*(I4-I6)/(1-((1+I6)/(1+I4))^I5),0)</f>
        <v>472</v>
      </c>
      <c r="D4" s="3896"/>
      <c r="E4" s="3896"/>
      <c r="F4" s="3897"/>
      <c r="G4" s="3860" t="s">
        <v>3646</v>
      </c>
      <c r="H4" s="3475" t="s">
        <v>3482</v>
      </c>
      <c r="I4" s="3538">
        <v>5.5E-2</v>
      </c>
      <c r="K4" s="3891"/>
      <c r="L4" s="3534" t="s">
        <v>3483</v>
      </c>
      <c r="M4" s="3539">
        <f>ROUND(1-(1-M1)*M2/M3,2)</f>
        <v>0.55000000000000004</v>
      </c>
      <c r="N4" s="3469"/>
      <c r="O4" s="3469"/>
    </row>
    <row r="5" spans="1:16" s="3477" customFormat="1" ht="18" customHeight="1">
      <c r="A5" s="3860"/>
      <c r="B5" s="3861"/>
      <c r="C5" s="3898"/>
      <c r="D5" s="3899"/>
      <c r="E5" s="3899"/>
      <c r="F5" s="3900"/>
      <c r="G5" s="3860"/>
      <c r="H5" s="3471" t="s">
        <v>3484</v>
      </c>
      <c r="I5" s="3540">
        <v>33</v>
      </c>
      <c r="J5" s="3476"/>
      <c r="K5" s="3891"/>
      <c r="L5" s="3534" t="s">
        <v>3485</v>
      </c>
      <c r="M5" s="3541">
        <v>0.5</v>
      </c>
      <c r="N5" s="3469"/>
      <c r="O5" s="3469"/>
    </row>
    <row r="6" spans="1:16" s="3477" customFormat="1" ht="18" customHeight="1">
      <c r="A6" s="3860"/>
      <c r="B6" s="3861"/>
      <c r="C6" s="3901"/>
      <c r="D6" s="3902"/>
      <c r="E6" s="3902"/>
      <c r="F6" s="3903"/>
      <c r="G6" s="3860"/>
      <c r="H6" s="3471" t="s">
        <v>3486</v>
      </c>
      <c r="I6" s="3538">
        <v>0.01</v>
      </c>
      <c r="J6" s="3478"/>
      <c r="K6" s="3904" t="s">
        <v>3487</v>
      </c>
      <c r="L6" s="3479" t="s">
        <v>3488</v>
      </c>
      <c r="M6" s="3480" t="s">
        <v>3489</v>
      </c>
      <c r="N6" s="3480" t="s">
        <v>3490</v>
      </c>
      <c r="O6" s="3480" t="s">
        <v>3491</v>
      </c>
      <c r="P6" s="3480" t="s">
        <v>3485</v>
      </c>
    </row>
    <row r="7" spans="1:16" s="3477" customFormat="1" ht="17.25" customHeight="1">
      <c r="A7" s="3470" t="s">
        <v>3492</v>
      </c>
      <c r="B7" s="3471" t="s">
        <v>3493</v>
      </c>
      <c r="C7" s="3857">
        <f>ROUND(C23*I7,0)</f>
        <v>1737</v>
      </c>
      <c r="D7" s="3858"/>
      <c r="E7" s="3858"/>
      <c r="F7" s="3859"/>
      <c r="G7" s="3468" t="s">
        <v>3494</v>
      </c>
      <c r="H7" s="3471" t="s">
        <v>3495</v>
      </c>
      <c r="I7" s="3542">
        <v>0.6</v>
      </c>
      <c r="K7" s="3904"/>
      <c r="L7" s="3479" t="s">
        <v>3496</v>
      </c>
      <c r="M7" s="3480">
        <v>100</v>
      </c>
      <c r="N7" s="3480" t="s">
        <v>3497</v>
      </c>
      <c r="O7" s="3480">
        <v>80</v>
      </c>
      <c r="P7" s="3481">
        <v>0.3</v>
      </c>
    </row>
    <row r="8" spans="1:16" s="3477" customFormat="1" ht="18" customHeight="1">
      <c r="A8" s="3466" t="s">
        <v>3498</v>
      </c>
      <c r="B8" s="3471" t="s">
        <v>3499</v>
      </c>
      <c r="C8" s="3857">
        <f>ROUND(I8*I3,0)</f>
        <v>2000</v>
      </c>
      <c r="D8" s="3858"/>
      <c r="E8" s="3858"/>
      <c r="F8" s="3859"/>
      <c r="G8" s="3468" t="s">
        <v>3500</v>
      </c>
      <c r="H8" s="3471" t="s">
        <v>3501</v>
      </c>
      <c r="I8" s="3468">
        <v>2000</v>
      </c>
      <c r="J8" s="3482">
        <f>D36</f>
        <v>1.5</v>
      </c>
      <c r="K8" s="3904"/>
      <c r="L8" s="3479" t="s">
        <v>3502</v>
      </c>
      <c r="M8" s="3480">
        <v>100</v>
      </c>
      <c r="N8" s="3480" t="s">
        <v>3497</v>
      </c>
      <c r="O8" s="3480">
        <v>80</v>
      </c>
      <c r="P8" s="3481">
        <v>0.5</v>
      </c>
    </row>
    <row r="9" spans="1:16" s="3477" customFormat="1" ht="18" customHeight="1">
      <c r="A9" s="3466" t="s">
        <v>3503</v>
      </c>
      <c r="B9" s="3471" t="s">
        <v>3504</v>
      </c>
      <c r="C9" s="3857">
        <f>ROUND(C8*H9,0)</f>
        <v>60</v>
      </c>
      <c r="D9" s="3858"/>
      <c r="E9" s="3858"/>
      <c r="F9" s="3859"/>
      <c r="G9" s="3468" t="s">
        <v>3505</v>
      </c>
      <c r="H9" s="3887">
        <v>0.03</v>
      </c>
      <c r="I9" s="3887"/>
      <c r="J9" s="3482">
        <f>D37</f>
        <v>1.83</v>
      </c>
      <c r="K9" s="3904"/>
      <c r="L9" s="3479" t="s">
        <v>3506</v>
      </c>
      <c r="M9" s="3480">
        <v>100</v>
      </c>
      <c r="N9" s="3480" t="s">
        <v>3497</v>
      </c>
      <c r="O9" s="3480">
        <v>80</v>
      </c>
      <c r="P9" s="3481">
        <f>1-P7-P8</f>
        <v>0.19999999999999996</v>
      </c>
    </row>
    <row r="10" spans="1:16" s="3477" customFormat="1" ht="18" customHeight="1">
      <c r="A10" s="3466" t="s">
        <v>3507</v>
      </c>
      <c r="B10" s="3471" t="s">
        <v>3508</v>
      </c>
      <c r="C10" s="3857">
        <f>ROUND(C8*H10,0)</f>
        <v>0</v>
      </c>
      <c r="D10" s="3858"/>
      <c r="E10" s="3858"/>
      <c r="F10" s="3859"/>
      <c r="G10" s="3468" t="s">
        <v>3505</v>
      </c>
      <c r="H10" s="3887">
        <v>0</v>
      </c>
      <c r="I10" s="3887"/>
      <c r="J10" s="3482">
        <f>D38</f>
        <v>1.6</v>
      </c>
      <c r="K10" s="3904"/>
      <c r="L10" s="3483" t="s">
        <v>3485</v>
      </c>
      <c r="M10" s="3484">
        <f>1-M5</f>
        <v>0.5</v>
      </c>
      <c r="N10" s="3480" t="s">
        <v>3483</v>
      </c>
      <c r="O10" s="3485">
        <f>ROUND((O7*P7+O8*P8+O9*P9)/100,2)</f>
        <v>0.8</v>
      </c>
      <c r="P10" s="3486"/>
    </row>
    <row r="11" spans="1:16" s="3477" customFormat="1" ht="29.25" customHeight="1">
      <c r="A11" s="3466" t="s">
        <v>3509</v>
      </c>
      <c r="B11" s="3471" t="s">
        <v>3510</v>
      </c>
      <c r="C11" s="3857">
        <f>ROUND(I11*I3,0)</f>
        <v>200</v>
      </c>
      <c r="D11" s="3858"/>
      <c r="E11" s="3858"/>
      <c r="F11" s="3859"/>
      <c r="G11" s="3468" t="s">
        <v>3511</v>
      </c>
      <c r="H11" s="3471" t="s">
        <v>3512</v>
      </c>
      <c r="I11" s="3468">
        <v>200</v>
      </c>
      <c r="J11" s="3476"/>
      <c r="K11" s="3487"/>
      <c r="L11" s="3487"/>
    </row>
    <row r="12" spans="1:16" s="3477" customFormat="1" ht="18" customHeight="1">
      <c r="A12" s="3466" t="s">
        <v>3513</v>
      </c>
      <c r="B12" s="3471" t="s">
        <v>3514</v>
      </c>
      <c r="C12" s="3857">
        <f>ROUND(C8*H12,0)</f>
        <v>30</v>
      </c>
      <c r="D12" s="3858"/>
      <c r="E12" s="3858"/>
      <c r="F12" s="3859"/>
      <c r="G12" s="3468" t="s">
        <v>3505</v>
      </c>
      <c r="H12" s="3887">
        <v>1.4999999999999999E-2</v>
      </c>
      <c r="I12" s="3887"/>
      <c r="J12" s="3488" t="s">
        <v>3515</v>
      </c>
      <c r="L12" s="3489"/>
    </row>
    <row r="13" spans="1:16" s="3477" customFormat="1" ht="18" customHeight="1">
      <c r="A13" s="3466" t="s">
        <v>3516</v>
      </c>
      <c r="B13" s="3471" t="s">
        <v>3517</v>
      </c>
      <c r="C13" s="3857">
        <f>SUM(C8:F12)</f>
        <v>2290</v>
      </c>
      <c r="D13" s="3858"/>
      <c r="E13" s="3858"/>
      <c r="F13" s="3859"/>
      <c r="G13" s="3868" t="s">
        <v>3518</v>
      </c>
      <c r="H13" s="3868"/>
      <c r="I13" s="3868"/>
      <c r="J13" s="3488" t="s">
        <v>3519</v>
      </c>
      <c r="L13" s="3489"/>
    </row>
    <row r="14" spans="1:16" s="3477" customFormat="1" ht="18" customHeight="1">
      <c r="A14" s="3466" t="s">
        <v>3520</v>
      </c>
      <c r="B14" s="3471" t="s">
        <v>3521</v>
      </c>
      <c r="C14" s="3857">
        <f>ROUND(C13*H14,0)</f>
        <v>23</v>
      </c>
      <c r="D14" s="3858"/>
      <c r="E14" s="3858"/>
      <c r="F14" s="3859"/>
      <c r="G14" s="3468" t="s">
        <v>3522</v>
      </c>
      <c r="H14" s="3887">
        <v>0.01</v>
      </c>
      <c r="I14" s="3887"/>
      <c r="J14" s="3476"/>
      <c r="L14" s="3489"/>
    </row>
    <row r="15" spans="1:16" s="3477" customFormat="1" ht="18" customHeight="1">
      <c r="A15" s="3466" t="s">
        <v>3523</v>
      </c>
      <c r="B15" s="3471" t="s">
        <v>3524</v>
      </c>
      <c r="C15" s="3871">
        <f>H15</f>
        <v>0.01</v>
      </c>
      <c r="D15" s="3872"/>
      <c r="E15" s="3885" t="str">
        <f>E18</f>
        <v>V</v>
      </c>
      <c r="F15" s="3886"/>
      <c r="G15" s="3468" t="s">
        <v>3525</v>
      </c>
      <c r="H15" s="3887">
        <v>0.01</v>
      </c>
      <c r="I15" s="3887"/>
      <c r="J15" s="3490"/>
      <c r="K15" s="3491"/>
    </row>
    <row r="16" spans="1:16" s="3477" customFormat="1" ht="18" customHeight="1">
      <c r="A16" s="3492" t="s">
        <v>3526</v>
      </c>
      <c r="B16" s="3493" t="s">
        <v>3527</v>
      </c>
      <c r="C16" s="3494">
        <f>C17</f>
        <v>47</v>
      </c>
      <c r="D16" s="3495" t="s">
        <v>3528</v>
      </c>
      <c r="E16" s="3496">
        <f>C18</f>
        <v>2.0500000000000002E-4</v>
      </c>
      <c r="F16" s="3497" t="str">
        <f>E18</f>
        <v>V</v>
      </c>
      <c r="G16" s="3857" t="s">
        <v>3529</v>
      </c>
      <c r="H16" s="3858"/>
      <c r="I16" s="3859"/>
      <c r="J16" s="3476"/>
      <c r="K16" s="3487"/>
    </row>
    <row r="17" spans="1:12" s="3477" customFormat="1" ht="18" customHeight="1">
      <c r="A17" s="3466" t="s">
        <v>3530</v>
      </c>
      <c r="B17" s="3471" t="s">
        <v>3531</v>
      </c>
      <c r="C17" s="3857">
        <f>ROUND((C13+C14)*I18*(I17/2),0)</f>
        <v>47</v>
      </c>
      <c r="D17" s="3858"/>
      <c r="E17" s="3858"/>
      <c r="F17" s="3859"/>
      <c r="G17" s="3494" t="s">
        <v>3532</v>
      </c>
      <c r="H17" s="3471" t="s">
        <v>3533</v>
      </c>
      <c r="I17" s="3543">
        <v>1</v>
      </c>
      <c r="J17" s="3488" t="s">
        <v>3534</v>
      </c>
      <c r="K17" s="3487"/>
      <c r="L17" s="3487"/>
    </row>
    <row r="18" spans="1:12" s="3477" customFormat="1" ht="18" customHeight="1">
      <c r="A18" s="3466" t="s">
        <v>3535</v>
      </c>
      <c r="B18" s="3471" t="s">
        <v>3536</v>
      </c>
      <c r="C18" s="3888">
        <f>H15*I18*I17/2</f>
        <v>2.0500000000000002E-4</v>
      </c>
      <c r="D18" s="3889"/>
      <c r="E18" s="3885" t="s">
        <v>3537</v>
      </c>
      <c r="F18" s="3886"/>
      <c r="G18" s="3494" t="s">
        <v>3538</v>
      </c>
      <c r="H18" s="3471" t="s">
        <v>3539</v>
      </c>
      <c r="I18" s="3498">
        <v>4.1000000000000002E-2</v>
      </c>
      <c r="J18" s="3488" t="s">
        <v>3540</v>
      </c>
      <c r="K18" s="3487"/>
      <c r="L18" s="3487"/>
    </row>
    <row r="19" spans="1:12" s="3477" customFormat="1" ht="27" customHeight="1">
      <c r="A19" s="3466" t="s">
        <v>3541</v>
      </c>
      <c r="B19" s="3471" t="s">
        <v>3542</v>
      </c>
      <c r="C19" s="3494">
        <f>C20</f>
        <v>347</v>
      </c>
      <c r="D19" s="3495" t="s">
        <v>3528</v>
      </c>
      <c r="E19" s="3495">
        <f>C21</f>
        <v>1.5E-3</v>
      </c>
      <c r="F19" s="3497" t="str">
        <f>E21</f>
        <v>V</v>
      </c>
      <c r="G19" s="3857" t="s">
        <v>3543</v>
      </c>
      <c r="H19" s="3858"/>
      <c r="I19" s="3859"/>
      <c r="J19" s="3476"/>
      <c r="K19" s="3487"/>
      <c r="L19" s="3487"/>
    </row>
    <row r="20" spans="1:12" s="3477" customFormat="1" ht="26.25" customHeight="1">
      <c r="A20" s="3466" t="s">
        <v>3544</v>
      </c>
      <c r="B20" s="3471" t="s">
        <v>3545</v>
      </c>
      <c r="C20" s="3857">
        <f>ROUND((C13+C14)*I20,0)</f>
        <v>347</v>
      </c>
      <c r="D20" s="3858"/>
      <c r="E20" s="3858"/>
      <c r="F20" s="3859"/>
      <c r="G20" s="3468" t="s">
        <v>3546</v>
      </c>
      <c r="H20" s="3880" t="s">
        <v>3547</v>
      </c>
      <c r="I20" s="3882">
        <v>0.15</v>
      </c>
      <c r="J20" s="3488" t="s">
        <v>3548</v>
      </c>
      <c r="K20" s="3487"/>
      <c r="L20" s="3487"/>
    </row>
    <row r="21" spans="1:12" s="3477" customFormat="1" ht="27" customHeight="1">
      <c r="A21" s="3466" t="s">
        <v>3544</v>
      </c>
      <c r="B21" s="3471" t="s">
        <v>3549</v>
      </c>
      <c r="C21" s="3883">
        <f>H15*I20</f>
        <v>1.5E-3</v>
      </c>
      <c r="D21" s="3884"/>
      <c r="E21" s="3885" t="s">
        <v>3537</v>
      </c>
      <c r="F21" s="3886"/>
      <c r="G21" s="3468" t="s">
        <v>3550</v>
      </c>
      <c r="H21" s="3881"/>
      <c r="I21" s="3882"/>
      <c r="J21" s="3476"/>
      <c r="K21" s="3487"/>
      <c r="L21" s="3487"/>
    </row>
    <row r="22" spans="1:12" s="3477" customFormat="1" ht="18" customHeight="1">
      <c r="A22" s="3466" t="s">
        <v>3551</v>
      </c>
      <c r="B22" s="3471" t="s">
        <v>3552</v>
      </c>
      <c r="C22" s="3883">
        <f>ROUND(H22/1.05,4)</f>
        <v>5.33E-2</v>
      </c>
      <c r="D22" s="3884"/>
      <c r="E22" s="3885" t="s">
        <v>3537</v>
      </c>
      <c r="F22" s="3886"/>
      <c r="G22" s="3468" t="s">
        <v>3553</v>
      </c>
      <c r="H22" s="3887">
        <v>5.6000000000000001E-2</v>
      </c>
      <c r="I22" s="3887"/>
      <c r="J22" s="3499"/>
      <c r="K22" s="3487"/>
      <c r="L22" s="3487"/>
    </row>
    <row r="23" spans="1:12" s="3477" customFormat="1" ht="18" customHeight="1">
      <c r="A23" s="3466" t="s">
        <v>3554</v>
      </c>
      <c r="B23" s="3471" t="s">
        <v>3555</v>
      </c>
      <c r="C23" s="3857">
        <f>ROUND((C13+C14+C17+C20)/(1-H15-C18-C21-C22),0)</f>
        <v>2895</v>
      </c>
      <c r="D23" s="3858"/>
      <c r="E23" s="3858"/>
      <c r="F23" s="3859"/>
      <c r="G23" s="3857" t="s">
        <v>3556</v>
      </c>
      <c r="H23" s="3858"/>
      <c r="I23" s="3859"/>
      <c r="J23" s="3499"/>
      <c r="K23" s="3487"/>
      <c r="L23" s="3487"/>
    </row>
    <row r="24" spans="1:12" s="3477" customFormat="1" ht="18" customHeight="1">
      <c r="A24" s="3466" t="s">
        <v>3557</v>
      </c>
      <c r="B24" s="3471" t="s">
        <v>3558</v>
      </c>
      <c r="C24" s="3500">
        <f>C27+C28</f>
        <v>16</v>
      </c>
      <c r="D24" s="3501" t="s">
        <v>3559</v>
      </c>
      <c r="E24" s="3879">
        <f>H29+E26+H25</f>
        <v>0.186</v>
      </c>
      <c r="F24" s="3874"/>
      <c r="G24" s="3868" t="s">
        <v>3560</v>
      </c>
      <c r="H24" s="3868"/>
      <c r="I24" s="3868"/>
      <c r="J24" s="3499"/>
      <c r="K24" s="3487"/>
      <c r="L24" s="3487"/>
    </row>
    <row r="25" spans="1:12" s="3477" customFormat="1" ht="18" customHeight="1">
      <c r="A25" s="3466" t="s">
        <v>3516</v>
      </c>
      <c r="B25" s="3471" t="s">
        <v>3561</v>
      </c>
      <c r="C25" s="3871" t="s">
        <v>3562</v>
      </c>
      <c r="D25" s="3872"/>
      <c r="E25" s="3875">
        <f>ROUND(H25/1.05,4)</f>
        <v>5.33E-2</v>
      </c>
      <c r="F25" s="3876"/>
      <c r="G25" s="3468" t="s">
        <v>3563</v>
      </c>
      <c r="H25" s="3869">
        <v>5.6000000000000001E-2</v>
      </c>
      <c r="I25" s="3869"/>
      <c r="J25" s="3490"/>
      <c r="K25" s="3487"/>
      <c r="L25" s="3487"/>
    </row>
    <row r="26" spans="1:12" s="3477" customFormat="1" ht="18" customHeight="1">
      <c r="A26" s="3466" t="s">
        <v>3520</v>
      </c>
      <c r="B26" s="3471" t="s">
        <v>3564</v>
      </c>
      <c r="C26" s="3871" t="s">
        <v>3562</v>
      </c>
      <c r="D26" s="3872"/>
      <c r="E26" s="3873">
        <v>0.12</v>
      </c>
      <c r="F26" s="3874"/>
      <c r="G26" s="3468"/>
      <c r="H26" s="3877">
        <v>0.12</v>
      </c>
      <c r="I26" s="3878"/>
      <c r="J26" s="3502"/>
      <c r="K26" s="3487"/>
      <c r="L26" s="3487"/>
    </row>
    <row r="27" spans="1:12" s="3477" customFormat="1" ht="18" customHeight="1">
      <c r="A27" s="3466" t="s">
        <v>3523</v>
      </c>
      <c r="B27" s="3471" t="s">
        <v>3565</v>
      </c>
      <c r="C27" s="3857">
        <f>ROUND(C23*H27,0)</f>
        <v>14</v>
      </c>
      <c r="D27" s="3858"/>
      <c r="E27" s="3858"/>
      <c r="F27" s="3859"/>
      <c r="G27" s="3468" t="s">
        <v>3566</v>
      </c>
      <c r="H27" s="3869">
        <v>5.0000000000000001E-3</v>
      </c>
      <c r="I27" s="3869"/>
      <c r="J27" s="3503" t="s">
        <v>3647</v>
      </c>
      <c r="K27" s="3487"/>
      <c r="L27" s="3487"/>
    </row>
    <row r="28" spans="1:12" s="3477" customFormat="1" ht="18" customHeight="1">
      <c r="A28" s="3466" t="s">
        <v>3526</v>
      </c>
      <c r="B28" s="3471" t="s">
        <v>3567</v>
      </c>
      <c r="C28" s="3857">
        <f>ROUND(C7*H28,0)</f>
        <v>2</v>
      </c>
      <c r="D28" s="3858"/>
      <c r="E28" s="3858"/>
      <c r="F28" s="3859"/>
      <c r="G28" s="3468" t="s">
        <v>3568</v>
      </c>
      <c r="H28" s="3870">
        <v>1E-3</v>
      </c>
      <c r="I28" s="3870"/>
      <c r="J28" s="3504"/>
      <c r="K28" s="3487"/>
      <c r="L28" s="3487"/>
    </row>
    <row r="29" spans="1:12" s="3477" customFormat="1" ht="18" customHeight="1">
      <c r="A29" s="3466" t="s">
        <v>3541</v>
      </c>
      <c r="B29" s="3471" t="s">
        <v>3521</v>
      </c>
      <c r="C29" s="3871" t="s">
        <v>3562</v>
      </c>
      <c r="D29" s="3872"/>
      <c r="E29" s="3873">
        <f>H29</f>
        <v>0.01</v>
      </c>
      <c r="F29" s="3874"/>
      <c r="G29" s="3468" t="s">
        <v>3569</v>
      </c>
      <c r="H29" s="3869">
        <v>0.01</v>
      </c>
      <c r="I29" s="3869"/>
      <c r="J29" s="3505"/>
      <c r="K29" s="3487"/>
      <c r="L29" s="3487"/>
    </row>
    <row r="30" spans="1:12" s="3477" customFormat="1" ht="18" customHeight="1">
      <c r="A30" s="3470" t="s">
        <v>3570</v>
      </c>
      <c r="B30" s="3471" t="s">
        <v>3571</v>
      </c>
      <c r="C30" s="3857">
        <f>ROUND((C4+C24)/(1-E24),0)</f>
        <v>600</v>
      </c>
      <c r="D30" s="3858"/>
      <c r="E30" s="3858"/>
      <c r="F30" s="3859"/>
      <c r="G30" s="3860" t="s">
        <v>3572</v>
      </c>
      <c r="H30" s="3860"/>
      <c r="I30" s="3860"/>
      <c r="J30" s="3506"/>
      <c r="K30" s="3487"/>
      <c r="L30" s="3487"/>
    </row>
    <row r="31" spans="1:12" s="3477" customFormat="1" ht="18" customHeight="1">
      <c r="A31" s="3860" t="s">
        <v>3573</v>
      </c>
      <c r="B31" s="3861" t="s">
        <v>3645</v>
      </c>
      <c r="C31" s="3862">
        <f>ROUND(C30/I31/I32/I3,2)</f>
        <v>1.83</v>
      </c>
      <c r="D31" s="3863"/>
      <c r="E31" s="3863"/>
      <c r="F31" s="3864"/>
      <c r="G31" s="3868" t="s">
        <v>3574</v>
      </c>
      <c r="H31" s="3471" t="s">
        <v>3575</v>
      </c>
      <c r="I31" s="3468">
        <v>365</v>
      </c>
      <c r="J31" s="3476"/>
      <c r="K31" s="3487"/>
      <c r="L31" s="3487"/>
    </row>
    <row r="32" spans="1:12" s="3477" customFormat="1" ht="18" customHeight="1">
      <c r="A32" s="3860"/>
      <c r="B32" s="3861"/>
      <c r="C32" s="3865"/>
      <c r="D32" s="3866"/>
      <c r="E32" s="3866"/>
      <c r="F32" s="3867"/>
      <c r="G32" s="3868"/>
      <c r="H32" s="3471" t="s">
        <v>3576</v>
      </c>
      <c r="I32" s="3507">
        <v>0.9</v>
      </c>
      <c r="J32" s="3499"/>
      <c r="K32" s="3465"/>
      <c r="L32" s="3465"/>
    </row>
    <row r="33" spans="1:15" s="3477" customFormat="1" ht="18" customHeight="1">
      <c r="A33" s="3465"/>
      <c r="B33" s="3520"/>
      <c r="C33" s="3521"/>
      <c r="D33" s="3521"/>
      <c r="E33" s="3521"/>
      <c r="F33" s="3521"/>
      <c r="G33" s="3522"/>
      <c r="H33" s="3465"/>
      <c r="I33" s="3465"/>
      <c r="J33" s="3464"/>
      <c r="K33" s="3465"/>
      <c r="L33" s="3465"/>
    </row>
    <row r="34" spans="1:15" s="3477" customFormat="1" ht="18" customHeight="1">
      <c r="A34" s="3465"/>
      <c r="B34" s="3853" t="s">
        <v>3648</v>
      </c>
      <c r="C34" s="3853"/>
      <c r="D34" s="3853"/>
      <c r="E34" s="3853"/>
      <c r="F34" s="3853"/>
      <c r="G34" s="3508"/>
      <c r="H34" s="3509"/>
      <c r="I34" s="3465"/>
      <c r="J34" s="3465">
        <f>C31*0.5</f>
        <v>0.91500000000000004</v>
      </c>
      <c r="K34" s="3465"/>
      <c r="L34" s="3465"/>
      <c r="M34" s="3465"/>
    </row>
    <row r="35" spans="1:15" s="3477" customFormat="1" ht="18" customHeight="1">
      <c r="A35" s="3465"/>
      <c r="B35" s="3513" t="s">
        <v>3577</v>
      </c>
      <c r="C35" s="3544" t="s">
        <v>3485</v>
      </c>
      <c r="D35" s="3854" t="s">
        <v>3578</v>
      </c>
      <c r="E35" s="3854"/>
      <c r="F35" s="3854"/>
      <c r="G35" s="3508"/>
      <c r="H35" s="3510" t="s">
        <v>3579</v>
      </c>
      <c r="I35" s="3511"/>
      <c r="J35" s="3465">
        <f>C31*0.4</f>
        <v>0.7320000000000001</v>
      </c>
      <c r="K35" s="3465"/>
      <c r="L35" s="3465"/>
      <c r="M35" s="3465"/>
    </row>
    <row r="36" spans="1:15">
      <c r="B36" s="3513" t="s">
        <v>3580</v>
      </c>
      <c r="C36" s="3545">
        <v>0.7</v>
      </c>
      <c r="D36" s="3855">
        <f>'比较法-商业'!C48</f>
        <v>1.5</v>
      </c>
      <c r="E36" s="3855"/>
      <c r="F36" s="3855"/>
      <c r="G36" s="3508">
        <f>(D36-D37)/D37</f>
        <v>-0.18032786885245905</v>
      </c>
      <c r="H36" s="3510" t="s">
        <v>3581</v>
      </c>
      <c r="I36" s="3512"/>
      <c r="J36" s="3465"/>
      <c r="K36" s="3465"/>
      <c r="L36" s="3465"/>
    </row>
    <row r="37" spans="1:15" ht="20.100000000000001" customHeight="1">
      <c r="B37" s="3513" t="s">
        <v>3465</v>
      </c>
      <c r="C37" s="3545">
        <v>0.3</v>
      </c>
      <c r="D37" s="3855">
        <f>C31</f>
        <v>1.83</v>
      </c>
      <c r="E37" s="3855"/>
      <c r="F37" s="3855"/>
      <c r="G37" s="3508"/>
      <c r="H37" s="3509"/>
      <c r="J37" s="3465"/>
      <c r="K37" s="3465"/>
      <c r="L37" s="3465"/>
    </row>
    <row r="38" spans="1:15" ht="22.5" customHeight="1">
      <c r="B38" s="3856" t="s">
        <v>3582</v>
      </c>
      <c r="C38" s="3856"/>
      <c r="D38" s="3855">
        <f>ROUND(C36*D36+C37*D37,2)</f>
        <v>1.6</v>
      </c>
      <c r="E38" s="3855"/>
      <c r="F38" s="3855"/>
      <c r="G38" s="3508"/>
      <c r="H38" s="3509"/>
      <c r="J38" s="3465"/>
    </row>
    <row r="39" spans="1:15" ht="22.5" customHeight="1">
      <c r="B39" s="3513" t="s">
        <v>3583</v>
      </c>
      <c r="C39" s="3513">
        <f>ROUND(D38*0.9,1)</f>
        <v>1.4</v>
      </c>
      <c r="D39" s="3546" t="s">
        <v>3584</v>
      </c>
      <c r="E39" s="3851">
        <f>ROUND(D38*1.1,1)</f>
        <v>1.8</v>
      </c>
      <c r="F39" s="3851"/>
      <c r="G39" s="3508" t="s">
        <v>3585</v>
      </c>
      <c r="H39" s="3547">
        <v>11.48</v>
      </c>
      <c r="J39" s="3465"/>
    </row>
    <row r="40" spans="1:15" ht="18" customHeight="1">
      <c r="B40" s="3513" t="s">
        <v>3586</v>
      </c>
      <c r="C40" s="3513">
        <f>ROUND(C39+H40,1)</f>
        <v>1.4</v>
      </c>
      <c r="D40" s="3546" t="s">
        <v>3584</v>
      </c>
      <c r="E40" s="3851">
        <f>ROUND(E39+H40,1)</f>
        <v>1.8</v>
      </c>
      <c r="F40" s="3851"/>
      <c r="G40" s="3513" t="s">
        <v>3587</v>
      </c>
      <c r="H40" s="3513"/>
    </row>
    <row r="41" spans="1:15" ht="18" customHeight="1">
      <c r="B41" s="3514"/>
      <c r="C41" s="3515"/>
      <c r="D41" s="3516"/>
      <c r="E41" s="3516"/>
      <c r="F41" s="3516"/>
      <c r="G41" s="3508"/>
      <c r="H41" s="3509"/>
      <c r="K41" s="3517" t="s">
        <v>3588</v>
      </c>
      <c r="L41" s="3517" t="s">
        <v>3589</v>
      </c>
      <c r="M41" s="3518" t="s">
        <v>3590</v>
      </c>
      <c r="N41" s="3518" t="s">
        <v>3591</v>
      </c>
      <c r="O41" s="3518" t="s">
        <v>2134</v>
      </c>
    </row>
    <row r="42" spans="1:15" ht="18" customHeight="1">
      <c r="B42" s="3508" t="s">
        <v>3592</v>
      </c>
      <c r="C42" s="3516"/>
      <c r="D42" s="3516"/>
      <c r="E42" s="3508" t="s">
        <v>3593</v>
      </c>
      <c r="F42" s="3516"/>
      <c r="G42" s="3508"/>
      <c r="H42" s="3508" t="s">
        <v>3594</v>
      </c>
      <c r="K42" s="3517">
        <f>C31</f>
        <v>1.83</v>
      </c>
      <c r="L42" s="3517">
        <f>'[2]比较法-商业出租'!C49</f>
        <v>7.4</v>
      </c>
      <c r="M42" s="3518">
        <f>K42-L42</f>
        <v>-5.57</v>
      </c>
      <c r="N42" s="3519">
        <f>M42/L42</f>
        <v>-0.75270270270270268</v>
      </c>
      <c r="O42" s="3518">
        <f>ROUND((K42+L42)/2,2)</f>
        <v>4.62</v>
      </c>
    </row>
    <row r="43" spans="1:15" ht="29.25" customHeight="1"/>
    <row r="44" spans="1:15">
      <c r="B44" s="3852" t="s">
        <v>3595</v>
      </c>
      <c r="C44" s="3852"/>
      <c r="D44" s="3852"/>
      <c r="E44" s="3548"/>
      <c r="F44" s="3517" t="s">
        <v>3596</v>
      </c>
      <c r="G44" s="3549"/>
    </row>
    <row r="45" spans="1:15">
      <c r="B45" s="3550" t="s">
        <v>3597</v>
      </c>
      <c r="C45" s="3551" t="s">
        <v>3598</v>
      </c>
      <c r="D45" s="3551" t="s">
        <v>3599</v>
      </c>
      <c r="E45" s="3548" t="s">
        <v>3600</v>
      </c>
      <c r="F45" s="3517"/>
      <c r="G45" s="3549"/>
    </row>
    <row r="46" spans="1:15">
      <c r="B46" s="3551">
        <v>1</v>
      </c>
      <c r="C46" s="3551">
        <v>1</v>
      </c>
      <c r="D46" s="3551">
        <v>1</v>
      </c>
      <c r="E46" s="3548">
        <v>0</v>
      </c>
      <c r="F46" s="3551">
        <f>F47*B46*C46*D46-F47*E46</f>
        <v>31839</v>
      </c>
      <c r="G46" s="3549" t="s">
        <v>3355</v>
      </c>
    </row>
    <row r="47" spans="1:15">
      <c r="B47" s="3549"/>
      <c r="C47" s="3549"/>
      <c r="D47" s="3549"/>
      <c r="E47" s="3552"/>
      <c r="F47" s="3551">
        <f>'[2]比较法-商业出售'!C49</f>
        <v>31839</v>
      </c>
      <c r="G47" s="3553"/>
    </row>
  </sheetData>
  <mergeCells count="71">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44:D44"/>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华夏银行：</v>
      </c>
    </row>
    <row r="4" spans="1:1" ht="36">
      <c r="A4" s="1478" t="str">
        <f>"受贵公司委托，我公司对"&amp;项目基本情况!S1&amp;"进行了预评估。"</f>
        <v>受贵公司委托，我公司对北京市朝阳区首都机场航平西路银行附属办公楼房地产抵押价值进行了预评估。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首都机场航平西路银行附属办公楼房地产，为中国银行北京市首都机场支行所有。根据《国有土地使用证》[]，估价对象（分摊）出让国有建设用地使用权面积为202.08平方米，建筑面积为466.83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首都机场航平西路银行附属办公楼房地产,属中国银行北京市首都机场支行开发建设的办公项目，该项目尚在开发建设中。根据《国有土地使用证》[]，估价对象（分摊）出让国有建设用地使用权面积为202.08平方米，规划建筑面积为466.83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丰联广场大厦有限公司拟使用北京市朝阳区首都机场航平西路银行附属办公楼房地产作为抵押担保物，向华夏银行办理贷款手续。华夏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2023年2月14日（评估专业人员实地查勘之日）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N50" sqref="N50"/>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t="s">
        <v>21</v>
      </c>
      <c r="E1" s="3428" t="s">
        <v>3392</v>
      </c>
      <c r="F1" s="1877" t="s">
        <v>3393</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37697</v>
      </c>
      <c r="C3" s="354" t="s">
        <v>1766</v>
      </c>
      <c r="D3" s="353">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1767</v>
      </c>
      <c r="B4" s="356"/>
      <c r="C4" s="3818" t="s">
        <v>1768</v>
      </c>
      <c r="D4" s="3819"/>
      <c r="E4" s="3820" t="s">
        <v>1769</v>
      </c>
      <c r="F4" s="3821"/>
      <c r="G4" s="3818" t="s">
        <v>1770</v>
      </c>
      <c r="H4" s="3819"/>
      <c r="I4" s="3818" t="s">
        <v>1771</v>
      </c>
      <c r="J4" s="3819"/>
      <c r="K4" s="559" t="s">
        <v>1772</v>
      </c>
      <c r="L4" s="2708"/>
      <c r="M4" s="2709"/>
      <c r="N4" s="2709"/>
      <c r="O4" s="2709"/>
      <c r="P4" s="3911" t="s">
        <v>1773</v>
      </c>
      <c r="Q4" s="3912"/>
      <c r="R4" s="3915" t="s">
        <v>1769</v>
      </c>
      <c r="S4" s="3916"/>
      <c r="T4" s="3915" t="s">
        <v>1770</v>
      </c>
      <c r="U4" s="3916"/>
      <c r="V4" s="3917" t="s">
        <v>1771</v>
      </c>
      <c r="W4" s="3917"/>
      <c r="X4" s="1956"/>
      <c r="Y4" s="3915" t="s">
        <v>1773</v>
      </c>
      <c r="Z4" s="3916"/>
      <c r="AA4" s="3920" t="s">
        <v>1769</v>
      </c>
      <c r="AB4" s="3920" t="s">
        <v>1770</v>
      </c>
      <c r="AC4" s="3908" t="s">
        <v>1771</v>
      </c>
    </row>
    <row r="5" spans="1:29" ht="15">
      <c r="A5" s="358"/>
      <c r="B5" s="359"/>
      <c r="C5" s="3837" t="s">
        <v>1671</v>
      </c>
      <c r="D5" s="3838"/>
      <c r="E5" s="3918" t="s">
        <v>3444</v>
      </c>
      <c r="F5" s="3845"/>
      <c r="G5" s="3918" t="s">
        <v>3444</v>
      </c>
      <c r="H5" s="3845"/>
      <c r="I5" s="3918" t="s">
        <v>3444</v>
      </c>
      <c r="J5" s="3845"/>
      <c r="K5" s="559"/>
      <c r="L5" s="2708"/>
      <c r="M5" s="2709"/>
      <c r="N5" s="2709"/>
      <c r="O5" s="2709"/>
      <c r="P5" s="3913"/>
      <c r="Q5" s="3825"/>
      <c r="R5" s="3830"/>
      <c r="S5" s="3831"/>
      <c r="T5" s="3830"/>
      <c r="U5" s="3831"/>
      <c r="V5" s="3834"/>
      <c r="W5" s="3834"/>
      <c r="X5" s="1353"/>
      <c r="Y5" s="3830"/>
      <c r="Z5" s="3831"/>
      <c r="AA5" s="3816"/>
      <c r="AB5" s="3816"/>
      <c r="AC5" s="3909"/>
    </row>
    <row r="6" spans="1:29" ht="15.75" thickBot="1">
      <c r="A6" s="360"/>
      <c r="B6" s="361"/>
      <c r="C6" s="3835" t="s">
        <v>1675</v>
      </c>
      <c r="D6" s="3836"/>
      <c r="E6" s="3842" t="s">
        <v>1675</v>
      </c>
      <c r="F6" s="3843"/>
      <c r="G6" s="3835" t="s">
        <v>1675</v>
      </c>
      <c r="H6" s="3836"/>
      <c r="I6" s="3835" t="s">
        <v>1675</v>
      </c>
      <c r="J6" s="3836"/>
      <c r="K6" s="559" t="s">
        <v>1676</v>
      </c>
      <c r="L6" s="2708"/>
      <c r="M6" s="2709"/>
      <c r="N6" s="2709"/>
      <c r="O6" s="2709"/>
      <c r="P6" s="3914"/>
      <c r="Q6" s="3827"/>
      <c r="R6" s="3830"/>
      <c r="S6" s="3831"/>
      <c r="T6" s="3832"/>
      <c r="U6" s="3833"/>
      <c r="V6" s="3834"/>
      <c r="W6" s="3834"/>
      <c r="X6" s="1353"/>
      <c r="Y6" s="3832"/>
      <c r="Z6" s="3833"/>
      <c r="AA6" s="3817"/>
      <c r="AB6" s="3817"/>
      <c r="AC6" s="3910"/>
    </row>
    <row r="7" spans="1:29" s="108" customFormat="1" ht="15.75" thickBot="1">
      <c r="A7" s="362" t="s">
        <v>1677</v>
      </c>
      <c r="B7" s="363"/>
      <c r="C7" s="364">
        <f>'数据-取费表'!B2</f>
        <v>44971</v>
      </c>
      <c r="D7" s="365">
        <v>100</v>
      </c>
      <c r="E7" s="366">
        <v>44958</v>
      </c>
      <c r="F7" s="367">
        <f>SUMIF(59:59,YEAR(E7)&amp;"-"&amp;MONTH(E7),60:60)</f>
        <v>100</v>
      </c>
      <c r="G7" s="366">
        <v>44958</v>
      </c>
      <c r="H7" s="365">
        <f>SUMIF(59:59,YEAR(G7)&amp;"-"&amp;MONTH(G7),60:60)</f>
        <v>100</v>
      </c>
      <c r="I7" s="366">
        <v>44958</v>
      </c>
      <c r="J7" s="365">
        <f>SUMIF(59:59,YEAR(I7)&amp;"-"&amp;MONTH(I7),60:60)</f>
        <v>100</v>
      </c>
      <c r="K7" s="560"/>
      <c r="L7" s="2710"/>
      <c r="M7" s="2711"/>
      <c r="N7" s="2711"/>
      <c r="O7" s="2711"/>
      <c r="P7" s="3919" t="s">
        <v>1678</v>
      </c>
      <c r="Q7" s="3841"/>
      <c r="R7" s="699" t="s">
        <v>14</v>
      </c>
      <c r="S7" s="700">
        <f t="shared" ref="S7:S15" si="0">F7</f>
        <v>100</v>
      </c>
      <c r="T7" s="699" t="s">
        <v>14</v>
      </c>
      <c r="U7" s="700">
        <f t="shared" ref="U7:U15" si="1">H7</f>
        <v>100</v>
      </c>
      <c r="V7" s="699" t="s">
        <v>14</v>
      </c>
      <c r="W7" s="700">
        <f t="shared" ref="W7:W15" si="2">J7</f>
        <v>100</v>
      </c>
      <c r="X7" s="701"/>
      <c r="Y7" s="3839" t="s">
        <v>1678</v>
      </c>
      <c r="Z7" s="3840"/>
      <c r="AA7" s="702">
        <f>D7/F7</f>
        <v>1</v>
      </c>
      <c r="AB7" s="702">
        <f>D7/H7</f>
        <v>1</v>
      </c>
      <c r="AC7" s="1957">
        <f>D7/J7</f>
        <v>1</v>
      </c>
    </row>
    <row r="8" spans="1:29" s="108" customFormat="1" ht="15.75" thickBot="1">
      <c r="A8" s="362" t="s">
        <v>1679</v>
      </c>
      <c r="B8" s="363"/>
      <c r="C8" s="368" t="s">
        <v>3394</v>
      </c>
      <c r="D8" s="365">
        <v>100</v>
      </c>
      <c r="E8" s="368" t="s">
        <v>3394</v>
      </c>
      <c r="F8" s="367">
        <f>SUMIF(62:62,E8,63:63)-SUMIF(62:62,C8,63:63)+100</f>
        <v>100</v>
      </c>
      <c r="G8" s="368" t="s">
        <v>3394</v>
      </c>
      <c r="H8" s="365">
        <f>SUMIF(62:62,G8,63:63)-SUMIF(62:62,C8,63:63)+100</f>
        <v>100</v>
      </c>
      <c r="I8" s="368" t="s">
        <v>3394</v>
      </c>
      <c r="J8" s="365">
        <f>SUMIF(62:62,I8,63:63)-SUMIF(62:62,C8,63:63)+100</f>
        <v>100</v>
      </c>
      <c r="K8" s="560"/>
      <c r="L8" s="2710"/>
      <c r="M8" s="2711"/>
      <c r="N8" s="2711"/>
      <c r="O8" s="2711"/>
      <c r="P8" s="3919" t="s">
        <v>1681</v>
      </c>
      <c r="Q8" s="3840"/>
      <c r="R8" s="699" t="s">
        <v>14</v>
      </c>
      <c r="S8" s="700">
        <f t="shared" si="0"/>
        <v>100</v>
      </c>
      <c r="T8" s="699" t="s">
        <v>14</v>
      </c>
      <c r="U8" s="700">
        <f t="shared" si="1"/>
        <v>100</v>
      </c>
      <c r="V8" s="699" t="s">
        <v>14</v>
      </c>
      <c r="W8" s="700">
        <f t="shared" si="2"/>
        <v>100</v>
      </c>
      <c r="X8" s="701"/>
      <c r="Y8" s="3839" t="s">
        <v>1681</v>
      </c>
      <c r="Z8" s="3840"/>
      <c r="AA8" s="702">
        <f t="shared" ref="AA8:AA47" si="3">D8/F8</f>
        <v>1</v>
      </c>
      <c r="AB8" s="702">
        <f t="shared" ref="AB8:AB47" si="4">D8/H8</f>
        <v>1</v>
      </c>
      <c r="AC8" s="1957">
        <f t="shared" ref="AC8:AC47" si="5">D8/J8</f>
        <v>1</v>
      </c>
    </row>
    <row r="9" spans="1:29" s="108" customFormat="1">
      <c r="A9" s="369" t="s">
        <v>1682</v>
      </c>
      <c r="B9" s="63" t="s">
        <v>1683</v>
      </c>
      <c r="C9" s="3443" t="s">
        <v>3395</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814" t="s">
        <v>1684</v>
      </c>
      <c r="Q9" s="1341" t="str">
        <f t="shared" ref="Q9:Q15" si="6">B9</f>
        <v>用途</v>
      </c>
      <c r="R9" s="699" t="s">
        <v>14</v>
      </c>
      <c r="S9" s="700">
        <f t="shared" si="0"/>
        <v>100</v>
      </c>
      <c r="T9" s="699" t="s">
        <v>14</v>
      </c>
      <c r="U9" s="700">
        <f t="shared" si="1"/>
        <v>100</v>
      </c>
      <c r="V9" s="699" t="s">
        <v>14</v>
      </c>
      <c r="W9" s="700">
        <f t="shared" si="2"/>
        <v>100</v>
      </c>
      <c r="X9" s="701"/>
      <c r="Y9" s="3679"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814"/>
      <c r="Q10" s="1341" t="str">
        <f t="shared" si="6"/>
        <v>土地使用年限（年）</v>
      </c>
      <c r="R10" s="699" t="s">
        <v>14</v>
      </c>
      <c r="S10" s="700">
        <f t="shared" si="0"/>
        <v>100</v>
      </c>
      <c r="T10" s="699" t="s">
        <v>14</v>
      </c>
      <c r="U10" s="700">
        <f t="shared" si="1"/>
        <v>100</v>
      </c>
      <c r="V10" s="699" t="s">
        <v>14</v>
      </c>
      <c r="W10" s="700">
        <f t="shared" si="2"/>
        <v>100</v>
      </c>
      <c r="X10" s="701"/>
      <c r="Y10" s="3679"/>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814"/>
      <c r="Q11" s="1341" t="str">
        <f t="shared" si="6"/>
        <v>容积率</v>
      </c>
      <c r="R11" s="699" t="s">
        <v>14</v>
      </c>
      <c r="S11" s="700">
        <f t="shared" si="0"/>
        <v>100</v>
      </c>
      <c r="T11" s="699" t="s">
        <v>14</v>
      </c>
      <c r="U11" s="700">
        <f t="shared" si="1"/>
        <v>100</v>
      </c>
      <c r="V11" s="699" t="s">
        <v>14</v>
      </c>
      <c r="W11" s="700">
        <f t="shared" si="2"/>
        <v>100</v>
      </c>
      <c r="X11" s="701"/>
      <c r="Y11" s="367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814"/>
      <c r="Q12" s="1341">
        <f t="shared" si="6"/>
        <v>111</v>
      </c>
      <c r="R12" s="699" t="s">
        <v>14</v>
      </c>
      <c r="S12" s="700">
        <f t="shared" si="0"/>
        <v>100</v>
      </c>
      <c r="T12" s="699" t="s">
        <v>14</v>
      </c>
      <c r="U12" s="700">
        <f t="shared" si="1"/>
        <v>100</v>
      </c>
      <c r="V12" s="699" t="s">
        <v>14</v>
      </c>
      <c r="W12" s="700">
        <f t="shared" si="2"/>
        <v>100</v>
      </c>
      <c r="X12" s="701"/>
      <c r="Y12" s="367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814"/>
      <c r="Q13" s="1341">
        <f t="shared" si="6"/>
        <v>111</v>
      </c>
      <c r="R13" s="699" t="s">
        <v>14</v>
      </c>
      <c r="S13" s="700">
        <f t="shared" si="0"/>
        <v>100</v>
      </c>
      <c r="T13" s="699" t="s">
        <v>14</v>
      </c>
      <c r="U13" s="700">
        <f t="shared" si="1"/>
        <v>100</v>
      </c>
      <c r="V13" s="699" t="s">
        <v>14</v>
      </c>
      <c r="W13" s="700">
        <f t="shared" si="2"/>
        <v>100</v>
      </c>
      <c r="X13" s="701"/>
      <c r="Y13" s="367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814"/>
      <c r="Q14" s="1341">
        <f t="shared" si="6"/>
        <v>111</v>
      </c>
      <c r="R14" s="699" t="s">
        <v>14</v>
      </c>
      <c r="S14" s="700">
        <f t="shared" si="0"/>
        <v>100</v>
      </c>
      <c r="T14" s="699" t="s">
        <v>14</v>
      </c>
      <c r="U14" s="700">
        <f t="shared" si="1"/>
        <v>100</v>
      </c>
      <c r="V14" s="699" t="s">
        <v>14</v>
      </c>
      <c r="W14" s="700">
        <f t="shared" si="2"/>
        <v>100</v>
      </c>
      <c r="X14" s="701"/>
      <c r="Y14" s="3679"/>
      <c r="Z14" s="52">
        <f t="shared" si="7"/>
        <v>111</v>
      </c>
      <c r="AA14" s="702">
        <f t="shared" si="3"/>
        <v>1</v>
      </c>
      <c r="AB14" s="702">
        <f t="shared" si="4"/>
        <v>1</v>
      </c>
      <c r="AC14" s="1957">
        <f t="shared" si="5"/>
        <v>1</v>
      </c>
    </row>
    <row r="15" spans="1:29" ht="77.25" customHeight="1">
      <c r="A15" s="391" t="s">
        <v>1688</v>
      </c>
      <c r="B15" s="577" t="s">
        <v>1809</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812" t="s">
        <v>1689</v>
      </c>
      <c r="Q15" s="1350" t="str">
        <f t="shared" si="6"/>
        <v>办公集聚程度</v>
      </c>
      <c r="R15" s="703" t="s">
        <v>14</v>
      </c>
      <c r="S15" s="704">
        <f t="shared" si="0"/>
        <v>100</v>
      </c>
      <c r="T15" s="703" t="s">
        <v>14</v>
      </c>
      <c r="U15" s="704">
        <f t="shared" si="1"/>
        <v>100</v>
      </c>
      <c r="V15" s="703" t="s">
        <v>14</v>
      </c>
      <c r="W15" s="704">
        <f t="shared" si="2"/>
        <v>100</v>
      </c>
      <c r="X15" s="1353"/>
      <c r="Y15" s="3805" t="s">
        <v>1689</v>
      </c>
      <c r="Z15" s="1354" t="str">
        <f t="shared" si="7"/>
        <v>办公集聚程度</v>
      </c>
      <c r="AA15" s="1351">
        <f t="shared" si="3"/>
        <v>1</v>
      </c>
      <c r="AB15" s="1351">
        <f t="shared" si="4"/>
        <v>1</v>
      </c>
      <c r="AC15" s="1960">
        <f t="shared" si="5"/>
        <v>1</v>
      </c>
    </row>
    <row r="16" spans="1:29" ht="15">
      <c r="A16" s="379"/>
      <c r="B16" s="578"/>
      <c r="C16" s="1902" t="s">
        <v>3396</v>
      </c>
      <c r="D16" s="399"/>
      <c r="E16" s="1902" t="s">
        <v>3396</v>
      </c>
      <c r="F16" s="399"/>
      <c r="G16" s="1902" t="s">
        <v>3396</v>
      </c>
      <c r="H16" s="401"/>
      <c r="I16" s="1902" t="s">
        <v>3396</v>
      </c>
      <c r="J16" s="399"/>
      <c r="K16" s="564"/>
      <c r="L16" s="2715"/>
      <c r="M16" s="2709"/>
      <c r="N16" s="2709"/>
      <c r="O16" s="2709"/>
      <c r="P16" s="3813"/>
      <c r="Q16" s="1350"/>
      <c r="R16" s="703"/>
      <c r="S16" s="704"/>
      <c r="T16" s="703"/>
      <c r="U16" s="704"/>
      <c r="V16" s="703"/>
      <c r="W16" s="704"/>
      <c r="X16" s="1353"/>
      <c r="Y16" s="3806"/>
      <c r="Z16" s="1354"/>
      <c r="AA16" s="1351">
        <v>1</v>
      </c>
      <c r="AB16" s="1351">
        <v>1</v>
      </c>
      <c r="AC16" s="1960">
        <v>1</v>
      </c>
    </row>
    <row r="17" spans="1:29" ht="65.25" customHeight="1">
      <c r="A17" s="379"/>
      <c r="B17" s="579" t="s">
        <v>1257</v>
      </c>
      <c r="C17" s="1961" t="str">
        <f>估价对象房地状况!C6</f>
        <v>周边有359、空港1、3路等，周边道路密集一般，停车便捷程度一般，综合评价交通便捷度较差</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813"/>
      <c r="Q17" s="1350" t="str">
        <f>B17</f>
        <v>交通便捷度</v>
      </c>
      <c r="R17" s="703" t="s">
        <v>14</v>
      </c>
      <c r="S17" s="704">
        <f>F17</f>
        <v>100</v>
      </c>
      <c r="T17" s="703" t="s">
        <v>14</v>
      </c>
      <c r="U17" s="704">
        <f>H17</f>
        <v>100</v>
      </c>
      <c r="V17" s="703" t="s">
        <v>14</v>
      </c>
      <c r="W17" s="704">
        <f>J17</f>
        <v>100</v>
      </c>
      <c r="X17" s="1353"/>
      <c r="Y17" s="3806"/>
      <c r="Z17" s="1354" t="str">
        <f>Q17</f>
        <v>交通便捷度</v>
      </c>
      <c r="AA17" s="1351">
        <f t="shared" si="3"/>
        <v>1</v>
      </c>
      <c r="AB17" s="1351">
        <f t="shared" si="4"/>
        <v>1</v>
      </c>
      <c r="AC17" s="1960">
        <f t="shared" si="5"/>
        <v>1</v>
      </c>
    </row>
    <row r="18" spans="1:29" ht="15">
      <c r="A18" s="379"/>
      <c r="B18" s="580"/>
      <c r="C18" s="1962" t="s">
        <v>3445</v>
      </c>
      <c r="D18" s="401"/>
      <c r="E18" s="1962" t="s">
        <v>3445</v>
      </c>
      <c r="F18" s="401"/>
      <c r="G18" s="1962" t="s">
        <v>3445</v>
      </c>
      <c r="H18" s="399"/>
      <c r="I18" s="1962" t="s">
        <v>3445</v>
      </c>
      <c r="J18" s="399"/>
      <c r="K18" s="564"/>
      <c r="L18" s="2715"/>
      <c r="M18" s="2709"/>
      <c r="N18" s="2709"/>
      <c r="O18" s="2709"/>
      <c r="P18" s="3813"/>
      <c r="Q18" s="1350"/>
      <c r="R18" s="703"/>
      <c r="S18" s="704"/>
      <c r="T18" s="703"/>
      <c r="U18" s="704"/>
      <c r="V18" s="703"/>
      <c r="W18" s="704"/>
      <c r="X18" s="1353"/>
      <c r="Y18" s="3806"/>
      <c r="Z18" s="1354"/>
      <c r="AA18" s="1351">
        <v>1</v>
      </c>
      <c r="AB18" s="1351">
        <v>1</v>
      </c>
      <c r="AC18" s="1960">
        <v>1</v>
      </c>
    </row>
    <row r="19" spans="1:29" ht="63.75" customHeight="1">
      <c r="A19" s="379"/>
      <c r="B19" s="579" t="s">
        <v>1810</v>
      </c>
      <c r="C19" s="1961" t="str">
        <f>估价对象房地状况!C7</f>
        <v>估价对象所在区域银行、购物场所、学校等公共配套设施齐备，综合评价公共配套设施水平一般。</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813"/>
      <c r="Q19" s="1350" t="str">
        <f>B19</f>
        <v>公共配套设施</v>
      </c>
      <c r="R19" s="703" t="s">
        <v>14</v>
      </c>
      <c r="S19" s="704">
        <f>F19</f>
        <v>100</v>
      </c>
      <c r="T19" s="703" t="s">
        <v>14</v>
      </c>
      <c r="U19" s="704">
        <f>H19</f>
        <v>100</v>
      </c>
      <c r="V19" s="703" t="s">
        <v>14</v>
      </c>
      <c r="W19" s="704">
        <f>J19</f>
        <v>100</v>
      </c>
      <c r="X19" s="1353"/>
      <c r="Y19" s="3806"/>
      <c r="Z19" s="1354" t="str">
        <f>Q19</f>
        <v>公共配套设施</v>
      </c>
      <c r="AA19" s="1351">
        <f t="shared" si="3"/>
        <v>1</v>
      </c>
      <c r="AB19" s="1351">
        <f t="shared" si="4"/>
        <v>1</v>
      </c>
      <c r="AC19" s="1960">
        <f t="shared" si="5"/>
        <v>1</v>
      </c>
    </row>
    <row r="20" spans="1:29" ht="15">
      <c r="A20" s="379"/>
      <c r="B20" s="580"/>
      <c r="C20" s="1902" t="s">
        <v>3445</v>
      </c>
      <c r="D20" s="399"/>
      <c r="E20" s="1902" t="s">
        <v>3445</v>
      </c>
      <c r="F20" s="399"/>
      <c r="G20" s="1902" t="s">
        <v>3445</v>
      </c>
      <c r="H20" s="399"/>
      <c r="I20" s="1902" t="s">
        <v>3445</v>
      </c>
      <c r="J20" s="399"/>
      <c r="K20" s="564"/>
      <c r="L20" s="2715"/>
      <c r="M20" s="2709"/>
      <c r="N20" s="2709"/>
      <c r="O20" s="2709"/>
      <c r="P20" s="3813"/>
      <c r="Q20" s="1350"/>
      <c r="R20" s="703"/>
      <c r="S20" s="704"/>
      <c r="T20" s="703"/>
      <c r="U20" s="704"/>
      <c r="V20" s="703"/>
      <c r="W20" s="704"/>
      <c r="X20" s="1353"/>
      <c r="Y20" s="3806"/>
      <c r="Z20" s="1354"/>
      <c r="AA20" s="1351">
        <v>1</v>
      </c>
      <c r="AB20" s="1351">
        <v>1</v>
      </c>
      <c r="AC20" s="1960">
        <v>1</v>
      </c>
    </row>
    <row r="21" spans="1:29" ht="27" customHeight="1">
      <c r="A21" s="379"/>
      <c r="B21" s="581" t="s">
        <v>1811</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813"/>
      <c r="Q21" s="1350" t="str">
        <f>B21</f>
        <v>基础设施水平</v>
      </c>
      <c r="R21" s="703" t="s">
        <v>14</v>
      </c>
      <c r="S21" s="704">
        <f>F21</f>
        <v>100</v>
      </c>
      <c r="T21" s="703" t="s">
        <v>14</v>
      </c>
      <c r="U21" s="704">
        <f>H21</f>
        <v>100</v>
      </c>
      <c r="V21" s="703" t="s">
        <v>14</v>
      </c>
      <c r="W21" s="704">
        <f>J21</f>
        <v>100</v>
      </c>
      <c r="X21" s="1353"/>
      <c r="Y21" s="3806"/>
      <c r="Z21" s="1354" t="str">
        <f>Q21</f>
        <v>基础设施水平</v>
      </c>
      <c r="AA21" s="1351">
        <f t="shared" ref="AA21" si="8">D21/F21</f>
        <v>1</v>
      </c>
      <c r="AB21" s="1351">
        <f t="shared" ref="AB21" si="9">D21/H21</f>
        <v>1</v>
      </c>
      <c r="AC21" s="1960">
        <f t="shared" ref="AC21" si="10">D21/J21</f>
        <v>1</v>
      </c>
    </row>
    <row r="22" spans="1:29" ht="15">
      <c r="A22" s="379"/>
      <c r="B22" s="581"/>
      <c r="C22" s="1962" t="s">
        <v>3397</v>
      </c>
      <c r="D22" s="399"/>
      <c r="E22" s="1962" t="s">
        <v>3397</v>
      </c>
      <c r="F22" s="399"/>
      <c r="G22" s="1962" t="s">
        <v>3397</v>
      </c>
      <c r="H22" s="399"/>
      <c r="I22" s="1962" t="s">
        <v>3397</v>
      </c>
      <c r="J22" s="399"/>
      <c r="K22" s="1128"/>
      <c r="L22" s="2715"/>
      <c r="M22" s="2709"/>
      <c r="N22" s="2709"/>
      <c r="O22" s="2709"/>
      <c r="P22" s="3813"/>
      <c r="Q22" s="1350"/>
      <c r="R22" s="703"/>
      <c r="S22" s="704"/>
      <c r="T22" s="703"/>
      <c r="U22" s="704"/>
      <c r="V22" s="703"/>
      <c r="W22" s="704"/>
      <c r="X22" s="1353"/>
      <c r="Y22" s="3806"/>
      <c r="Z22" s="1354"/>
      <c r="AA22" s="1351">
        <v>1</v>
      </c>
      <c r="AB22" s="1351">
        <v>1</v>
      </c>
      <c r="AC22" s="1960">
        <v>1</v>
      </c>
    </row>
    <row r="23" spans="1:29" ht="60" customHeight="1">
      <c r="A23" s="379"/>
      <c r="B23" s="579" t="s">
        <v>1812</v>
      </c>
      <c r="C23" s="1961" t="str">
        <f>估价对象房地状况!C9</f>
        <v>区域内有国航大学、天竺公园等自然及人文环境，综合评价自然及人文环境状况一般。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813"/>
      <c r="Q23" s="1350" t="str">
        <f>B23</f>
        <v>环境质量</v>
      </c>
      <c r="R23" s="703" t="s">
        <v>14</v>
      </c>
      <c r="S23" s="704">
        <f>F23</f>
        <v>100</v>
      </c>
      <c r="T23" s="703" t="s">
        <v>14</v>
      </c>
      <c r="U23" s="704">
        <f>H23</f>
        <v>100</v>
      </c>
      <c r="V23" s="703" t="s">
        <v>14</v>
      </c>
      <c r="W23" s="704">
        <f>J23</f>
        <v>100</v>
      </c>
      <c r="X23" s="1353"/>
      <c r="Y23" s="3806"/>
      <c r="Z23" s="1354" t="str">
        <f>Q23</f>
        <v>环境质量</v>
      </c>
      <c r="AA23" s="1351">
        <f t="shared" si="3"/>
        <v>1</v>
      </c>
      <c r="AB23" s="1351">
        <f t="shared" si="4"/>
        <v>1</v>
      </c>
      <c r="AC23" s="1960">
        <f t="shared" si="5"/>
        <v>1</v>
      </c>
    </row>
    <row r="24" spans="1:29" ht="15">
      <c r="A24" s="379"/>
      <c r="B24" s="581"/>
      <c r="C24" s="1902" t="s">
        <v>3396</v>
      </c>
      <c r="D24" s="399"/>
      <c r="E24" s="1902" t="s">
        <v>3396</v>
      </c>
      <c r="F24" s="399"/>
      <c r="G24" s="1902" t="s">
        <v>3396</v>
      </c>
      <c r="H24" s="399"/>
      <c r="I24" s="1902" t="s">
        <v>3396</v>
      </c>
      <c r="J24" s="399"/>
      <c r="K24" s="564"/>
      <c r="L24" s="2715"/>
      <c r="M24" s="2709"/>
      <c r="N24" s="2709"/>
      <c r="O24" s="2709"/>
      <c r="P24" s="3813"/>
      <c r="Q24" s="1350"/>
      <c r="R24" s="703"/>
      <c r="S24" s="704"/>
      <c r="T24" s="703"/>
      <c r="U24" s="704"/>
      <c r="V24" s="703"/>
      <c r="W24" s="704"/>
      <c r="X24" s="1353"/>
      <c r="Y24" s="3806"/>
      <c r="Z24" s="1354"/>
      <c r="AA24" s="1351">
        <v>1</v>
      </c>
      <c r="AB24" s="1351">
        <v>1</v>
      </c>
      <c r="AC24" s="1960">
        <v>1</v>
      </c>
    </row>
    <row r="25" spans="1:29" ht="27">
      <c r="A25" s="358"/>
      <c r="B25" s="579" t="s">
        <v>1813</v>
      </c>
      <c r="C25" s="3452" t="s">
        <v>3447</v>
      </c>
      <c r="D25" s="386">
        <v>100</v>
      </c>
      <c r="E25" s="3452" t="s">
        <v>3447</v>
      </c>
      <c r="F25" s="386">
        <f>SUMIF(87:87,E26,88:88)-SUMIF(87:87,C26,88:88)+100</f>
        <v>100</v>
      </c>
      <c r="G25" s="3452" t="s">
        <v>3447</v>
      </c>
      <c r="H25" s="386">
        <f>SUMIF(87:87,G26,88:88)-SUMIF(87:87,C26,88:88)+100</f>
        <v>100</v>
      </c>
      <c r="I25" s="3452" t="s">
        <v>3447</v>
      </c>
      <c r="J25" s="386">
        <f>SUMIF(87:87,I26,88:88)-SUMIF(87:87,C26,88:88)+100</f>
        <v>100</v>
      </c>
      <c r="K25" s="563">
        <v>2</v>
      </c>
      <c r="L25" s="2715"/>
      <c r="M25" s="2709"/>
      <c r="N25" s="2709"/>
      <c r="O25" s="2709"/>
      <c r="P25" s="3813"/>
      <c r="Q25" s="1350" t="str">
        <f>B25</f>
        <v>毗邻道路的类型与等级</v>
      </c>
      <c r="R25" s="703" t="s">
        <v>14</v>
      </c>
      <c r="S25" s="704">
        <f>F25</f>
        <v>100</v>
      </c>
      <c r="T25" s="703" t="s">
        <v>14</v>
      </c>
      <c r="U25" s="704">
        <f>H25</f>
        <v>100</v>
      </c>
      <c r="V25" s="703" t="s">
        <v>14</v>
      </c>
      <c r="W25" s="704">
        <f>J25</f>
        <v>100</v>
      </c>
      <c r="X25" s="1353"/>
      <c r="Y25" s="3806"/>
      <c r="Z25" s="1354" t="str">
        <f>Q25</f>
        <v>毗邻道路的类型与等级</v>
      </c>
      <c r="AA25" s="1351">
        <f t="shared" si="3"/>
        <v>1</v>
      </c>
      <c r="AB25" s="1351">
        <f t="shared" si="4"/>
        <v>1</v>
      </c>
      <c r="AC25" s="1960">
        <f t="shared" si="5"/>
        <v>1</v>
      </c>
    </row>
    <row r="26" spans="1:29" ht="15">
      <c r="A26" s="358"/>
      <c r="B26" s="580"/>
      <c r="C26" s="582" t="s">
        <v>3446</v>
      </c>
      <c r="D26" s="386"/>
      <c r="E26" s="582" t="s">
        <v>3446</v>
      </c>
      <c r="F26" s="386"/>
      <c r="G26" s="582" t="s">
        <v>3446</v>
      </c>
      <c r="H26" s="386"/>
      <c r="I26" s="582" t="s">
        <v>3446</v>
      </c>
      <c r="J26" s="386"/>
      <c r="K26" s="564"/>
      <c r="L26" s="2715"/>
      <c r="M26" s="2709"/>
      <c r="N26" s="2709"/>
      <c r="O26" s="2709"/>
      <c r="P26" s="3813"/>
      <c r="Q26" s="1350"/>
      <c r="R26" s="703"/>
      <c r="S26" s="704"/>
      <c r="T26" s="703"/>
      <c r="U26" s="704"/>
      <c r="V26" s="703"/>
      <c r="W26" s="704"/>
      <c r="X26" s="1353"/>
      <c r="Y26" s="3806"/>
      <c r="Z26" s="1354"/>
      <c r="AA26" s="1351">
        <v>1</v>
      </c>
      <c r="AB26" s="1351">
        <v>1</v>
      </c>
      <c r="AC26" s="1960">
        <v>1</v>
      </c>
    </row>
    <row r="27" spans="1:29" ht="15">
      <c r="A27" s="379"/>
      <c r="B27" s="580" t="s">
        <v>1781</v>
      </c>
      <c r="C27" s="582" t="s">
        <v>3448</v>
      </c>
      <c r="D27" s="386">
        <v>100</v>
      </c>
      <c r="E27" s="582" t="s">
        <v>3404</v>
      </c>
      <c r="F27" s="386">
        <f>SUMIF(89:89,E27,90:90)-SUMIF(89:89,C27,90:90)+100</f>
        <v>105</v>
      </c>
      <c r="G27" s="582" t="s">
        <v>3404</v>
      </c>
      <c r="H27" s="386">
        <f>SUMIF(89:89,G27,90:90)-SUMIF(89:89,C27,90:90)+100</f>
        <v>105</v>
      </c>
      <c r="I27" s="582" t="s">
        <v>3404</v>
      </c>
      <c r="J27" s="386">
        <f>SUMIF(89:89,I27,90:90)-SUMIF(89:89,C27,90:90)+100</f>
        <v>105</v>
      </c>
      <c r="K27" s="561">
        <v>5</v>
      </c>
      <c r="L27" s="2715"/>
      <c r="M27" s="2709"/>
      <c r="N27" s="2709"/>
      <c r="O27" s="2709"/>
      <c r="P27" s="3813"/>
      <c r="Q27" s="1350" t="str">
        <f t="shared" ref="Q27:Q47" si="11">B27</f>
        <v>楼层</v>
      </c>
      <c r="R27" s="703" t="s">
        <v>14</v>
      </c>
      <c r="S27" s="704">
        <f>F27</f>
        <v>105</v>
      </c>
      <c r="T27" s="703" t="s">
        <v>14</v>
      </c>
      <c r="U27" s="704">
        <f>H27</f>
        <v>105</v>
      </c>
      <c r="V27" s="703" t="s">
        <v>14</v>
      </c>
      <c r="W27" s="704">
        <f>J27</f>
        <v>105</v>
      </c>
      <c r="X27" s="1353"/>
      <c r="Y27" s="3806"/>
      <c r="Z27" s="1354" t="str">
        <f>Q27</f>
        <v>楼层</v>
      </c>
      <c r="AA27" s="1351">
        <f t="shared" si="3"/>
        <v>0.95238095238095233</v>
      </c>
      <c r="AB27" s="1351">
        <f t="shared" si="4"/>
        <v>0.95238095238095233</v>
      </c>
      <c r="AC27" s="1960">
        <f t="shared" si="5"/>
        <v>0.95238095238095233</v>
      </c>
    </row>
    <row r="28" spans="1:29" s="108" customFormat="1" ht="15">
      <c r="A28" s="382"/>
      <c r="B28" s="579"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813"/>
      <c r="Q28" s="1341" t="str">
        <f t="shared" si="11"/>
        <v>朝向</v>
      </c>
      <c r="R28" s="699" t="s">
        <v>14</v>
      </c>
      <c r="S28" s="700">
        <f>F28</f>
        <v>100</v>
      </c>
      <c r="T28" s="699" t="s">
        <v>14</v>
      </c>
      <c r="U28" s="700">
        <f>H28</f>
        <v>100</v>
      </c>
      <c r="V28" s="699" t="s">
        <v>14</v>
      </c>
      <c r="W28" s="700">
        <f>J28</f>
        <v>100</v>
      </c>
      <c r="X28" s="701"/>
      <c r="Y28" s="380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813"/>
      <c r="Q29" s="1350">
        <f t="shared" si="11"/>
        <v>111</v>
      </c>
      <c r="R29" s="703" t="s">
        <v>14</v>
      </c>
      <c r="S29" s="704">
        <f t="shared" ref="S29:S47" si="12">F29</f>
        <v>100</v>
      </c>
      <c r="T29" s="703" t="s">
        <v>14</v>
      </c>
      <c r="U29" s="704">
        <f t="shared" ref="U29:U47" si="13">H29</f>
        <v>100</v>
      </c>
      <c r="V29" s="703" t="s">
        <v>14</v>
      </c>
      <c r="W29" s="704">
        <f t="shared" ref="W29:W47" si="14">J29</f>
        <v>100</v>
      </c>
      <c r="X29" s="1353"/>
      <c r="Y29" s="380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813"/>
      <c r="Q30" s="1350">
        <f t="shared" si="11"/>
        <v>111</v>
      </c>
      <c r="R30" s="703" t="s">
        <v>14</v>
      </c>
      <c r="S30" s="704">
        <f t="shared" si="12"/>
        <v>100</v>
      </c>
      <c r="T30" s="703" t="s">
        <v>14</v>
      </c>
      <c r="U30" s="704">
        <f t="shared" si="13"/>
        <v>100</v>
      </c>
      <c r="V30" s="703" t="s">
        <v>14</v>
      </c>
      <c r="W30" s="704">
        <f t="shared" si="14"/>
        <v>100</v>
      </c>
      <c r="X30" s="1353"/>
      <c r="Y30" s="380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813"/>
      <c r="Q31" s="1350">
        <f t="shared" si="11"/>
        <v>111</v>
      </c>
      <c r="R31" s="703" t="s">
        <v>14</v>
      </c>
      <c r="S31" s="704">
        <f t="shared" si="12"/>
        <v>100</v>
      </c>
      <c r="T31" s="703" t="s">
        <v>14</v>
      </c>
      <c r="U31" s="704">
        <f t="shared" si="13"/>
        <v>100</v>
      </c>
      <c r="V31" s="703" t="s">
        <v>14</v>
      </c>
      <c r="W31" s="704">
        <f t="shared" si="14"/>
        <v>100</v>
      </c>
      <c r="X31" s="1353"/>
      <c r="Y31" s="380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813"/>
      <c r="Q32" s="1350">
        <f t="shared" si="11"/>
        <v>111</v>
      </c>
      <c r="R32" s="703" t="s">
        <v>14</v>
      </c>
      <c r="S32" s="704">
        <f t="shared" si="12"/>
        <v>100</v>
      </c>
      <c r="T32" s="703" t="s">
        <v>14</v>
      </c>
      <c r="U32" s="704">
        <f t="shared" si="13"/>
        <v>100</v>
      </c>
      <c r="V32" s="703" t="s">
        <v>14</v>
      </c>
      <c r="W32" s="704">
        <f t="shared" si="14"/>
        <v>100</v>
      </c>
      <c r="X32" s="1353"/>
      <c r="Y32" s="3806"/>
      <c r="Z32" s="1354">
        <f t="shared" si="15"/>
        <v>111</v>
      </c>
      <c r="AA32" s="1351">
        <f t="shared" si="3"/>
        <v>1</v>
      </c>
      <c r="AB32" s="1351">
        <f t="shared" si="4"/>
        <v>1</v>
      </c>
      <c r="AC32" s="1960">
        <f t="shared" si="5"/>
        <v>1</v>
      </c>
    </row>
    <row r="33" spans="1:29" ht="15">
      <c r="A33" s="391" t="s">
        <v>1692</v>
      </c>
      <c r="B33" s="63" t="s">
        <v>1815</v>
      </c>
      <c r="C33" s="1965" t="s">
        <v>3430</v>
      </c>
      <c r="D33" s="418">
        <v>100</v>
      </c>
      <c r="E33" s="1965" t="s">
        <v>3430</v>
      </c>
      <c r="F33" s="412">
        <f>SUMIF(101:101,E33,102:102)-SUMIF(101:101,C33,102:102)+100</f>
        <v>100</v>
      </c>
      <c r="G33" s="1965" t="s">
        <v>3430</v>
      </c>
      <c r="H33" s="386">
        <f>SUMIF(101:101,G33,102:102)-SUMIF(101:101,C33,102:102)+100</f>
        <v>100</v>
      </c>
      <c r="I33" s="1965" t="s">
        <v>3430</v>
      </c>
      <c r="J33" s="418">
        <f>SUMIF(101:101,I33,102:102)-SUMIF(101:101,C33,102:102)+100</f>
        <v>100</v>
      </c>
      <c r="K33" s="561">
        <v>2</v>
      </c>
      <c r="L33" s="2715"/>
      <c r="M33" s="2709"/>
      <c r="N33" s="2709"/>
      <c r="O33" s="2709"/>
      <c r="P33" s="3807" t="s">
        <v>1694</v>
      </c>
      <c r="Q33" s="1350" t="str">
        <f t="shared" si="11"/>
        <v>建筑类型</v>
      </c>
      <c r="R33" s="703" t="s">
        <v>14</v>
      </c>
      <c r="S33" s="704">
        <f t="shared" si="12"/>
        <v>100</v>
      </c>
      <c r="T33" s="703" t="s">
        <v>14</v>
      </c>
      <c r="U33" s="704">
        <f t="shared" si="13"/>
        <v>100</v>
      </c>
      <c r="V33" s="703" t="s">
        <v>14</v>
      </c>
      <c r="W33" s="704">
        <f t="shared" si="14"/>
        <v>100</v>
      </c>
      <c r="X33" s="1353"/>
      <c r="Y33" s="3810" t="s">
        <v>1694</v>
      </c>
      <c r="Z33" s="1354" t="str">
        <f t="shared" si="15"/>
        <v>建筑类型</v>
      </c>
      <c r="AA33" s="1351">
        <f t="shared" si="3"/>
        <v>1</v>
      </c>
      <c r="AB33" s="1351">
        <f t="shared" si="4"/>
        <v>1</v>
      </c>
      <c r="AC33" s="1960">
        <f t="shared" si="5"/>
        <v>1</v>
      </c>
    </row>
    <row r="34" spans="1:29" s="422" customFormat="1" ht="15">
      <c r="A34" s="419"/>
      <c r="B34" s="375" t="s">
        <v>1695</v>
      </c>
      <c r="C34" s="420">
        <f>'数据-汇总表'!F19</f>
        <v>466.83</v>
      </c>
      <c r="D34" s="127">
        <v>100</v>
      </c>
      <c r="E34" s="420">
        <v>182.6</v>
      </c>
      <c r="F34" s="376">
        <f>LOOKUP(E34,104:104,105:105)-LOOKUP(C34,104:104,105:105)+100</f>
        <v>99</v>
      </c>
      <c r="G34" s="420">
        <v>1372.44</v>
      </c>
      <c r="H34" s="127">
        <f>LOOKUP(G34,104:104,105:105)-LOOKUP(C34,104:104,105:105)+100</f>
        <v>95</v>
      </c>
      <c r="I34" s="420">
        <v>490.45</v>
      </c>
      <c r="J34" s="127">
        <f>LOOKUP(I34,104:104,105:105)-LOOKUP(C34,104:104,105:105)+100</f>
        <v>100</v>
      </c>
      <c r="K34" s="562"/>
      <c r="L34" s="2714"/>
      <c r="M34" s="2716"/>
      <c r="N34" s="2716"/>
      <c r="O34" s="2716"/>
      <c r="P34" s="3808"/>
      <c r="Q34" s="705" t="str">
        <f t="shared" si="11"/>
        <v>项目建筑规模</v>
      </c>
      <c r="R34" s="706" t="s">
        <v>14</v>
      </c>
      <c r="S34" s="707">
        <f t="shared" si="12"/>
        <v>99</v>
      </c>
      <c r="T34" s="706" t="s">
        <v>14</v>
      </c>
      <c r="U34" s="707">
        <f t="shared" si="13"/>
        <v>95</v>
      </c>
      <c r="V34" s="706" t="s">
        <v>14</v>
      </c>
      <c r="W34" s="707">
        <f t="shared" si="14"/>
        <v>100</v>
      </c>
      <c r="X34" s="708"/>
      <c r="Y34" s="3810"/>
      <c r="Z34" s="709" t="str">
        <f t="shared" si="15"/>
        <v>项目建筑规模</v>
      </c>
      <c r="AA34" s="1351">
        <f t="shared" si="3"/>
        <v>1.0101010101010102</v>
      </c>
      <c r="AB34" s="1351">
        <f t="shared" si="4"/>
        <v>1.0526315789473684</v>
      </c>
      <c r="AC34" s="1960">
        <f t="shared" si="5"/>
        <v>1</v>
      </c>
    </row>
    <row r="35" spans="1:29" ht="15">
      <c r="A35" s="423"/>
      <c r="B35" s="375" t="s">
        <v>1696</v>
      </c>
      <c r="C35" s="411" t="s">
        <v>3388</v>
      </c>
      <c r="D35" s="386">
        <v>100</v>
      </c>
      <c r="E35" s="411" t="s">
        <v>3388</v>
      </c>
      <c r="F35" s="412">
        <f>SUMIF(106:106,E35,107:107)-SUMIF(106:106,C35,107:107)+100</f>
        <v>100</v>
      </c>
      <c r="G35" s="411" t="s">
        <v>3388</v>
      </c>
      <c r="H35" s="386">
        <f>SUMIF(106:106,G35,107:107)-SUMIF(106:106,C35,107:107)+100</f>
        <v>100</v>
      </c>
      <c r="I35" s="411" t="s">
        <v>3388</v>
      </c>
      <c r="J35" s="386">
        <f>SUMIF(106:106,I35,107:107)-SUMIF(106:106,C35,107:107)+100</f>
        <v>100</v>
      </c>
      <c r="K35" s="561">
        <v>2</v>
      </c>
      <c r="L35" s="2715"/>
      <c r="M35" s="2709"/>
      <c r="N35" s="2709"/>
      <c r="O35" s="2709"/>
      <c r="P35" s="3808"/>
      <c r="Q35" s="1350" t="str">
        <f t="shared" si="11"/>
        <v>建筑结构</v>
      </c>
      <c r="R35" s="703" t="s">
        <v>14</v>
      </c>
      <c r="S35" s="704">
        <f t="shared" si="12"/>
        <v>100</v>
      </c>
      <c r="T35" s="703" t="s">
        <v>14</v>
      </c>
      <c r="U35" s="704">
        <f t="shared" si="13"/>
        <v>100</v>
      </c>
      <c r="V35" s="703" t="s">
        <v>14</v>
      </c>
      <c r="W35" s="704">
        <f t="shared" si="14"/>
        <v>100</v>
      </c>
      <c r="X35" s="1353"/>
      <c r="Y35" s="3810"/>
      <c r="Z35" s="1354" t="str">
        <f t="shared" si="15"/>
        <v>建筑结构</v>
      </c>
      <c r="AA35" s="1351">
        <f t="shared" si="3"/>
        <v>1</v>
      </c>
      <c r="AB35" s="1351">
        <f t="shared" si="4"/>
        <v>1</v>
      </c>
      <c r="AC35" s="1960">
        <f t="shared" si="5"/>
        <v>1</v>
      </c>
    </row>
    <row r="36" spans="1:29" ht="15">
      <c r="A36" s="423"/>
      <c r="B36" s="375" t="s">
        <v>1783</v>
      </c>
      <c r="C36" s="411" t="s">
        <v>3431</v>
      </c>
      <c r="D36" s="386">
        <v>100</v>
      </c>
      <c r="E36" s="411" t="s">
        <v>3431</v>
      </c>
      <c r="F36" s="412">
        <f>SUMIF(108:108,E36,109:109)-SUMIF(108:108,C36,109:109)+100</f>
        <v>100</v>
      </c>
      <c r="G36" s="411" t="s">
        <v>3431</v>
      </c>
      <c r="H36" s="386">
        <f>SUMIF(108:108,G36,109:109)-SUMIF(108:108,C36,109:109)+100</f>
        <v>100</v>
      </c>
      <c r="I36" s="411" t="s">
        <v>3431</v>
      </c>
      <c r="J36" s="386">
        <f>SUMIF(108:108,I36,109:109)-SUMIF(108:108,C36,109:109)+100</f>
        <v>100</v>
      </c>
      <c r="K36" s="561">
        <v>2</v>
      </c>
      <c r="L36" s="2715"/>
      <c r="M36" s="2709"/>
      <c r="N36" s="2709"/>
      <c r="O36" s="2709"/>
      <c r="P36" s="3808"/>
      <c r="Q36" s="1350" t="str">
        <f t="shared" si="11"/>
        <v>公共部分装修</v>
      </c>
      <c r="R36" s="703" t="s">
        <v>14</v>
      </c>
      <c r="S36" s="704">
        <f t="shared" si="12"/>
        <v>100</v>
      </c>
      <c r="T36" s="703" t="s">
        <v>14</v>
      </c>
      <c r="U36" s="704">
        <f t="shared" si="13"/>
        <v>100</v>
      </c>
      <c r="V36" s="703" t="s">
        <v>14</v>
      </c>
      <c r="W36" s="704">
        <f t="shared" si="14"/>
        <v>100</v>
      </c>
      <c r="X36" s="1353"/>
      <c r="Y36" s="3810"/>
      <c r="Z36" s="1354" t="str">
        <f t="shared" si="15"/>
        <v>公共部分装修</v>
      </c>
      <c r="AA36" s="1351">
        <f t="shared" si="3"/>
        <v>1</v>
      </c>
      <c r="AB36" s="1351">
        <f t="shared" si="4"/>
        <v>1</v>
      </c>
      <c r="AC36" s="1960">
        <f t="shared" si="5"/>
        <v>1</v>
      </c>
    </row>
    <row r="37" spans="1:29" ht="15">
      <c r="A37" s="423"/>
      <c r="B37" s="375" t="s">
        <v>1784</v>
      </c>
      <c r="C37" s="425">
        <f>'数据-取费表'!Y6</f>
        <v>0.6</v>
      </c>
      <c r="D37" s="386">
        <v>100</v>
      </c>
      <c r="E37" s="425">
        <f>C37</f>
        <v>0.6</v>
      </c>
      <c r="F37" s="412">
        <f>LOOKUP(E37,111:111,112:112)-LOOKUP(C37,111:111,112:112)+100</f>
        <v>100</v>
      </c>
      <c r="G37" s="425">
        <f>E37</f>
        <v>0.6</v>
      </c>
      <c r="H37" s="412">
        <f>LOOKUP(G37,111:111,112:112)-LOOKUP(C37,111:111,112:112)+100</f>
        <v>100</v>
      </c>
      <c r="I37" s="425">
        <f>G37</f>
        <v>0.6</v>
      </c>
      <c r="J37" s="386">
        <f>LOOKUP(I37,111:111,112:112)-LOOKUP(C37,111:111,112:112)+100</f>
        <v>100</v>
      </c>
      <c r="K37" s="561">
        <v>1</v>
      </c>
      <c r="L37" s="2715"/>
      <c r="M37" s="2709"/>
      <c r="N37" s="2709"/>
      <c r="O37" s="2709"/>
      <c r="P37" s="3808"/>
      <c r="Q37" s="1350" t="str">
        <f t="shared" si="11"/>
        <v>成新度</v>
      </c>
      <c r="R37" s="703" t="s">
        <v>14</v>
      </c>
      <c r="S37" s="704">
        <f t="shared" si="12"/>
        <v>100</v>
      </c>
      <c r="T37" s="703" t="s">
        <v>14</v>
      </c>
      <c r="U37" s="704">
        <f t="shared" si="13"/>
        <v>100</v>
      </c>
      <c r="V37" s="703" t="s">
        <v>14</v>
      </c>
      <c r="W37" s="704">
        <f t="shared" si="14"/>
        <v>100</v>
      </c>
      <c r="X37" s="1353"/>
      <c r="Y37" s="3810"/>
      <c r="Z37" s="1354" t="str">
        <f t="shared" si="15"/>
        <v>成新度</v>
      </c>
      <c r="AA37" s="1351">
        <f t="shared" si="3"/>
        <v>1</v>
      </c>
      <c r="AB37" s="1351">
        <f t="shared" si="4"/>
        <v>1</v>
      </c>
      <c r="AC37" s="1960">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808"/>
      <c r="Q38" s="1341" t="str">
        <f t="shared" si="11"/>
        <v>写字楼等级</v>
      </c>
      <c r="R38" s="699" t="s">
        <v>14</v>
      </c>
      <c r="S38" s="700">
        <f t="shared" si="12"/>
        <v>100</v>
      </c>
      <c r="T38" s="699" t="s">
        <v>14</v>
      </c>
      <c r="U38" s="700">
        <f t="shared" si="13"/>
        <v>100</v>
      </c>
      <c r="V38" s="699" t="s">
        <v>14</v>
      </c>
      <c r="W38" s="700">
        <f t="shared" si="14"/>
        <v>100</v>
      </c>
      <c r="X38" s="701"/>
      <c r="Y38" s="3810"/>
      <c r="Z38" s="52" t="str">
        <f t="shared" si="15"/>
        <v>写字楼等级</v>
      </c>
      <c r="AA38" s="702">
        <f t="shared" si="3"/>
        <v>1</v>
      </c>
      <c r="AB38" s="702">
        <f t="shared" si="4"/>
        <v>1</v>
      </c>
      <c r="AC38" s="1957">
        <f t="shared" si="5"/>
        <v>1</v>
      </c>
    </row>
    <row r="39" spans="1:29" ht="15">
      <c r="A39" s="423"/>
      <c r="B39" s="375" t="s">
        <v>1817</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2</v>
      </c>
      <c r="L39" s="2715"/>
      <c r="M39" s="2709"/>
      <c r="N39" s="2709"/>
      <c r="O39" s="2709"/>
      <c r="P39" s="3808" t="s">
        <v>1694</v>
      </c>
      <c r="Q39" s="1350" t="str">
        <f t="shared" si="11"/>
        <v>物业管理</v>
      </c>
      <c r="R39" s="703" t="s">
        <v>14</v>
      </c>
      <c r="S39" s="704">
        <f t="shared" si="12"/>
        <v>100</v>
      </c>
      <c r="T39" s="703" t="s">
        <v>14</v>
      </c>
      <c r="U39" s="704">
        <f t="shared" si="13"/>
        <v>100</v>
      </c>
      <c r="V39" s="703" t="s">
        <v>14</v>
      </c>
      <c r="W39" s="704">
        <f t="shared" si="14"/>
        <v>100</v>
      </c>
      <c r="X39" s="1353"/>
      <c r="Y39" s="3810" t="s">
        <v>1694</v>
      </c>
      <c r="Z39" s="1354" t="str">
        <f t="shared" si="15"/>
        <v>物业管理</v>
      </c>
      <c r="AA39" s="1351">
        <f t="shared" si="3"/>
        <v>1</v>
      </c>
      <c r="AB39" s="1351">
        <f t="shared" si="4"/>
        <v>1</v>
      </c>
      <c r="AC39" s="1960">
        <f t="shared" si="5"/>
        <v>1</v>
      </c>
    </row>
    <row r="40" spans="1:29" ht="15">
      <c r="A40" s="423"/>
      <c r="B40" s="375" t="s">
        <v>1785</v>
      </c>
      <c r="C40" s="411" t="s">
        <v>3432</v>
      </c>
      <c r="D40" s="386">
        <v>100</v>
      </c>
      <c r="E40" s="411" t="s">
        <v>3432</v>
      </c>
      <c r="F40" s="412">
        <f>SUMIF(117:117,E40,118:118)-SUMIF(117:117,C40,118:118)+100</f>
        <v>100</v>
      </c>
      <c r="G40" s="411" t="s">
        <v>3432</v>
      </c>
      <c r="H40" s="386">
        <f>SUMIF(117:117,G40,118:118)-SUMIF(117:117,C40,118:118)+100</f>
        <v>100</v>
      </c>
      <c r="I40" s="411" t="s">
        <v>3432</v>
      </c>
      <c r="J40" s="386">
        <f>SUMIF(117:117,I40,118:118)-SUMIF(117:117,C40,118:118)+100</f>
        <v>100</v>
      </c>
      <c r="K40" s="561">
        <v>1</v>
      </c>
      <c r="L40" s="2715"/>
      <c r="M40" s="2709"/>
      <c r="N40" s="2709"/>
      <c r="O40" s="2709"/>
      <c r="P40" s="3808"/>
      <c r="Q40" s="1350" t="str">
        <f t="shared" si="11"/>
        <v>市政基础设施</v>
      </c>
      <c r="R40" s="703" t="s">
        <v>14</v>
      </c>
      <c r="S40" s="704">
        <f t="shared" si="12"/>
        <v>100</v>
      </c>
      <c r="T40" s="703" t="s">
        <v>14</v>
      </c>
      <c r="U40" s="704">
        <f t="shared" si="13"/>
        <v>100</v>
      </c>
      <c r="V40" s="703" t="s">
        <v>14</v>
      </c>
      <c r="W40" s="704">
        <f t="shared" si="14"/>
        <v>100</v>
      </c>
      <c r="X40" s="1353"/>
      <c r="Y40" s="3810"/>
      <c r="Z40" s="1354" t="str">
        <f t="shared" si="15"/>
        <v>市政基础设施</v>
      </c>
      <c r="AA40" s="1351">
        <f t="shared" si="3"/>
        <v>1</v>
      </c>
      <c r="AB40" s="1351">
        <f t="shared" si="4"/>
        <v>1</v>
      </c>
      <c r="AC40" s="1960">
        <f t="shared" si="5"/>
        <v>1</v>
      </c>
    </row>
    <row r="41" spans="1:29" ht="15">
      <c r="A41" s="423"/>
      <c r="B41" s="375" t="s">
        <v>1787</v>
      </c>
      <c r="C41" s="565" t="s">
        <v>3449</v>
      </c>
      <c r="D41" s="386">
        <v>100</v>
      </c>
      <c r="E41" s="565" t="s">
        <v>3449</v>
      </c>
      <c r="F41" s="412">
        <f>SUMIF(119:119,E41,120:120)-SUMIF(119:119,C41,120:120)+100</f>
        <v>100</v>
      </c>
      <c r="G41" s="565" t="s">
        <v>3449</v>
      </c>
      <c r="H41" s="386">
        <f>SUMIF(119:119,G41,120:120)-SUMIF(119:119,C41,120:120)+100</f>
        <v>100</v>
      </c>
      <c r="I41" s="565" t="s">
        <v>3449</v>
      </c>
      <c r="J41" s="386">
        <f>SUMIF(119:119,I41,120:120)-SUMIF(119:119,C41,120:120)+100</f>
        <v>100</v>
      </c>
      <c r="K41" s="561">
        <v>3</v>
      </c>
      <c r="L41" s="2715"/>
      <c r="M41" s="2709"/>
      <c r="N41" s="2709"/>
      <c r="O41" s="2709"/>
      <c r="P41" s="3808"/>
      <c r="Q41" s="1350" t="str">
        <f t="shared" si="11"/>
        <v>层高</v>
      </c>
      <c r="R41" s="703" t="s">
        <v>14</v>
      </c>
      <c r="S41" s="704">
        <f t="shared" si="12"/>
        <v>100</v>
      </c>
      <c r="T41" s="703" t="s">
        <v>14</v>
      </c>
      <c r="U41" s="704">
        <f t="shared" si="13"/>
        <v>100</v>
      </c>
      <c r="V41" s="703" t="s">
        <v>14</v>
      </c>
      <c r="W41" s="704">
        <f t="shared" si="14"/>
        <v>100</v>
      </c>
      <c r="X41" s="1353"/>
      <c r="Y41" s="3810"/>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808"/>
      <c r="Q42" s="705" t="str">
        <f t="shared" si="11"/>
        <v>单套建筑面积</v>
      </c>
      <c r="R42" s="706" t="s">
        <v>14</v>
      </c>
      <c r="S42" s="707">
        <f t="shared" si="12"/>
        <v>100</v>
      </c>
      <c r="T42" s="706" t="s">
        <v>14</v>
      </c>
      <c r="U42" s="707">
        <f t="shared" si="13"/>
        <v>100</v>
      </c>
      <c r="V42" s="706" t="s">
        <v>14</v>
      </c>
      <c r="W42" s="707">
        <f t="shared" si="14"/>
        <v>100</v>
      </c>
      <c r="X42" s="708"/>
      <c r="Y42" s="3810"/>
      <c r="Z42" s="709" t="str">
        <f t="shared" si="15"/>
        <v>单套建筑面积</v>
      </c>
      <c r="AA42" s="1351">
        <f t="shared" si="3"/>
        <v>1</v>
      </c>
      <c r="AB42" s="1351">
        <f t="shared" si="4"/>
        <v>1</v>
      </c>
      <c r="AC42" s="1960">
        <f t="shared" si="5"/>
        <v>1</v>
      </c>
    </row>
    <row r="43" spans="1:29" ht="15">
      <c r="A43" s="423"/>
      <c r="B43" s="375" t="s">
        <v>1790</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15"/>
      <c r="M43" s="2709"/>
      <c r="N43" s="2709"/>
      <c r="O43" s="2709"/>
      <c r="P43" s="3808"/>
      <c r="Q43" s="1350" t="str">
        <f t="shared" si="11"/>
        <v>内部装修</v>
      </c>
      <c r="R43" s="703" t="s">
        <v>14</v>
      </c>
      <c r="S43" s="704">
        <f t="shared" si="12"/>
        <v>100</v>
      </c>
      <c r="T43" s="703" t="s">
        <v>14</v>
      </c>
      <c r="U43" s="704">
        <f t="shared" si="13"/>
        <v>100</v>
      </c>
      <c r="V43" s="703" t="s">
        <v>14</v>
      </c>
      <c r="W43" s="704">
        <f t="shared" si="14"/>
        <v>100</v>
      </c>
      <c r="X43" s="1353"/>
      <c r="Y43" s="3810"/>
      <c r="Z43" s="1354" t="str">
        <f t="shared" si="15"/>
        <v>内部装修</v>
      </c>
      <c r="AA43" s="1351">
        <f t="shared" si="3"/>
        <v>1</v>
      </c>
      <c r="AB43" s="1351">
        <f t="shared" si="4"/>
        <v>1</v>
      </c>
      <c r="AC43" s="1960">
        <f t="shared" si="5"/>
        <v>1</v>
      </c>
    </row>
    <row r="44" spans="1:29" ht="15">
      <c r="A44" s="423"/>
      <c r="B44" s="375" t="s">
        <v>1705</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5"/>
      <c r="M44" s="2709"/>
      <c r="N44" s="2709"/>
      <c r="O44" s="2709"/>
      <c r="P44" s="3808"/>
      <c r="Q44" s="1350" t="str">
        <f t="shared" si="11"/>
        <v>内部装修维护情况</v>
      </c>
      <c r="R44" s="703" t="s">
        <v>14</v>
      </c>
      <c r="S44" s="704">
        <f t="shared" si="12"/>
        <v>100</v>
      </c>
      <c r="T44" s="703" t="s">
        <v>14</v>
      </c>
      <c r="U44" s="704">
        <f t="shared" si="13"/>
        <v>100</v>
      </c>
      <c r="V44" s="703" t="s">
        <v>14</v>
      </c>
      <c r="W44" s="704">
        <f t="shared" si="14"/>
        <v>100</v>
      </c>
      <c r="X44" s="1353"/>
      <c r="Y44" s="381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808"/>
      <c r="Q45" s="1341">
        <f t="shared" si="11"/>
        <v>111</v>
      </c>
      <c r="R45" s="699" t="s">
        <v>14</v>
      </c>
      <c r="S45" s="700">
        <f t="shared" si="12"/>
        <v>100</v>
      </c>
      <c r="T45" s="699" t="s">
        <v>14</v>
      </c>
      <c r="U45" s="700">
        <f t="shared" si="13"/>
        <v>100</v>
      </c>
      <c r="V45" s="699" t="s">
        <v>14</v>
      </c>
      <c r="W45" s="700">
        <f t="shared" si="14"/>
        <v>100</v>
      </c>
      <c r="X45" s="701"/>
      <c r="Y45" s="381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808"/>
      <c r="Q46" s="1350">
        <f t="shared" si="11"/>
        <v>111</v>
      </c>
      <c r="R46" s="703" t="s">
        <v>14</v>
      </c>
      <c r="S46" s="704">
        <f t="shared" si="12"/>
        <v>100</v>
      </c>
      <c r="T46" s="703" t="s">
        <v>14</v>
      </c>
      <c r="U46" s="704">
        <f t="shared" si="13"/>
        <v>100</v>
      </c>
      <c r="V46" s="703" t="s">
        <v>14</v>
      </c>
      <c r="W46" s="704">
        <f t="shared" si="14"/>
        <v>100</v>
      </c>
      <c r="X46" s="1353"/>
      <c r="Y46" s="381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809"/>
      <c r="Q47" s="1350">
        <f t="shared" si="11"/>
        <v>111</v>
      </c>
      <c r="R47" s="703" t="s">
        <v>14</v>
      </c>
      <c r="S47" s="704">
        <f t="shared" si="12"/>
        <v>100</v>
      </c>
      <c r="T47" s="703" t="s">
        <v>14</v>
      </c>
      <c r="U47" s="704">
        <f t="shared" si="13"/>
        <v>100</v>
      </c>
      <c r="V47" s="703" t="s">
        <v>14</v>
      </c>
      <c r="W47" s="704">
        <f t="shared" si="14"/>
        <v>100</v>
      </c>
      <c r="X47" s="1353"/>
      <c r="Y47" s="3811"/>
      <c r="Z47" s="1354">
        <f t="shared" si="15"/>
        <v>111</v>
      </c>
      <c r="AA47" s="1351">
        <f t="shared" si="3"/>
        <v>1</v>
      </c>
      <c r="AB47" s="1351">
        <f t="shared" si="4"/>
        <v>1</v>
      </c>
      <c r="AC47" s="1960">
        <f t="shared" si="5"/>
        <v>1</v>
      </c>
    </row>
    <row r="48" spans="1:29" ht="15">
      <c r="A48" s="430" t="s">
        <v>1706</v>
      </c>
      <c r="B48" s="431"/>
      <c r="C48" s="1152" t="s">
        <v>0</v>
      </c>
      <c r="D48" s="1153"/>
      <c r="E48" s="1154">
        <f>ROUND(38336*E51,0)</f>
        <v>38336</v>
      </c>
      <c r="F48" s="1155"/>
      <c r="G48" s="1154">
        <f>ROUND(38501*G51,0)</f>
        <v>38501</v>
      </c>
      <c r="H48" s="1157"/>
      <c r="I48" s="1154">
        <f>ROUND(39495*I51,0)</f>
        <v>39495</v>
      </c>
      <c r="J48" s="436"/>
      <c r="K48" s="712"/>
      <c r="L48" s="2717"/>
      <c r="M48" s="2709"/>
      <c r="N48" s="2709"/>
      <c r="O48" s="2709"/>
      <c r="P48" s="3814" t="str">
        <f>A48</f>
        <v>成交单价（元/平方米）</v>
      </c>
      <c r="Q48" s="3803"/>
      <c r="R48" s="3804">
        <f>E48</f>
        <v>38336</v>
      </c>
      <c r="S48" s="3804"/>
      <c r="T48" s="3804">
        <f>G48</f>
        <v>38501</v>
      </c>
      <c r="U48" s="3804"/>
      <c r="V48" s="3804">
        <f>I48</f>
        <v>39495</v>
      </c>
      <c r="W48" s="3804"/>
      <c r="X48" s="397"/>
      <c r="Y48" s="710"/>
      <c r="Z48" s="397"/>
      <c r="AA48" s="397"/>
      <c r="AB48" s="397"/>
      <c r="AC48" s="578"/>
    </row>
    <row r="49" spans="1:29" ht="15.75" thickBot="1">
      <c r="A49" s="437" t="s">
        <v>1791</v>
      </c>
      <c r="B49" s="438"/>
      <c r="C49" s="1158">
        <f>R50</f>
        <v>37697</v>
      </c>
      <c r="D49" s="2315" t="s">
        <v>2134</v>
      </c>
      <c r="E49" s="1159">
        <f>R49</f>
        <v>36879</v>
      </c>
      <c r="F49" s="2316"/>
      <c r="G49" s="1158">
        <f>T49</f>
        <v>38597</v>
      </c>
      <c r="H49" s="2316"/>
      <c r="I49" s="1159">
        <f>V49</f>
        <v>37614</v>
      </c>
      <c r="J49" s="2316"/>
      <c r="K49" s="2318">
        <f>F49+H49+J49</f>
        <v>0</v>
      </c>
      <c r="L49" s="2717"/>
      <c r="M49" s="2709"/>
      <c r="N49" s="2709"/>
      <c r="O49" s="2709"/>
      <c r="P49" s="3814" t="str">
        <f>A49</f>
        <v>比较价值（元/平方米）</v>
      </c>
      <c r="Q49" s="3803"/>
      <c r="R49" s="3804">
        <f>IF(F1="售价",ROUND(PRODUCT(R48,AA7:AA47),0),ROUND(PRODUCT(R48,AA7:AA47),1))</f>
        <v>36879</v>
      </c>
      <c r="S49" s="3804"/>
      <c r="T49" s="3804">
        <f>IF(F1="售价",ROUND(PRODUCT(T48,AB7:AB47),0),ROUND(PRODUCT(T48,AB7:AB47),1))</f>
        <v>38597</v>
      </c>
      <c r="U49" s="3804"/>
      <c r="V49" s="3804">
        <f>IF(F1="售价",ROUND(PRODUCT(V48,AC7:AC47),0),ROUND(PRODUCT(V48,AC7:AC47),1))</f>
        <v>37614</v>
      </c>
      <c r="W49" s="3804"/>
      <c r="X49" s="397"/>
      <c r="Y49" s="397"/>
      <c r="Z49" s="397"/>
      <c r="AA49" s="397"/>
      <c r="AB49" s="397"/>
      <c r="AC49" s="578"/>
    </row>
    <row r="50" spans="1:29" ht="15.75" thickBot="1">
      <c r="A50" s="441" t="s">
        <v>1792</v>
      </c>
      <c r="B50" s="442"/>
      <c r="C50" s="1161">
        <f>R50</f>
        <v>37697</v>
      </c>
      <c r="D50" s="1161"/>
      <c r="E50" s="1161"/>
      <c r="F50" s="1161"/>
      <c r="G50" s="1161"/>
      <c r="H50" s="1161"/>
      <c r="I50" s="1161"/>
      <c r="J50" s="443"/>
      <c r="K50" s="713"/>
      <c r="L50" s="2717"/>
      <c r="M50" s="2709"/>
      <c r="N50" s="2709"/>
      <c r="O50" s="2709"/>
      <c r="P50" s="3905" t="str">
        <f>A50</f>
        <v>估价对象XX用房的比较价值（楼面单价，元/平方米）</v>
      </c>
      <c r="Q50" s="3906"/>
      <c r="R50" s="3907">
        <f>IF(F1="售价",ROUND(IF(D49="简单平均",AVERAGE(R49:V49),R49*F49+T49*H49+V49*J49),0),ROUND(IF(D49="简单平均",AVERAGE(R49:V49),R49*F49+T49*H49+V49*J49),1))</f>
        <v>37697</v>
      </c>
      <c r="S50" s="3907"/>
      <c r="T50" s="3907"/>
      <c r="U50" s="3907"/>
      <c r="V50" s="3907"/>
      <c r="W50" s="3907"/>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3.9507578838905655E-2</v>
      </c>
      <c r="F53" s="449" t="str">
        <f>IF(OR(E53&gt;=0.3,E53&lt;=-0.3),"超过30%","")</f>
        <v/>
      </c>
      <c r="G53" s="448">
        <f>IF(G48&lt;G49,G49/G48-1,G48/G49-1)</f>
        <v>2.4934417287862942E-3</v>
      </c>
      <c r="H53" s="449" t="str">
        <f>IF(OR(G53&gt;=0.3,G53&lt;=-0.3),"超过30%","")</f>
        <v/>
      </c>
      <c r="I53" s="448">
        <f>IF(I48&lt;I49,I49/I48-1,I48/I49-1)</f>
        <v>5.0007975753708633E-2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4.6584777244502273E-2</v>
      </c>
      <c r="F54" s="449" t="str">
        <f>IF(OR(E54&gt;=0.2,E54&lt;=-0.2),"超过20%","")</f>
        <v/>
      </c>
      <c r="G54" s="448">
        <f>IF(G49&lt;I49,I49/G49-1,G49/I49-1)</f>
        <v>2.6133886318923771E-2</v>
      </c>
      <c r="H54" s="449" t="str">
        <f>IF(OR(G54&gt;=0.2,G54&lt;=-0.2),"超过20%","")</f>
        <v/>
      </c>
      <c r="I54" s="448">
        <f>IF(I49&lt;E49,E49/I49-1,I49/E49-1)</f>
        <v>1.9930041487025152E-2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4.3040484140233204E-3</v>
      </c>
      <c r="F55" s="449" t="str">
        <f>IF(OR(E55&gt;=0.3,E55&lt;=-0.3),"超过30%","")</f>
        <v/>
      </c>
      <c r="G55" s="448">
        <f>IF(G48&lt;I48,I48/G48-1,G48/I48-1)</f>
        <v>2.5817511233474422E-2</v>
      </c>
      <c r="H55" s="449" t="str">
        <f>IF(OR(G55&gt;=0.3,G55&lt;=-0.3),"超过30%","")</f>
        <v/>
      </c>
      <c r="I55" s="448">
        <f>IF(I48&lt;E48,E48/I48-1,I48/E48-1)</f>
        <v>3.0232679465776346E-2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1796</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2023-2</v>
      </c>
      <c r="D59" s="1183">
        <f>EDATE(C59,-1)</f>
        <v>44927</v>
      </c>
      <c r="E59" s="1183">
        <f>EDATE(D59,-1)</f>
        <v>44896</v>
      </c>
      <c r="F59" s="1183">
        <f t="shared" ref="F59:O59" si="16">EDATE(E59,-1)</f>
        <v>44866</v>
      </c>
      <c r="G59" s="1183">
        <f t="shared" si="16"/>
        <v>44835</v>
      </c>
      <c r="H59" s="1183">
        <f t="shared" si="16"/>
        <v>44805</v>
      </c>
      <c r="I59" s="1183">
        <f t="shared" si="16"/>
        <v>44774</v>
      </c>
      <c r="J59" s="1183">
        <f t="shared" si="16"/>
        <v>44743</v>
      </c>
      <c r="K59" s="1183">
        <f t="shared" si="16"/>
        <v>44713</v>
      </c>
      <c r="L59" s="1183">
        <f t="shared" si="16"/>
        <v>44682</v>
      </c>
      <c r="M59" s="1183">
        <f t="shared" si="16"/>
        <v>44652</v>
      </c>
      <c r="N59" s="1183">
        <f t="shared" si="16"/>
        <v>44621</v>
      </c>
      <c r="O59" s="1183">
        <f t="shared" si="16"/>
        <v>44593</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3444" t="s">
        <v>3398</v>
      </c>
      <c r="D87" s="3444" t="s">
        <v>3399</v>
      </c>
      <c r="E87" s="3444" t="s">
        <v>3400</v>
      </c>
      <c r="F87" s="3444" t="s">
        <v>3401</v>
      </c>
      <c r="G87" s="3444" t="s">
        <v>3402</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3403</v>
      </c>
      <c r="D89" s="3444" t="s">
        <v>3405</v>
      </c>
      <c r="E89" s="3444" t="s">
        <v>3406</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45" t="s">
        <v>3407</v>
      </c>
      <c r="D101" s="3445" t="s">
        <v>3408</v>
      </c>
      <c r="E101" s="3445" t="s">
        <v>3409</v>
      </c>
      <c r="F101" s="3445" t="s">
        <v>3410</v>
      </c>
      <c r="G101" s="3445" t="s">
        <v>3411</v>
      </c>
      <c r="H101" s="3445" t="s">
        <v>3412</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1735</v>
      </c>
      <c r="C103" s="527" t="str">
        <f>C104&amp;"(含)"&amp;"-"&amp;D104</f>
        <v>100(含)-300</v>
      </c>
      <c r="D103" s="527" t="str">
        <f t="shared" ref="D103:L103" si="23">D104&amp;"(含)"&amp;"-"&amp;E104</f>
        <v>300(含)-500</v>
      </c>
      <c r="E103" s="527" t="str">
        <f t="shared" si="23"/>
        <v>500(含)-700</v>
      </c>
      <c r="F103" s="527" t="str">
        <f t="shared" si="23"/>
        <v>700(含)-900</v>
      </c>
      <c r="G103" s="527" t="str">
        <f t="shared" si="23"/>
        <v>900(含)-1100</v>
      </c>
      <c r="H103" s="527" t="str">
        <f t="shared" si="23"/>
        <v>1100(含)-1300</v>
      </c>
      <c r="I103" s="527" t="str">
        <f t="shared" si="23"/>
        <v>1300(含)-1500</v>
      </c>
      <c r="J103" s="527" t="str">
        <f t="shared" si="23"/>
        <v>1500(含)-1700</v>
      </c>
      <c r="K103" s="527" t="str">
        <f t="shared" si="23"/>
        <v>1700(含)-2000</v>
      </c>
      <c r="L103" s="527" t="str">
        <f t="shared" si="23"/>
        <v>2000(含)-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700</v>
      </c>
      <c r="G104" s="3446">
        <v>900</v>
      </c>
      <c r="H104" s="3446">
        <v>1100</v>
      </c>
      <c r="I104" s="3446">
        <v>1300</v>
      </c>
      <c r="J104" s="3446">
        <v>1500</v>
      </c>
      <c r="K104" s="3446">
        <v>1700</v>
      </c>
      <c r="L104" s="3446">
        <v>2000</v>
      </c>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v>
      </c>
      <c r="D105" s="3447">
        <v>100</v>
      </c>
      <c r="E105" s="3447">
        <v>99</v>
      </c>
      <c r="F105" s="3447">
        <v>98</v>
      </c>
      <c r="G105" s="3447">
        <v>97</v>
      </c>
      <c r="H105" s="3447">
        <v>96</v>
      </c>
      <c r="I105" s="3447">
        <v>95</v>
      </c>
      <c r="J105" s="3447">
        <v>94</v>
      </c>
      <c r="K105" s="3447">
        <v>93</v>
      </c>
      <c r="L105" s="3447">
        <v>92</v>
      </c>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48" t="s">
        <v>3413</v>
      </c>
      <c r="D106" s="3448" t="s">
        <v>3414</v>
      </c>
      <c r="E106" s="3449" t="s">
        <v>3415</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48" t="s">
        <v>3416</v>
      </c>
      <c r="D108" s="3448" t="s">
        <v>3417</v>
      </c>
      <c r="E108" s="3448" t="s">
        <v>3418</v>
      </c>
      <c r="F108" s="3449" t="s">
        <v>3419</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48" t="s">
        <v>3420</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44" t="s">
        <v>3422</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48" t="s">
        <v>3423</v>
      </c>
      <c r="D117" s="3448" t="s">
        <v>3424</v>
      </c>
      <c r="E117" s="3448" t="s">
        <v>3425</v>
      </c>
      <c r="F117" s="3448" t="s">
        <v>3426</v>
      </c>
      <c r="G117" s="3448" t="s">
        <v>3427</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3449" t="s">
        <v>3428</v>
      </c>
      <c r="D119" s="3449" t="s">
        <v>3429</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3448" t="s">
        <v>3416</v>
      </c>
      <c r="D123" s="3448" t="s">
        <v>3417</v>
      </c>
      <c r="E123" s="3448" t="s">
        <v>3418</v>
      </c>
      <c r="F123" s="3449" t="s">
        <v>3419</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466.83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818" t="s">
        <v>1768</v>
      </c>
      <c r="D4" s="3819"/>
      <c r="E4" s="3820" t="s">
        <v>1769</v>
      </c>
      <c r="F4" s="3821"/>
      <c r="G4" s="3818" t="s">
        <v>1770</v>
      </c>
      <c r="H4" s="3819"/>
      <c r="I4" s="3818" t="s">
        <v>1771</v>
      </c>
      <c r="J4" s="3819"/>
      <c r="K4" s="559" t="s">
        <v>1772</v>
      </c>
      <c r="L4" s="911"/>
      <c r="M4" s="912"/>
      <c r="N4" s="912"/>
      <c r="O4" s="912"/>
      <c r="P4" s="3822" t="s">
        <v>1773</v>
      </c>
      <c r="Q4" s="3823"/>
      <c r="R4" s="3828" t="s">
        <v>1769</v>
      </c>
      <c r="S4" s="3829"/>
      <c r="T4" s="3828" t="s">
        <v>1770</v>
      </c>
      <c r="U4" s="3829"/>
      <c r="V4" s="3834" t="s">
        <v>1771</v>
      </c>
      <c r="W4" s="3834"/>
      <c r="X4" s="1353"/>
      <c r="Y4" s="3828" t="s">
        <v>1773</v>
      </c>
      <c r="Z4" s="3829"/>
      <c r="AA4" s="3815" t="s">
        <v>1769</v>
      </c>
      <c r="AB4" s="3816" t="s">
        <v>1770</v>
      </c>
      <c r="AC4" s="3815" t="s">
        <v>1771</v>
      </c>
    </row>
    <row r="5" spans="1:29" ht="15">
      <c r="A5" s="358"/>
      <c r="B5" s="359"/>
      <c r="C5" s="3837" t="s">
        <v>1671</v>
      </c>
      <c r="D5" s="3838"/>
      <c r="E5" s="3844" t="s">
        <v>1672</v>
      </c>
      <c r="F5" s="3845"/>
      <c r="G5" s="3837" t="s">
        <v>1673</v>
      </c>
      <c r="H5" s="3838"/>
      <c r="I5" s="3837" t="s">
        <v>1674</v>
      </c>
      <c r="J5" s="3838"/>
      <c r="K5" s="559"/>
      <c r="L5" s="911"/>
      <c r="M5" s="912"/>
      <c r="N5" s="912"/>
      <c r="O5" s="912"/>
      <c r="P5" s="3824"/>
      <c r="Q5" s="3825"/>
      <c r="R5" s="3830"/>
      <c r="S5" s="3831"/>
      <c r="T5" s="3830"/>
      <c r="U5" s="3831"/>
      <c r="V5" s="3834"/>
      <c r="W5" s="3834"/>
      <c r="X5" s="1353"/>
      <c r="Y5" s="3830"/>
      <c r="Z5" s="3831"/>
      <c r="AA5" s="3816"/>
      <c r="AB5" s="3816"/>
      <c r="AC5" s="3816"/>
    </row>
    <row r="6" spans="1:29" ht="15.75" thickBot="1">
      <c r="A6" s="360"/>
      <c r="B6" s="361"/>
      <c r="C6" s="3835" t="s">
        <v>1675</v>
      </c>
      <c r="D6" s="3836"/>
      <c r="E6" s="3842" t="s">
        <v>1675</v>
      </c>
      <c r="F6" s="3843"/>
      <c r="G6" s="3835" t="s">
        <v>1675</v>
      </c>
      <c r="H6" s="3836"/>
      <c r="I6" s="3835" t="s">
        <v>1675</v>
      </c>
      <c r="J6" s="3836"/>
      <c r="K6" s="559" t="s">
        <v>1676</v>
      </c>
      <c r="L6" s="911"/>
      <c r="M6" s="912"/>
      <c r="N6" s="912"/>
      <c r="O6" s="912"/>
      <c r="P6" s="3826"/>
      <c r="Q6" s="3827"/>
      <c r="R6" s="3830"/>
      <c r="S6" s="3831"/>
      <c r="T6" s="3832"/>
      <c r="U6" s="3833"/>
      <c r="V6" s="3834"/>
      <c r="W6" s="3834"/>
      <c r="X6" s="1353"/>
      <c r="Y6" s="3832"/>
      <c r="Z6" s="3833"/>
      <c r="AA6" s="3817"/>
      <c r="AB6" s="3817"/>
      <c r="AC6" s="3817"/>
    </row>
    <row r="7" spans="1:29" s="108" customFormat="1" ht="15.75" thickBot="1">
      <c r="A7" s="362" t="s">
        <v>1677</v>
      </c>
      <c r="B7" s="363"/>
      <c r="C7" s="364">
        <f>'数据-取费表'!B2</f>
        <v>44971</v>
      </c>
      <c r="D7" s="365">
        <v>100</v>
      </c>
      <c r="E7" s="366"/>
      <c r="F7" s="367">
        <f>SUMIF(52:52,YEAR(E7)&amp;"-"&amp;MONTH(E7),53:53)</f>
        <v>0</v>
      </c>
      <c r="G7" s="366"/>
      <c r="H7" s="365">
        <f>SUMIF(52:52,YEAR(G7)&amp;"-"&amp;MONTH(G7),53:53)</f>
        <v>0</v>
      </c>
      <c r="I7" s="366"/>
      <c r="J7" s="365">
        <f>SUMIF(52:52,YEAR(I7)&amp;"-"&amp;MONTH(I7),53:53)</f>
        <v>0</v>
      </c>
      <c r="K7" s="560"/>
      <c r="L7" s="913"/>
      <c r="M7" s="914"/>
      <c r="N7" s="914"/>
      <c r="O7" s="914"/>
      <c r="P7" s="3839" t="s">
        <v>1678</v>
      </c>
      <c r="Q7" s="3841"/>
      <c r="R7" s="699" t="s">
        <v>14</v>
      </c>
      <c r="S7" s="700">
        <f t="shared" ref="S7:S15" si="0">F7</f>
        <v>0</v>
      </c>
      <c r="T7" s="699" t="s">
        <v>14</v>
      </c>
      <c r="U7" s="700">
        <f t="shared" ref="U7:U15" si="1">H7</f>
        <v>0</v>
      </c>
      <c r="V7" s="699" t="s">
        <v>14</v>
      </c>
      <c r="W7" s="700">
        <f t="shared" ref="W7:W15" si="2">J7</f>
        <v>0</v>
      </c>
      <c r="X7" s="701"/>
      <c r="Y7" s="3839" t="s">
        <v>1678</v>
      </c>
      <c r="Z7" s="3840"/>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839" t="s">
        <v>1681</v>
      </c>
      <c r="Q8" s="3840"/>
      <c r="R8" s="699" t="s">
        <v>14</v>
      </c>
      <c r="S8" s="700">
        <f t="shared" si="0"/>
        <v>100</v>
      </c>
      <c r="T8" s="699" t="s">
        <v>14</v>
      </c>
      <c r="U8" s="700">
        <f t="shared" si="1"/>
        <v>100</v>
      </c>
      <c r="V8" s="699" t="s">
        <v>14</v>
      </c>
      <c r="W8" s="700">
        <f t="shared" si="2"/>
        <v>100</v>
      </c>
      <c r="X8" s="701"/>
      <c r="Y8" s="3839" t="s">
        <v>1681</v>
      </c>
      <c r="Z8" s="3840"/>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803" t="s">
        <v>1684</v>
      </c>
      <c r="Q9" s="1341" t="str">
        <f t="shared" ref="Q9:Q15" si="6">B9</f>
        <v>用途</v>
      </c>
      <c r="R9" s="699" t="s">
        <v>14</v>
      </c>
      <c r="S9" s="700">
        <f t="shared" si="0"/>
        <v>100</v>
      </c>
      <c r="T9" s="699" t="s">
        <v>14</v>
      </c>
      <c r="U9" s="700">
        <f t="shared" si="1"/>
        <v>100</v>
      </c>
      <c r="V9" s="699" t="s">
        <v>14</v>
      </c>
      <c r="W9" s="700">
        <f t="shared" si="2"/>
        <v>100</v>
      </c>
      <c r="X9" s="701"/>
      <c r="Y9" s="3679"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803"/>
      <c r="Q10" s="1341" t="str">
        <f t="shared" si="6"/>
        <v>土地使用年限（年）</v>
      </c>
      <c r="R10" s="699" t="s">
        <v>14</v>
      </c>
      <c r="S10" s="700">
        <f t="shared" si="0"/>
        <v>100</v>
      </c>
      <c r="T10" s="699" t="s">
        <v>14</v>
      </c>
      <c r="U10" s="700">
        <f t="shared" si="1"/>
        <v>100</v>
      </c>
      <c r="V10" s="699" t="s">
        <v>14</v>
      </c>
      <c r="W10" s="700">
        <f t="shared" si="2"/>
        <v>100</v>
      </c>
      <c r="X10" s="701"/>
      <c r="Y10" s="3679"/>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803"/>
      <c r="Q11" s="1341" t="str">
        <f t="shared" si="6"/>
        <v>容积率</v>
      </c>
      <c r="R11" s="699" t="s">
        <v>14</v>
      </c>
      <c r="S11" s="700">
        <f t="shared" si="0"/>
        <v>100</v>
      </c>
      <c r="T11" s="699" t="s">
        <v>14</v>
      </c>
      <c r="U11" s="700">
        <f t="shared" si="1"/>
        <v>100</v>
      </c>
      <c r="V11" s="699" t="s">
        <v>14</v>
      </c>
      <c r="W11" s="700">
        <f t="shared" si="2"/>
        <v>100</v>
      </c>
      <c r="X11" s="701"/>
      <c r="Y11" s="367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803"/>
      <c r="Q12" s="1341">
        <f t="shared" si="6"/>
        <v>111</v>
      </c>
      <c r="R12" s="699" t="s">
        <v>14</v>
      </c>
      <c r="S12" s="700">
        <f t="shared" si="0"/>
        <v>100</v>
      </c>
      <c r="T12" s="699" t="s">
        <v>14</v>
      </c>
      <c r="U12" s="700">
        <f t="shared" si="1"/>
        <v>100</v>
      </c>
      <c r="V12" s="699" t="s">
        <v>14</v>
      </c>
      <c r="W12" s="700">
        <f t="shared" si="2"/>
        <v>100</v>
      </c>
      <c r="X12" s="701"/>
      <c r="Y12" s="367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803"/>
      <c r="Q13" s="1341">
        <f t="shared" si="6"/>
        <v>111</v>
      </c>
      <c r="R13" s="699" t="s">
        <v>14</v>
      </c>
      <c r="S13" s="700">
        <f t="shared" si="0"/>
        <v>100</v>
      </c>
      <c r="T13" s="699" t="s">
        <v>14</v>
      </c>
      <c r="U13" s="700">
        <f t="shared" si="1"/>
        <v>100</v>
      </c>
      <c r="V13" s="699" t="s">
        <v>14</v>
      </c>
      <c r="W13" s="700">
        <f t="shared" si="2"/>
        <v>100</v>
      </c>
      <c r="X13" s="701"/>
      <c r="Y13" s="367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803"/>
      <c r="Q14" s="1341">
        <f t="shared" si="6"/>
        <v>111</v>
      </c>
      <c r="R14" s="699" t="s">
        <v>14</v>
      </c>
      <c r="S14" s="700">
        <f t="shared" si="0"/>
        <v>100</v>
      </c>
      <c r="T14" s="699" t="s">
        <v>14</v>
      </c>
      <c r="U14" s="700">
        <f t="shared" si="1"/>
        <v>100</v>
      </c>
      <c r="V14" s="699" t="s">
        <v>14</v>
      </c>
      <c r="W14" s="700">
        <f t="shared" si="2"/>
        <v>100</v>
      </c>
      <c r="X14" s="701"/>
      <c r="Y14" s="3679"/>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805" t="s">
        <v>1689</v>
      </c>
      <c r="Q15" s="1350" t="str">
        <f t="shared" si="6"/>
        <v>产业集聚程度</v>
      </c>
      <c r="R15" s="703" t="s">
        <v>14</v>
      </c>
      <c r="S15" s="704">
        <f t="shared" si="0"/>
        <v>100</v>
      </c>
      <c r="T15" s="703" t="s">
        <v>14</v>
      </c>
      <c r="U15" s="704">
        <f t="shared" si="1"/>
        <v>100</v>
      </c>
      <c r="V15" s="703" t="s">
        <v>14</v>
      </c>
      <c r="W15" s="704">
        <f t="shared" si="2"/>
        <v>100</v>
      </c>
      <c r="X15" s="1353"/>
      <c r="Y15" s="3805"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806"/>
      <c r="Q16" s="1350"/>
      <c r="R16" s="703"/>
      <c r="S16" s="704"/>
      <c r="T16" s="703"/>
      <c r="U16" s="704"/>
      <c r="V16" s="703"/>
      <c r="W16" s="704"/>
      <c r="X16" s="1353"/>
      <c r="Y16" s="3806"/>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806"/>
      <c r="Q17" s="1350" t="str">
        <f>B17</f>
        <v>交通便捷度</v>
      </c>
      <c r="R17" s="703" t="s">
        <v>14</v>
      </c>
      <c r="S17" s="704">
        <f>F17</f>
        <v>100</v>
      </c>
      <c r="T17" s="703" t="s">
        <v>14</v>
      </c>
      <c r="U17" s="704">
        <f>H17</f>
        <v>100</v>
      </c>
      <c r="V17" s="703" t="s">
        <v>14</v>
      </c>
      <c r="W17" s="704">
        <f>J17</f>
        <v>100</v>
      </c>
      <c r="X17" s="1353"/>
      <c r="Y17" s="38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806"/>
      <c r="Q18" s="1350"/>
      <c r="R18" s="703"/>
      <c r="S18" s="704"/>
      <c r="T18" s="703"/>
      <c r="U18" s="704"/>
      <c r="V18" s="703"/>
      <c r="W18" s="704"/>
      <c r="X18" s="1353"/>
      <c r="Y18" s="3806"/>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806"/>
      <c r="Q19" s="1350" t="str">
        <f>B19</f>
        <v>公共配套设施</v>
      </c>
      <c r="R19" s="703" t="s">
        <v>14</v>
      </c>
      <c r="S19" s="704">
        <f>F19</f>
        <v>100</v>
      </c>
      <c r="T19" s="703" t="s">
        <v>14</v>
      </c>
      <c r="U19" s="704">
        <f>H19</f>
        <v>100</v>
      </c>
      <c r="V19" s="703" t="s">
        <v>14</v>
      </c>
      <c r="W19" s="704">
        <f>J19</f>
        <v>100</v>
      </c>
      <c r="X19" s="1353"/>
      <c r="Y19" s="38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806"/>
      <c r="Q20" s="1350"/>
      <c r="R20" s="703"/>
      <c r="S20" s="704"/>
      <c r="T20" s="703"/>
      <c r="U20" s="704"/>
      <c r="V20" s="703"/>
      <c r="W20" s="704"/>
      <c r="X20" s="1353"/>
      <c r="Y20" s="3806"/>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806"/>
      <c r="Q21" s="1350" t="str">
        <f>B21</f>
        <v>基础设施水平</v>
      </c>
      <c r="R21" s="703" t="s">
        <v>14</v>
      </c>
      <c r="S21" s="704">
        <f>F21</f>
        <v>100</v>
      </c>
      <c r="T21" s="703" t="s">
        <v>14</v>
      </c>
      <c r="U21" s="704">
        <f>H21</f>
        <v>100</v>
      </c>
      <c r="V21" s="703" t="s">
        <v>14</v>
      </c>
      <c r="W21" s="704">
        <f>J21</f>
        <v>100</v>
      </c>
      <c r="X21" s="1353"/>
      <c r="Y21" s="38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806"/>
      <c r="Q22" s="1350"/>
      <c r="R22" s="703"/>
      <c r="S22" s="704"/>
      <c r="T22" s="703"/>
      <c r="U22" s="704"/>
      <c r="V22" s="703"/>
      <c r="W22" s="704"/>
      <c r="X22" s="1353"/>
      <c r="Y22" s="3806"/>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806"/>
      <c r="Q23" s="1350" t="str">
        <f>B23</f>
        <v>环境质量</v>
      </c>
      <c r="R23" s="703" t="s">
        <v>14</v>
      </c>
      <c r="S23" s="704">
        <f>F23</f>
        <v>100</v>
      </c>
      <c r="T23" s="703" t="s">
        <v>14</v>
      </c>
      <c r="U23" s="704">
        <f>H23</f>
        <v>100</v>
      </c>
      <c r="V23" s="703" t="s">
        <v>14</v>
      </c>
      <c r="W23" s="704">
        <f>J23</f>
        <v>100</v>
      </c>
      <c r="X23" s="1353"/>
      <c r="Y23" s="380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806"/>
      <c r="Q24" s="1350"/>
      <c r="R24" s="703"/>
      <c r="S24" s="704"/>
      <c r="T24" s="703"/>
      <c r="U24" s="704"/>
      <c r="V24" s="703"/>
      <c r="W24" s="704"/>
      <c r="X24" s="1353"/>
      <c r="Y24" s="380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806"/>
      <c r="Q25" s="1350">
        <f>B25</f>
        <v>111</v>
      </c>
      <c r="R25" s="703" t="s">
        <v>14</v>
      </c>
      <c r="S25" s="704">
        <f>F25</f>
        <v>100</v>
      </c>
      <c r="T25" s="703" t="s">
        <v>14</v>
      </c>
      <c r="U25" s="704">
        <f>H25</f>
        <v>100</v>
      </c>
      <c r="V25" s="703" t="s">
        <v>14</v>
      </c>
      <c r="W25" s="704">
        <f>J25</f>
        <v>100</v>
      </c>
      <c r="X25" s="1353"/>
      <c r="Y25" s="380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806"/>
      <c r="Q26" s="1350">
        <f t="shared" ref="Q26:Q40" si="11">B26</f>
        <v>111</v>
      </c>
      <c r="R26" s="703" t="s">
        <v>14</v>
      </c>
      <c r="S26" s="704">
        <f>F26</f>
        <v>100</v>
      </c>
      <c r="T26" s="703" t="s">
        <v>14</v>
      </c>
      <c r="U26" s="704">
        <f>H26</f>
        <v>100</v>
      </c>
      <c r="V26" s="703" t="s">
        <v>14</v>
      </c>
      <c r="W26" s="704">
        <f>J26</f>
        <v>100</v>
      </c>
      <c r="X26" s="1353"/>
      <c r="Y26" s="380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806"/>
      <c r="Q27" s="1341">
        <f t="shared" si="11"/>
        <v>111</v>
      </c>
      <c r="R27" s="699" t="s">
        <v>14</v>
      </c>
      <c r="S27" s="700">
        <f>F27</f>
        <v>100</v>
      </c>
      <c r="T27" s="699" t="s">
        <v>14</v>
      </c>
      <c r="U27" s="700">
        <f>H27</f>
        <v>100</v>
      </c>
      <c r="V27" s="699" t="s">
        <v>14</v>
      </c>
      <c r="W27" s="700">
        <f>J27</f>
        <v>100</v>
      </c>
      <c r="X27" s="701"/>
      <c r="Y27" s="380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806"/>
      <c r="Q28" s="1350">
        <f t="shared" si="11"/>
        <v>111</v>
      </c>
      <c r="R28" s="703" t="s">
        <v>14</v>
      </c>
      <c r="S28" s="704">
        <f t="shared" ref="S28:S40" si="12">F28</f>
        <v>100</v>
      </c>
      <c r="T28" s="703" t="s">
        <v>14</v>
      </c>
      <c r="U28" s="704">
        <f t="shared" ref="U28:U40" si="13">H28</f>
        <v>100</v>
      </c>
      <c r="V28" s="703" t="s">
        <v>14</v>
      </c>
      <c r="W28" s="704">
        <f t="shared" ref="W28:W40" si="14">J28</f>
        <v>100</v>
      </c>
      <c r="X28" s="1353"/>
      <c r="Y28" s="3806"/>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921" t="s">
        <v>1694</v>
      </c>
      <c r="Q29" s="1350" t="str">
        <f t="shared" si="11"/>
        <v>建筑类型</v>
      </c>
      <c r="R29" s="703" t="s">
        <v>14</v>
      </c>
      <c r="S29" s="704">
        <f t="shared" si="12"/>
        <v>100</v>
      </c>
      <c r="T29" s="703" t="s">
        <v>14</v>
      </c>
      <c r="U29" s="704">
        <f t="shared" si="13"/>
        <v>100</v>
      </c>
      <c r="V29" s="703" t="s">
        <v>14</v>
      </c>
      <c r="W29" s="704">
        <f t="shared" si="14"/>
        <v>100</v>
      </c>
      <c r="X29" s="1353"/>
      <c r="Y29" s="3810"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810"/>
      <c r="Q30" s="705" t="str">
        <f t="shared" si="11"/>
        <v>项目建筑规模</v>
      </c>
      <c r="R30" s="706" t="s">
        <v>14</v>
      </c>
      <c r="S30" s="707" t="e">
        <f t="shared" si="12"/>
        <v>#N/A</v>
      </c>
      <c r="T30" s="706" t="s">
        <v>14</v>
      </c>
      <c r="U30" s="707" t="e">
        <f t="shared" si="13"/>
        <v>#N/A</v>
      </c>
      <c r="V30" s="706" t="s">
        <v>14</v>
      </c>
      <c r="W30" s="707" t="e">
        <f t="shared" si="14"/>
        <v>#N/A</v>
      </c>
      <c r="X30" s="708"/>
      <c r="Y30" s="3810"/>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810"/>
      <c r="Q31" s="1350" t="str">
        <f t="shared" si="11"/>
        <v>建筑结构</v>
      </c>
      <c r="R31" s="703" t="s">
        <v>14</v>
      </c>
      <c r="S31" s="704">
        <f t="shared" si="12"/>
        <v>100</v>
      </c>
      <c r="T31" s="703" t="s">
        <v>14</v>
      </c>
      <c r="U31" s="704">
        <f t="shared" si="13"/>
        <v>100</v>
      </c>
      <c r="V31" s="703" t="s">
        <v>14</v>
      </c>
      <c r="W31" s="704">
        <f t="shared" si="14"/>
        <v>100</v>
      </c>
      <c r="X31" s="1353"/>
      <c r="Y31" s="3810"/>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810"/>
      <c r="Q32" s="1350" t="str">
        <f t="shared" si="11"/>
        <v>公共部分装修</v>
      </c>
      <c r="R32" s="703" t="s">
        <v>14</v>
      </c>
      <c r="S32" s="704">
        <f t="shared" si="12"/>
        <v>100</v>
      </c>
      <c r="T32" s="703" t="s">
        <v>14</v>
      </c>
      <c r="U32" s="704">
        <f t="shared" si="13"/>
        <v>100</v>
      </c>
      <c r="V32" s="703" t="s">
        <v>14</v>
      </c>
      <c r="W32" s="704">
        <f t="shared" si="14"/>
        <v>100</v>
      </c>
      <c r="X32" s="1353"/>
      <c r="Y32" s="3810"/>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810"/>
      <c r="Q33" s="1350" t="str">
        <f t="shared" si="11"/>
        <v>成新度</v>
      </c>
      <c r="R33" s="703" t="s">
        <v>14</v>
      </c>
      <c r="S33" s="704" t="e">
        <f t="shared" si="12"/>
        <v>#N/A</v>
      </c>
      <c r="T33" s="703" t="s">
        <v>14</v>
      </c>
      <c r="U33" s="704" t="e">
        <f t="shared" si="13"/>
        <v>#N/A</v>
      </c>
      <c r="V33" s="703" t="s">
        <v>14</v>
      </c>
      <c r="W33" s="704" t="e">
        <f t="shared" si="14"/>
        <v>#N/A</v>
      </c>
      <c r="X33" s="1353"/>
      <c r="Y33" s="3810"/>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810"/>
      <c r="Q34" s="1341" t="str">
        <f t="shared" si="11"/>
        <v>物业管理</v>
      </c>
      <c r="R34" s="699" t="s">
        <v>14</v>
      </c>
      <c r="S34" s="700">
        <f t="shared" si="12"/>
        <v>100</v>
      </c>
      <c r="T34" s="699" t="s">
        <v>14</v>
      </c>
      <c r="U34" s="700">
        <f t="shared" si="13"/>
        <v>100</v>
      </c>
      <c r="V34" s="699" t="s">
        <v>14</v>
      </c>
      <c r="W34" s="700">
        <f t="shared" si="14"/>
        <v>100</v>
      </c>
      <c r="X34" s="701"/>
      <c r="Y34" s="3810"/>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810" t="s">
        <v>1694</v>
      </c>
      <c r="Q35" s="1350" t="str">
        <f t="shared" si="11"/>
        <v>市政基础设施</v>
      </c>
      <c r="R35" s="703" t="s">
        <v>14</v>
      </c>
      <c r="S35" s="704">
        <f t="shared" si="12"/>
        <v>100</v>
      </c>
      <c r="T35" s="703" t="s">
        <v>14</v>
      </c>
      <c r="U35" s="704">
        <f t="shared" si="13"/>
        <v>100</v>
      </c>
      <c r="V35" s="703" t="s">
        <v>14</v>
      </c>
      <c r="W35" s="704">
        <f t="shared" si="14"/>
        <v>100</v>
      </c>
      <c r="X35" s="1353"/>
      <c r="Y35" s="3810"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810"/>
      <c r="Q36" s="1350" t="str">
        <f t="shared" si="11"/>
        <v>内部装修</v>
      </c>
      <c r="R36" s="703" t="s">
        <v>14</v>
      </c>
      <c r="S36" s="704">
        <f t="shared" si="12"/>
        <v>100</v>
      </c>
      <c r="T36" s="703" t="s">
        <v>14</v>
      </c>
      <c r="U36" s="704">
        <f t="shared" si="13"/>
        <v>100</v>
      </c>
      <c r="V36" s="703" t="s">
        <v>14</v>
      </c>
      <c r="W36" s="704">
        <f t="shared" si="14"/>
        <v>100</v>
      </c>
      <c r="X36" s="1353"/>
      <c r="Y36" s="3810"/>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810"/>
      <c r="Q37" s="1350" t="str">
        <f t="shared" si="11"/>
        <v>内部装修状况</v>
      </c>
      <c r="R37" s="703" t="s">
        <v>14</v>
      </c>
      <c r="S37" s="704">
        <f t="shared" si="12"/>
        <v>100</v>
      </c>
      <c r="T37" s="703" t="s">
        <v>14</v>
      </c>
      <c r="U37" s="704">
        <f t="shared" si="13"/>
        <v>100</v>
      </c>
      <c r="V37" s="703" t="s">
        <v>14</v>
      </c>
      <c r="W37" s="704">
        <f t="shared" si="14"/>
        <v>100</v>
      </c>
      <c r="X37" s="1353"/>
      <c r="Y37" s="381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810"/>
      <c r="Q38" s="705">
        <f t="shared" si="11"/>
        <v>111</v>
      </c>
      <c r="R38" s="706" t="s">
        <v>14</v>
      </c>
      <c r="S38" s="707">
        <f t="shared" si="12"/>
        <v>100</v>
      </c>
      <c r="T38" s="706" t="s">
        <v>14</v>
      </c>
      <c r="U38" s="707">
        <f t="shared" si="13"/>
        <v>100</v>
      </c>
      <c r="V38" s="706" t="s">
        <v>14</v>
      </c>
      <c r="W38" s="707">
        <f t="shared" si="14"/>
        <v>100</v>
      </c>
      <c r="X38" s="708"/>
      <c r="Y38" s="381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810"/>
      <c r="Q39" s="1350">
        <f t="shared" si="11"/>
        <v>111</v>
      </c>
      <c r="R39" s="703" t="s">
        <v>14</v>
      </c>
      <c r="S39" s="704">
        <f t="shared" si="12"/>
        <v>100</v>
      </c>
      <c r="T39" s="703" t="s">
        <v>14</v>
      </c>
      <c r="U39" s="704">
        <f t="shared" si="13"/>
        <v>100</v>
      </c>
      <c r="V39" s="703" t="s">
        <v>14</v>
      </c>
      <c r="W39" s="704">
        <f t="shared" si="14"/>
        <v>100</v>
      </c>
      <c r="X39" s="1353"/>
      <c r="Y39" s="381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811"/>
      <c r="Q40" s="1350">
        <f t="shared" si="11"/>
        <v>111</v>
      </c>
      <c r="R40" s="703" t="s">
        <v>14</v>
      </c>
      <c r="S40" s="704">
        <f t="shared" si="12"/>
        <v>100</v>
      </c>
      <c r="T40" s="703" t="s">
        <v>14</v>
      </c>
      <c r="U40" s="704">
        <f t="shared" si="13"/>
        <v>100</v>
      </c>
      <c r="V40" s="703" t="s">
        <v>14</v>
      </c>
      <c r="W40" s="704">
        <f t="shared" si="14"/>
        <v>100</v>
      </c>
      <c r="X40" s="1353"/>
      <c r="Y40" s="3811"/>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803" t="str">
        <f>A41</f>
        <v>成交单价（元/平方米）</v>
      </c>
      <c r="Q41" s="3803"/>
      <c r="R41" s="3804">
        <f>E41</f>
        <v>0</v>
      </c>
      <c r="S41" s="3804"/>
      <c r="T41" s="3804">
        <f>G41</f>
        <v>0</v>
      </c>
      <c r="U41" s="3804"/>
      <c r="V41" s="3804">
        <f>I41</f>
        <v>0</v>
      </c>
      <c r="W41" s="3804"/>
      <c r="X41" s="688"/>
      <c r="Y41" s="710"/>
      <c r="Z41" s="688"/>
      <c r="AA41" s="688"/>
      <c r="AB41" s="688"/>
      <c r="AC41" s="688"/>
    </row>
    <row r="42" spans="1:29" ht="15.75" thickBot="1">
      <c r="A42" s="437" t="s">
        <v>1791</v>
      </c>
      <c r="B42" s="438"/>
      <c r="C42" s="1158" t="e">
        <f>R43</f>
        <v>#DIV/0!</v>
      </c>
      <c r="D42" s="2315" t="s">
        <v>2134</v>
      </c>
      <c r="E42" s="1159" t="e">
        <f>R42</f>
        <v>#DIV/0!</v>
      </c>
      <c r="F42" s="2316"/>
      <c r="G42" s="1158" t="e">
        <f>T42</f>
        <v>#DIV/0!</v>
      </c>
      <c r="H42" s="2316"/>
      <c r="I42" s="1159" t="e">
        <f>V42</f>
        <v>#DIV/0!</v>
      </c>
      <c r="J42" s="2316"/>
      <c r="K42" s="2318">
        <f>F42+H42+J42</f>
        <v>0</v>
      </c>
      <c r="L42" s="924"/>
      <c r="M42" s="925"/>
      <c r="N42" s="912"/>
      <c r="O42" s="925"/>
      <c r="P42" s="3803" t="str">
        <f>A42</f>
        <v>比较价值（元/平方米）</v>
      </c>
      <c r="Q42" s="3803"/>
      <c r="R42" s="3804" t="e">
        <f>IF(F1="售价",ROUND(PRODUCT(R41,AA7:AA40),0),ROUND(PRODUCT(R41,AA7:AA40),1))</f>
        <v>#DIV/0!</v>
      </c>
      <c r="S42" s="3804"/>
      <c r="T42" s="3804" t="e">
        <f>IF(F1="售价",ROUND(PRODUCT(T41,AB7:AB40),0),ROUND(PRODUCT(T41,AB7:AB40),1))</f>
        <v>#DIV/0!</v>
      </c>
      <c r="U42" s="3804"/>
      <c r="V42" s="3804" t="e">
        <f>IF(F1="售价",ROUND(PRODUCT(V41,AC7:AC40),0),ROUND(PRODUCT(V41,AC7:AC40),1))</f>
        <v>#DIV/0!</v>
      </c>
      <c r="W42" s="3804"/>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800" t="str">
        <f>A43</f>
        <v>估价对象XX用房的比较价值（楼面单价，元/平方米）</v>
      </c>
      <c r="Q43" s="3801"/>
      <c r="R43" s="3802" t="e">
        <f>IF(F1="售价",ROUND(IF(D42="简单平均",AVERAGE(R42:V42),R42*F42+T42*H42+V42*J42),0),ROUND(IF(D42="简单平均",AVERAGE(R42:V42),R42*F42+T42*H42+V42*J42),1))</f>
        <v>#DIV/0!</v>
      </c>
      <c r="S43" s="3802"/>
      <c r="T43" s="3802"/>
      <c r="U43" s="3802"/>
      <c r="V43" s="3802"/>
      <c r="W43" s="3802"/>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2023-2</v>
      </c>
      <c r="D52" s="1183">
        <f>EDATE(C52,-1)</f>
        <v>44927</v>
      </c>
      <c r="E52" s="1183">
        <f t="shared" ref="E52:O52" si="16">EDATE(D52,-1)</f>
        <v>44896</v>
      </c>
      <c r="F52" s="1183">
        <f t="shared" si="16"/>
        <v>44866</v>
      </c>
      <c r="G52" s="1183">
        <f t="shared" si="16"/>
        <v>44835</v>
      </c>
      <c r="H52" s="1183">
        <f t="shared" si="16"/>
        <v>44805</v>
      </c>
      <c r="I52" s="1183">
        <f t="shared" si="16"/>
        <v>44774</v>
      </c>
      <c r="J52" s="1183">
        <f t="shared" si="16"/>
        <v>44743</v>
      </c>
      <c r="K52" s="1183">
        <f t="shared" si="16"/>
        <v>44713</v>
      </c>
      <c r="L52" s="1183">
        <f t="shared" si="16"/>
        <v>44682</v>
      </c>
      <c r="M52" s="1183">
        <f t="shared" si="16"/>
        <v>44652</v>
      </c>
      <c r="N52" s="1183">
        <f t="shared" si="16"/>
        <v>44621</v>
      </c>
      <c r="O52" s="1183">
        <f t="shared" si="16"/>
        <v>44593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3334</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1767</v>
      </c>
      <c r="B4" s="356"/>
      <c r="C4" s="3818" t="s">
        <v>1768</v>
      </c>
      <c r="D4" s="3819"/>
      <c r="E4" s="3820" t="s">
        <v>1769</v>
      </c>
      <c r="F4" s="3821"/>
      <c r="G4" s="3818" t="s">
        <v>1770</v>
      </c>
      <c r="H4" s="3819"/>
      <c r="I4" s="3818" t="s">
        <v>1771</v>
      </c>
      <c r="J4" s="3819"/>
      <c r="K4" s="559" t="s">
        <v>1772</v>
      </c>
      <c r="L4" s="2708"/>
      <c r="M4" s="2709"/>
      <c r="N4" s="2709"/>
      <c r="O4" s="2709"/>
      <c r="P4" s="3822" t="s">
        <v>1773</v>
      </c>
      <c r="Q4" s="3823"/>
      <c r="R4" s="3828" t="s">
        <v>1769</v>
      </c>
      <c r="S4" s="3829"/>
      <c r="T4" s="3828" t="s">
        <v>1770</v>
      </c>
      <c r="U4" s="3829"/>
      <c r="V4" s="3834" t="s">
        <v>1771</v>
      </c>
      <c r="W4" s="3834"/>
      <c r="X4" s="1353"/>
      <c r="Y4" s="3828" t="s">
        <v>1773</v>
      </c>
      <c r="Z4" s="3829"/>
      <c r="AA4" s="3815" t="s">
        <v>1769</v>
      </c>
      <c r="AB4" s="3816" t="s">
        <v>1770</v>
      </c>
      <c r="AC4" s="3815" t="s">
        <v>1771</v>
      </c>
    </row>
    <row r="5" spans="1:29" ht="15">
      <c r="A5" s="358"/>
      <c r="B5" s="359"/>
      <c r="C5" s="3837" t="s">
        <v>1671</v>
      </c>
      <c r="D5" s="3838"/>
      <c r="E5" s="3844" t="s">
        <v>1672</v>
      </c>
      <c r="F5" s="3845"/>
      <c r="G5" s="3837" t="s">
        <v>1673</v>
      </c>
      <c r="H5" s="3838"/>
      <c r="I5" s="3837" t="s">
        <v>1674</v>
      </c>
      <c r="J5" s="3838"/>
      <c r="K5" s="559"/>
      <c r="L5" s="2708"/>
      <c r="M5" s="2709"/>
      <c r="N5" s="2709"/>
      <c r="O5" s="2709"/>
      <c r="P5" s="3824"/>
      <c r="Q5" s="3825"/>
      <c r="R5" s="3830"/>
      <c r="S5" s="3831"/>
      <c r="T5" s="3830"/>
      <c r="U5" s="3831"/>
      <c r="V5" s="3834"/>
      <c r="W5" s="3834"/>
      <c r="X5" s="1353"/>
      <c r="Y5" s="3830"/>
      <c r="Z5" s="3831"/>
      <c r="AA5" s="3816"/>
      <c r="AB5" s="3816"/>
      <c r="AC5" s="3816"/>
    </row>
    <row r="6" spans="1:29" ht="15.75" thickBot="1">
      <c r="A6" s="360"/>
      <c r="B6" s="361"/>
      <c r="C6" s="3835" t="s">
        <v>1675</v>
      </c>
      <c r="D6" s="3836"/>
      <c r="E6" s="3842" t="s">
        <v>1675</v>
      </c>
      <c r="F6" s="3843"/>
      <c r="G6" s="3835" t="s">
        <v>1675</v>
      </c>
      <c r="H6" s="3836"/>
      <c r="I6" s="3835" t="s">
        <v>1675</v>
      </c>
      <c r="J6" s="3836"/>
      <c r="K6" s="559" t="s">
        <v>1676</v>
      </c>
      <c r="L6" s="2708"/>
      <c r="M6" s="2709"/>
      <c r="N6" s="2709"/>
      <c r="O6" s="2709"/>
      <c r="P6" s="3826"/>
      <c r="Q6" s="3827"/>
      <c r="R6" s="3830"/>
      <c r="S6" s="3831"/>
      <c r="T6" s="3832"/>
      <c r="U6" s="3833"/>
      <c r="V6" s="3834"/>
      <c r="W6" s="3834"/>
      <c r="X6" s="1353"/>
      <c r="Y6" s="3832"/>
      <c r="Z6" s="3833"/>
      <c r="AA6" s="3817"/>
      <c r="AB6" s="3817"/>
      <c r="AC6" s="3817"/>
    </row>
    <row r="7" spans="1:29" s="108" customFormat="1" ht="15.75" thickBot="1">
      <c r="A7" s="362" t="s">
        <v>1677</v>
      </c>
      <c r="B7" s="363"/>
      <c r="C7" s="364">
        <f>'数据-取费表'!B2</f>
        <v>44971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839" t="s">
        <v>1678</v>
      </c>
      <c r="Q7" s="3841"/>
      <c r="R7" s="699" t="s">
        <v>14</v>
      </c>
      <c r="S7" s="700">
        <f t="shared" ref="S7:S14" si="0">F7</f>
        <v>0</v>
      </c>
      <c r="T7" s="699" t="s">
        <v>14</v>
      </c>
      <c r="U7" s="700">
        <f t="shared" ref="U7:U14" si="1">H7</f>
        <v>0</v>
      </c>
      <c r="V7" s="699" t="s">
        <v>14</v>
      </c>
      <c r="W7" s="700">
        <f t="shared" ref="W7:W14" si="2">J7</f>
        <v>0</v>
      </c>
      <c r="X7" s="701"/>
      <c r="Y7" s="3839" t="s">
        <v>1678</v>
      </c>
      <c r="Z7" s="3840"/>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839" t="s">
        <v>1681</v>
      </c>
      <c r="Q8" s="3840"/>
      <c r="R8" s="699" t="s">
        <v>14</v>
      </c>
      <c r="S8" s="700">
        <f t="shared" si="0"/>
        <v>100</v>
      </c>
      <c r="T8" s="699" t="s">
        <v>14</v>
      </c>
      <c r="U8" s="700">
        <f t="shared" si="1"/>
        <v>100</v>
      </c>
      <c r="V8" s="699" t="s">
        <v>14</v>
      </c>
      <c r="W8" s="700">
        <f t="shared" si="2"/>
        <v>100</v>
      </c>
      <c r="X8" s="701"/>
      <c r="Y8" s="3839" t="s">
        <v>1681</v>
      </c>
      <c r="Z8" s="3840"/>
      <c r="AA8" s="702">
        <f t="shared" ref="AA8:AA36" si="3">D8/F8</f>
        <v>1</v>
      </c>
      <c r="AB8" s="702">
        <f t="shared" ref="AB8:AB36" si="4">D8/H8</f>
        <v>1</v>
      </c>
      <c r="AC8" s="702">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803" t="s">
        <v>1684</v>
      </c>
      <c r="Q9" s="1341" t="str">
        <f t="shared" ref="Q9:Q14" si="6">B9</f>
        <v>用途</v>
      </c>
      <c r="R9" s="699" t="s">
        <v>14</v>
      </c>
      <c r="S9" s="700">
        <f t="shared" si="0"/>
        <v>100</v>
      </c>
      <c r="T9" s="699" t="s">
        <v>14</v>
      </c>
      <c r="U9" s="700">
        <f t="shared" si="1"/>
        <v>100</v>
      </c>
      <c r="V9" s="699" t="s">
        <v>14</v>
      </c>
      <c r="W9" s="700">
        <f t="shared" si="2"/>
        <v>100</v>
      </c>
      <c r="X9" s="701"/>
      <c r="Y9" s="3679" t="s">
        <v>1685</v>
      </c>
      <c r="Z9" s="52" t="str">
        <f t="shared" ref="Z9:Z14" si="7">Q9</f>
        <v>用途</v>
      </c>
      <c r="AA9" s="702">
        <f t="shared" si="3"/>
        <v>1</v>
      </c>
      <c r="AB9" s="702">
        <f t="shared" si="4"/>
        <v>1</v>
      </c>
      <c r="AC9" s="702">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803"/>
      <c r="Q10" s="1341" t="str">
        <f t="shared" si="6"/>
        <v>土地使用年限（年）</v>
      </c>
      <c r="R10" s="699" t="s">
        <v>14</v>
      </c>
      <c r="S10" s="700">
        <f t="shared" si="0"/>
        <v>100</v>
      </c>
      <c r="T10" s="699" t="s">
        <v>14</v>
      </c>
      <c r="U10" s="700">
        <f t="shared" si="1"/>
        <v>100</v>
      </c>
      <c r="V10" s="699" t="s">
        <v>14</v>
      </c>
      <c r="W10" s="700">
        <f t="shared" si="2"/>
        <v>100</v>
      </c>
      <c r="X10" s="701"/>
      <c r="Y10" s="367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803"/>
      <c r="Q11" s="1341">
        <f t="shared" si="6"/>
        <v>111</v>
      </c>
      <c r="R11" s="699" t="s">
        <v>14</v>
      </c>
      <c r="S11" s="700">
        <f t="shared" si="0"/>
        <v>100</v>
      </c>
      <c r="T11" s="699" t="s">
        <v>14</v>
      </c>
      <c r="U11" s="700">
        <f t="shared" si="1"/>
        <v>100</v>
      </c>
      <c r="V11" s="699" t="s">
        <v>14</v>
      </c>
      <c r="W11" s="700">
        <f t="shared" si="2"/>
        <v>100</v>
      </c>
      <c r="X11" s="701"/>
      <c r="Y11" s="367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803"/>
      <c r="Q12" s="1341">
        <f t="shared" si="6"/>
        <v>111</v>
      </c>
      <c r="R12" s="699" t="s">
        <v>14</v>
      </c>
      <c r="S12" s="700">
        <f t="shared" si="0"/>
        <v>100</v>
      </c>
      <c r="T12" s="699" t="s">
        <v>14</v>
      </c>
      <c r="U12" s="700">
        <f t="shared" si="1"/>
        <v>100</v>
      </c>
      <c r="V12" s="699" t="s">
        <v>14</v>
      </c>
      <c r="W12" s="700">
        <f t="shared" si="2"/>
        <v>100</v>
      </c>
      <c r="X12" s="701"/>
      <c r="Y12" s="367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803"/>
      <c r="Q13" s="1341">
        <f t="shared" si="6"/>
        <v>111</v>
      </c>
      <c r="R13" s="699" t="s">
        <v>14</v>
      </c>
      <c r="S13" s="700">
        <f t="shared" si="0"/>
        <v>100</v>
      </c>
      <c r="T13" s="699" t="s">
        <v>14</v>
      </c>
      <c r="U13" s="700">
        <f t="shared" si="1"/>
        <v>100</v>
      </c>
      <c r="V13" s="699" t="s">
        <v>14</v>
      </c>
      <c r="W13" s="700">
        <f t="shared" si="2"/>
        <v>100</v>
      </c>
      <c r="X13" s="701"/>
      <c r="Y13" s="3679"/>
      <c r="Z13" s="52">
        <f t="shared" si="7"/>
        <v>111</v>
      </c>
      <c r="AA13" s="702">
        <f t="shared" si="3"/>
        <v>1</v>
      </c>
      <c r="AB13" s="702">
        <f t="shared" si="4"/>
        <v>1</v>
      </c>
      <c r="AC13" s="702">
        <f t="shared" si="5"/>
        <v>1</v>
      </c>
    </row>
    <row r="14" spans="1:29" ht="99.75">
      <c r="A14" s="355" t="s">
        <v>1688</v>
      </c>
      <c r="B14" s="577" t="s">
        <v>1831</v>
      </c>
      <c r="C14" s="1969" t="str">
        <f>IF(B1="工业",估价对象房地状况!G4,估价对象房地状况!C6)</f>
        <v>周边有359、空港1、3路等，周边道路密集一般，停车便捷程度一般，综合评价交通便捷度较差</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805" t="s">
        <v>1689</v>
      </c>
      <c r="Q14" s="1350" t="str">
        <f t="shared" si="6"/>
        <v>交通便捷度</v>
      </c>
      <c r="R14" s="703" t="s">
        <v>14</v>
      </c>
      <c r="S14" s="704">
        <f t="shared" si="0"/>
        <v>100</v>
      </c>
      <c r="T14" s="703" t="s">
        <v>14</v>
      </c>
      <c r="U14" s="704">
        <f t="shared" si="1"/>
        <v>100</v>
      </c>
      <c r="V14" s="703" t="s">
        <v>14</v>
      </c>
      <c r="W14" s="704">
        <f t="shared" si="2"/>
        <v>100</v>
      </c>
      <c r="X14" s="1353"/>
      <c r="Y14" s="3805" t="s">
        <v>1689</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806"/>
      <c r="Q15" s="1350"/>
      <c r="R15" s="703"/>
      <c r="S15" s="704"/>
      <c r="T15" s="703"/>
      <c r="U15" s="704"/>
      <c r="V15" s="703"/>
      <c r="W15" s="704"/>
      <c r="X15" s="1353"/>
      <c r="Y15" s="3806"/>
      <c r="Z15" s="1354"/>
      <c r="AA15" s="1351">
        <v>1</v>
      </c>
      <c r="AB15" s="1351">
        <v>1</v>
      </c>
      <c r="AC15" s="1351">
        <v>1</v>
      </c>
    </row>
    <row r="16" spans="1:29" ht="99.75">
      <c r="A16" s="358"/>
      <c r="B16" s="579" t="s">
        <v>1810</v>
      </c>
      <c r="C16" s="1898" t="str">
        <f>IF(B1="工业",估价对象房地状况!G5,估价对象房地状况!C7)</f>
        <v>估价对象所在区域银行、购物场所、学校等公共配套设施齐备，综合评价公共配套设施水平一般。</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806"/>
      <c r="Q16" s="1350" t="str">
        <f>B16</f>
        <v>公共配套设施</v>
      </c>
      <c r="R16" s="703" t="s">
        <v>14</v>
      </c>
      <c r="S16" s="704">
        <f>F16</f>
        <v>100</v>
      </c>
      <c r="T16" s="703" t="s">
        <v>14</v>
      </c>
      <c r="U16" s="704">
        <f>H16</f>
        <v>100</v>
      </c>
      <c r="V16" s="703" t="s">
        <v>14</v>
      </c>
      <c r="W16" s="704">
        <f>J16</f>
        <v>100</v>
      </c>
      <c r="X16" s="1353"/>
      <c r="Y16" s="380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806"/>
      <c r="Q17" s="1350"/>
      <c r="R17" s="703"/>
      <c r="S17" s="704"/>
      <c r="T17" s="703"/>
      <c r="U17" s="704"/>
      <c r="V17" s="703"/>
      <c r="W17" s="704"/>
      <c r="X17" s="1353"/>
      <c r="Y17" s="3806"/>
      <c r="Z17" s="1354"/>
      <c r="AA17" s="1351">
        <v>1</v>
      </c>
      <c r="AB17" s="1351">
        <v>1</v>
      </c>
      <c r="AC17" s="1351">
        <v>1</v>
      </c>
    </row>
    <row r="18" spans="1:29" ht="42.75">
      <c r="A18" s="358"/>
      <c r="B18" s="581" t="s">
        <v>1811</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806"/>
      <c r="Q18" s="1350" t="str">
        <f>B18</f>
        <v>基础设施水平</v>
      </c>
      <c r="R18" s="703" t="s">
        <v>14</v>
      </c>
      <c r="S18" s="704">
        <f>F18</f>
        <v>100</v>
      </c>
      <c r="T18" s="703" t="s">
        <v>14</v>
      </c>
      <c r="U18" s="704">
        <f>H18</f>
        <v>100</v>
      </c>
      <c r="V18" s="703" t="s">
        <v>14</v>
      </c>
      <c r="W18" s="704">
        <f>J18</f>
        <v>100</v>
      </c>
      <c r="X18" s="1353"/>
      <c r="Y18" s="380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806"/>
      <c r="Q19" s="1350"/>
      <c r="R19" s="703"/>
      <c r="S19" s="704"/>
      <c r="T19" s="703"/>
      <c r="U19" s="704"/>
      <c r="V19" s="703"/>
      <c r="W19" s="704"/>
      <c r="X19" s="1353"/>
      <c r="Y19" s="3806"/>
      <c r="Z19" s="1354"/>
      <c r="AA19" s="1351">
        <v>1</v>
      </c>
      <c r="AB19" s="1351">
        <v>1</v>
      </c>
      <c r="AC19" s="1351">
        <v>1</v>
      </c>
    </row>
    <row r="20" spans="1:29" ht="85.5">
      <c r="A20" s="358"/>
      <c r="B20" s="579" t="s">
        <v>1832</v>
      </c>
      <c r="C20" s="1898" t="str">
        <f>IF(B1="工业",估价对象房地状况!G7,估价对象房地状况!C9)</f>
        <v>区域内有国航大学、天竺公园等自然及人文环境，综合评价自然及人文环境状况一般。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806"/>
      <c r="Q20" s="1350" t="str">
        <f>B20</f>
        <v>自然及人文环境</v>
      </c>
      <c r="R20" s="703" t="s">
        <v>14</v>
      </c>
      <c r="S20" s="704">
        <f>F20</f>
        <v>100</v>
      </c>
      <c r="T20" s="703" t="s">
        <v>14</v>
      </c>
      <c r="U20" s="704">
        <f>H20</f>
        <v>100</v>
      </c>
      <c r="V20" s="703" t="s">
        <v>14</v>
      </c>
      <c r="W20" s="704">
        <f>J20</f>
        <v>100</v>
      </c>
      <c r="X20" s="1353"/>
      <c r="Y20" s="380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806"/>
      <c r="Q21" s="1350"/>
      <c r="R21" s="703"/>
      <c r="S21" s="704"/>
      <c r="T21" s="703"/>
      <c r="U21" s="704"/>
      <c r="V21" s="703"/>
      <c r="W21" s="704"/>
      <c r="X21" s="1353"/>
      <c r="Y21" s="3806"/>
      <c r="Z21" s="1354"/>
      <c r="AA21" s="1351">
        <v>1</v>
      </c>
      <c r="AB21" s="1351">
        <v>1</v>
      </c>
      <c r="AC21" s="1351">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806"/>
      <c r="Q22" s="1350" t="str">
        <f>B22</f>
        <v>楼层</v>
      </c>
      <c r="R22" s="703" t="s">
        <v>14</v>
      </c>
      <c r="S22" s="704">
        <f>F22</f>
        <v>100</v>
      </c>
      <c r="T22" s="703" t="s">
        <v>14</v>
      </c>
      <c r="U22" s="704">
        <f>H22</f>
        <v>100</v>
      </c>
      <c r="V22" s="703" t="s">
        <v>14</v>
      </c>
      <c r="W22" s="704">
        <f>J22</f>
        <v>100</v>
      </c>
      <c r="X22" s="1353"/>
      <c r="Y22" s="380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806"/>
      <c r="Q23" s="1350">
        <f>B23</f>
        <v>111</v>
      </c>
      <c r="R23" s="703" t="s">
        <v>14</v>
      </c>
      <c r="S23" s="704">
        <f>F23</f>
        <v>100</v>
      </c>
      <c r="T23" s="703" t="s">
        <v>14</v>
      </c>
      <c r="U23" s="704">
        <f>H23</f>
        <v>100</v>
      </c>
      <c r="V23" s="703" t="s">
        <v>14</v>
      </c>
      <c r="W23" s="704">
        <f>J23</f>
        <v>100</v>
      </c>
      <c r="X23" s="1353"/>
      <c r="Y23" s="380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806"/>
      <c r="Q24" s="1350">
        <f t="shared" ref="Q24:Q36" si="11">B24</f>
        <v>111</v>
      </c>
      <c r="R24" s="703" t="s">
        <v>14</v>
      </c>
      <c r="S24" s="704">
        <f>F24</f>
        <v>100</v>
      </c>
      <c r="T24" s="703" t="s">
        <v>14</v>
      </c>
      <c r="U24" s="704">
        <f>H24</f>
        <v>100</v>
      </c>
      <c r="V24" s="703" t="s">
        <v>14</v>
      </c>
      <c r="W24" s="704">
        <f>J24</f>
        <v>100</v>
      </c>
      <c r="X24" s="1353"/>
      <c r="Y24" s="380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806"/>
      <c r="Q25" s="1341">
        <f t="shared" si="11"/>
        <v>111</v>
      </c>
      <c r="R25" s="699" t="s">
        <v>14</v>
      </c>
      <c r="S25" s="700">
        <f>F25</f>
        <v>100</v>
      </c>
      <c r="T25" s="699" t="s">
        <v>14</v>
      </c>
      <c r="U25" s="700">
        <f>H25</f>
        <v>100</v>
      </c>
      <c r="V25" s="699" t="s">
        <v>14</v>
      </c>
      <c r="W25" s="700">
        <f>J25</f>
        <v>100</v>
      </c>
      <c r="X25" s="701"/>
      <c r="Y25" s="3806"/>
      <c r="Z25" s="52">
        <f>Q25</f>
        <v>111</v>
      </c>
      <c r="AA25" s="1351">
        <f>D25/F25</f>
        <v>1</v>
      </c>
      <c r="AB25" s="1351">
        <f>D25/H25</f>
        <v>1</v>
      </c>
      <c r="AC25" s="1351">
        <f>D25/J25</f>
        <v>1</v>
      </c>
    </row>
    <row r="26" spans="1:29" ht="28.5">
      <c r="A26" s="600"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921"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810" t="s">
        <v>1694</v>
      </c>
      <c r="Z26" s="1354" t="str">
        <f t="shared" ref="Z26:Z36" si="15">Q26</f>
        <v>配套类型</v>
      </c>
      <c r="AA26" s="1351" t="e">
        <f t="shared" si="3"/>
        <v>#DIV/0!</v>
      </c>
      <c r="AB26" s="1351" t="e">
        <f t="shared" si="4"/>
        <v>#DIV/0!</v>
      </c>
      <c r="AC26" s="1351"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810"/>
      <c r="Q27" s="705" t="str">
        <f t="shared" si="11"/>
        <v>项目停车位配比</v>
      </c>
      <c r="R27" s="706" t="s">
        <v>14</v>
      </c>
      <c r="S27" s="707">
        <f t="shared" si="12"/>
        <v>100</v>
      </c>
      <c r="T27" s="706" t="s">
        <v>14</v>
      </c>
      <c r="U27" s="707">
        <f t="shared" si="13"/>
        <v>100</v>
      </c>
      <c r="V27" s="706" t="s">
        <v>14</v>
      </c>
      <c r="W27" s="707">
        <f t="shared" si="14"/>
        <v>100</v>
      </c>
      <c r="X27" s="708"/>
      <c r="Y27" s="3810"/>
      <c r="Z27" s="709" t="str">
        <f t="shared" si="15"/>
        <v>项目停车位配比</v>
      </c>
      <c r="AA27" s="1351">
        <f t="shared" si="3"/>
        <v>1</v>
      </c>
      <c r="AB27" s="1351">
        <f t="shared" si="4"/>
        <v>1</v>
      </c>
      <c r="AC27" s="1351">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810"/>
      <c r="Q28" s="1350" t="str">
        <f t="shared" si="11"/>
        <v>公共部分装修</v>
      </c>
      <c r="R28" s="703" t="s">
        <v>14</v>
      </c>
      <c r="S28" s="704">
        <f t="shared" si="12"/>
        <v>100</v>
      </c>
      <c r="T28" s="703" t="s">
        <v>14</v>
      </c>
      <c r="U28" s="704">
        <f t="shared" si="13"/>
        <v>100</v>
      </c>
      <c r="V28" s="703" t="s">
        <v>14</v>
      </c>
      <c r="W28" s="704">
        <f t="shared" si="14"/>
        <v>100</v>
      </c>
      <c r="X28" s="1353"/>
      <c r="Y28" s="3810"/>
      <c r="Z28" s="1354" t="str">
        <f t="shared" si="15"/>
        <v>公共部分装修</v>
      </c>
      <c r="AA28" s="1351">
        <f t="shared" si="3"/>
        <v>1</v>
      </c>
      <c r="AB28" s="1351">
        <f t="shared" si="4"/>
        <v>1</v>
      </c>
      <c r="AC28" s="1351">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810"/>
      <c r="Q29" s="1350" t="str">
        <f t="shared" si="11"/>
        <v>成新率</v>
      </c>
      <c r="R29" s="703" t="s">
        <v>14</v>
      </c>
      <c r="S29" s="704" t="e">
        <f t="shared" si="12"/>
        <v>#N/A</v>
      </c>
      <c r="T29" s="703" t="s">
        <v>14</v>
      </c>
      <c r="U29" s="704" t="e">
        <f t="shared" si="13"/>
        <v>#N/A</v>
      </c>
      <c r="V29" s="703" t="s">
        <v>14</v>
      </c>
      <c r="W29" s="704" t="e">
        <f t="shared" si="14"/>
        <v>#N/A</v>
      </c>
      <c r="X29" s="1353"/>
      <c r="Y29" s="3810"/>
      <c r="Z29" s="1354" t="str">
        <f t="shared" si="15"/>
        <v>成新率</v>
      </c>
      <c r="AA29" s="1351" t="e">
        <f t="shared" si="3"/>
        <v>#N/A</v>
      </c>
      <c r="AB29" s="1351" t="e">
        <f t="shared" si="4"/>
        <v>#N/A</v>
      </c>
      <c r="AC29" s="1351"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810"/>
      <c r="Q30" s="1350" t="str">
        <f t="shared" si="11"/>
        <v>物业等级</v>
      </c>
      <c r="R30" s="703" t="s">
        <v>14</v>
      </c>
      <c r="S30" s="704">
        <f t="shared" si="12"/>
        <v>100</v>
      </c>
      <c r="T30" s="703" t="s">
        <v>14</v>
      </c>
      <c r="U30" s="704">
        <f t="shared" si="13"/>
        <v>100</v>
      </c>
      <c r="V30" s="703" t="s">
        <v>14</v>
      </c>
      <c r="W30" s="704">
        <f t="shared" si="14"/>
        <v>100</v>
      </c>
      <c r="X30" s="1353"/>
      <c r="Y30" s="3810"/>
      <c r="Z30" s="1354" t="str">
        <f t="shared" si="15"/>
        <v>物业等级</v>
      </c>
      <c r="AA30" s="1351">
        <f t="shared" si="3"/>
        <v>1</v>
      </c>
      <c r="AB30" s="1351">
        <f t="shared" si="4"/>
        <v>1</v>
      </c>
      <c r="AC30" s="1351">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810"/>
      <c r="Q31" s="1341" t="str">
        <f t="shared" si="11"/>
        <v>停车位面积</v>
      </c>
      <c r="R31" s="699" t="s">
        <v>14</v>
      </c>
      <c r="S31" s="700" t="e">
        <f t="shared" si="12"/>
        <v>#N/A</v>
      </c>
      <c r="T31" s="699" t="s">
        <v>14</v>
      </c>
      <c r="U31" s="700" t="e">
        <f t="shared" si="13"/>
        <v>#N/A</v>
      </c>
      <c r="V31" s="699" t="s">
        <v>14</v>
      </c>
      <c r="W31" s="700" t="e">
        <f t="shared" si="14"/>
        <v>#N/A</v>
      </c>
      <c r="X31" s="701"/>
      <c r="Y31" s="3810"/>
      <c r="Z31" s="52" t="str">
        <f t="shared" si="15"/>
        <v>停车位面积</v>
      </c>
      <c r="AA31" s="702" t="e">
        <f t="shared" si="3"/>
        <v>#N/A</v>
      </c>
      <c r="AB31" s="702" t="e">
        <f t="shared" si="4"/>
        <v>#N/A</v>
      </c>
      <c r="AC31" s="702"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810" t="s">
        <v>1694</v>
      </c>
      <c r="Q32" s="1350" t="str">
        <f t="shared" si="11"/>
        <v>车位类型</v>
      </c>
      <c r="R32" s="703" t="s">
        <v>14</v>
      </c>
      <c r="S32" s="704">
        <f t="shared" si="12"/>
        <v>100</v>
      </c>
      <c r="T32" s="703" t="s">
        <v>14</v>
      </c>
      <c r="U32" s="704">
        <f t="shared" si="13"/>
        <v>100</v>
      </c>
      <c r="V32" s="703" t="s">
        <v>14</v>
      </c>
      <c r="W32" s="704">
        <f t="shared" si="14"/>
        <v>100</v>
      </c>
      <c r="X32" s="1353"/>
      <c r="Y32" s="3810" t="s">
        <v>1694</v>
      </c>
      <c r="Z32" s="1354" t="str">
        <f t="shared" si="15"/>
        <v>车位类型</v>
      </c>
      <c r="AA32" s="1351">
        <f t="shared" si="3"/>
        <v>1</v>
      </c>
      <c r="AB32" s="1351">
        <f t="shared" si="4"/>
        <v>1</v>
      </c>
      <c r="AC32" s="1351">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810"/>
      <c r="Q33" s="1350" t="str">
        <f t="shared" si="11"/>
        <v>是否直接入户</v>
      </c>
      <c r="R33" s="703" t="s">
        <v>14</v>
      </c>
      <c r="S33" s="704">
        <f t="shared" si="12"/>
        <v>100</v>
      </c>
      <c r="T33" s="703" t="s">
        <v>14</v>
      </c>
      <c r="U33" s="704">
        <f t="shared" si="13"/>
        <v>100</v>
      </c>
      <c r="V33" s="703" t="s">
        <v>14</v>
      </c>
      <c r="W33" s="704">
        <f t="shared" si="14"/>
        <v>100</v>
      </c>
      <c r="X33" s="1353"/>
      <c r="Y33" s="381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810"/>
      <c r="Q34" s="1350">
        <f t="shared" si="11"/>
        <v>111</v>
      </c>
      <c r="R34" s="703" t="s">
        <v>14</v>
      </c>
      <c r="S34" s="704">
        <f t="shared" si="12"/>
        <v>100</v>
      </c>
      <c r="T34" s="703" t="s">
        <v>14</v>
      </c>
      <c r="U34" s="704">
        <f t="shared" si="13"/>
        <v>100</v>
      </c>
      <c r="V34" s="703" t="s">
        <v>14</v>
      </c>
      <c r="W34" s="704">
        <f t="shared" si="14"/>
        <v>100</v>
      </c>
      <c r="X34" s="1353"/>
      <c r="Y34" s="381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810"/>
      <c r="Q35" s="705">
        <f t="shared" si="11"/>
        <v>111</v>
      </c>
      <c r="R35" s="706" t="s">
        <v>14</v>
      </c>
      <c r="S35" s="707">
        <f t="shared" si="12"/>
        <v>100</v>
      </c>
      <c r="T35" s="706" t="s">
        <v>14</v>
      </c>
      <c r="U35" s="707">
        <f t="shared" si="13"/>
        <v>100</v>
      </c>
      <c r="V35" s="706" t="s">
        <v>14</v>
      </c>
      <c r="W35" s="707">
        <f t="shared" si="14"/>
        <v>100</v>
      </c>
      <c r="X35" s="708"/>
      <c r="Y35" s="381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810"/>
      <c r="Q36" s="1350">
        <f t="shared" si="11"/>
        <v>111</v>
      </c>
      <c r="R36" s="703" t="s">
        <v>14</v>
      </c>
      <c r="S36" s="704">
        <f t="shared" si="12"/>
        <v>100</v>
      </c>
      <c r="T36" s="703" t="s">
        <v>14</v>
      </c>
      <c r="U36" s="704">
        <f t="shared" si="13"/>
        <v>100</v>
      </c>
      <c r="V36" s="703" t="s">
        <v>14</v>
      </c>
      <c r="W36" s="704">
        <f t="shared" si="14"/>
        <v>100</v>
      </c>
      <c r="X36" s="1353"/>
      <c r="Y36" s="3810"/>
      <c r="Z36" s="1354">
        <f t="shared" si="15"/>
        <v>111</v>
      </c>
      <c r="AA36" s="1351">
        <f t="shared" si="3"/>
        <v>1</v>
      </c>
      <c r="AB36" s="1351">
        <f t="shared" si="4"/>
        <v>1</v>
      </c>
      <c r="AC36" s="1351">
        <f t="shared" si="5"/>
        <v>1</v>
      </c>
    </row>
    <row r="37" spans="1:29" ht="15">
      <c r="A37" s="430" t="s">
        <v>1842</v>
      </c>
      <c r="B37" s="1971" t="s">
        <v>3355</v>
      </c>
      <c r="C37" s="1152" t="s">
        <v>0</v>
      </c>
      <c r="D37" s="1153"/>
      <c r="E37" s="1154"/>
      <c r="F37" s="1155"/>
      <c r="G37" s="1156"/>
      <c r="H37" s="1157"/>
      <c r="I37" s="1154"/>
      <c r="J37" s="1157"/>
      <c r="K37" s="568"/>
      <c r="L37" s="2717"/>
      <c r="M37" s="2718"/>
      <c r="N37" s="2709"/>
      <c r="O37" s="2718"/>
      <c r="P37" s="3803" t="str">
        <f>A37</f>
        <v>成交单价</v>
      </c>
      <c r="Q37" s="3803"/>
      <c r="R37" s="3804">
        <f>E37</f>
        <v>0</v>
      </c>
      <c r="S37" s="3804"/>
      <c r="T37" s="3804">
        <f>G37</f>
        <v>0</v>
      </c>
      <c r="U37" s="3804"/>
      <c r="V37" s="3804">
        <f>I37</f>
        <v>0</v>
      </c>
      <c r="W37" s="3804"/>
      <c r="X37" s="688"/>
      <c r="Y37" s="710"/>
      <c r="Z37" s="688"/>
      <c r="AA37" s="688"/>
      <c r="AB37" s="688"/>
      <c r="AC37" s="688"/>
    </row>
    <row r="38" spans="1:29" ht="15.75" thickBot="1">
      <c r="A38" s="437" t="s">
        <v>1843</v>
      </c>
      <c r="B38" s="438" t="str">
        <f>B37</f>
        <v>元/平方米</v>
      </c>
      <c r="C38" s="1158" t="e">
        <f>R39</f>
        <v>#DIV/0!</v>
      </c>
      <c r="D38" s="2315" t="s">
        <v>2134</v>
      </c>
      <c r="E38" s="1159" t="e">
        <f>R38</f>
        <v>#DIV/0!</v>
      </c>
      <c r="F38" s="2316"/>
      <c r="G38" s="1158" t="e">
        <f>T38</f>
        <v>#DIV/0!</v>
      </c>
      <c r="H38" s="2316"/>
      <c r="I38" s="1159" t="e">
        <f>V38</f>
        <v>#DIV/0!</v>
      </c>
      <c r="J38" s="2316"/>
      <c r="K38" s="2318">
        <f>F38+H38+J38</f>
        <v>0</v>
      </c>
      <c r="L38" s="2717"/>
      <c r="M38" s="2718"/>
      <c r="N38" s="2718"/>
      <c r="O38" s="2718"/>
      <c r="P38" s="3803" t="str">
        <f>A38</f>
        <v>比较价值（元/平方米）</v>
      </c>
      <c r="Q38" s="3803"/>
      <c r="R38" s="3804" t="e">
        <f>IF(F1="售价",ROUND(PRODUCT(R37,AA7:AA36),0),ROUND(PRODUCT(R37,AA7:AA36),1))</f>
        <v>#DIV/0!</v>
      </c>
      <c r="S38" s="3804"/>
      <c r="T38" s="3804" t="e">
        <f>IF(F1="售价",ROUND(PRODUCT(T37,AB7:AB36),0),ROUND(PRODUCT(T37,AB7:AB36),1))</f>
        <v>#DIV/0!</v>
      </c>
      <c r="U38" s="3804"/>
      <c r="V38" s="3804" t="e">
        <f>IF(F1="售价",ROUND(PRODUCT(V37,AC7:AC36),0),ROUND(PRODUCT(V37,AC7:AC36),1))</f>
        <v>#DIV/0!</v>
      </c>
      <c r="W38" s="3804"/>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9"/>
      <c r="L39" s="2717"/>
      <c r="M39" s="2718"/>
      <c r="N39" s="2718"/>
      <c r="O39" s="2718"/>
      <c r="P39" s="3800" t="str">
        <f>A39</f>
        <v>估价对象XX用房的比较价值（楼面单价，元/平方米）</v>
      </c>
      <c r="Q39" s="3801"/>
      <c r="R39" s="3922" t="e">
        <f>IF(F1="售价",ROUND(IF(D38="简单平均",AVERAGE(R38:W38),R38*F38+T38*H38+V38*J38),0),ROUND(IF(D38="简单平均",AVERAGE(R38:V38),R38*F38+T38*H38+V38*J38),1))</f>
        <v>#DIV/0!</v>
      </c>
      <c r="S39" s="3922"/>
      <c r="T39" s="3922"/>
      <c r="U39" s="3922"/>
      <c r="V39" s="3922"/>
      <c r="W39" s="3922"/>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1848</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2023-2</v>
      </c>
      <c r="D48" s="1183">
        <f>EDATE(C48,-1)</f>
        <v>44927</v>
      </c>
      <c r="E48" s="1183">
        <f t="shared" ref="E48:O48" si="16">EDATE(D48,-1)</f>
        <v>44896</v>
      </c>
      <c r="F48" s="1183">
        <f t="shared" si="16"/>
        <v>44866</v>
      </c>
      <c r="G48" s="1183">
        <f t="shared" si="16"/>
        <v>44835</v>
      </c>
      <c r="H48" s="1183">
        <f t="shared" si="16"/>
        <v>44805</v>
      </c>
      <c r="I48" s="1183">
        <f t="shared" si="16"/>
        <v>44774</v>
      </c>
      <c r="J48" s="1183">
        <f t="shared" si="16"/>
        <v>44743</v>
      </c>
      <c r="K48" s="1183">
        <f t="shared" si="16"/>
        <v>44713</v>
      </c>
      <c r="L48" s="1183">
        <f t="shared" si="16"/>
        <v>44682</v>
      </c>
      <c r="M48" s="1183">
        <f t="shared" si="16"/>
        <v>44652</v>
      </c>
      <c r="N48" s="1183">
        <f t="shared" si="16"/>
        <v>44621</v>
      </c>
      <c r="O48" s="1183">
        <f t="shared" si="16"/>
        <v>44593</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3335</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818" t="s">
        <v>1768</v>
      </c>
      <c r="D4" s="3819"/>
      <c r="E4" s="3820" t="s">
        <v>1769</v>
      </c>
      <c r="F4" s="3821"/>
      <c r="G4" s="3818" t="s">
        <v>1770</v>
      </c>
      <c r="H4" s="3819"/>
      <c r="I4" s="3818" t="s">
        <v>1771</v>
      </c>
      <c r="J4" s="3819"/>
      <c r="K4" s="559" t="s">
        <v>1772</v>
      </c>
      <c r="L4" s="2708"/>
      <c r="M4" s="2709"/>
      <c r="N4" s="2709"/>
      <c r="O4" s="2709"/>
      <c r="P4" s="3822" t="s">
        <v>1773</v>
      </c>
      <c r="Q4" s="3823"/>
      <c r="R4" s="3828" t="s">
        <v>1769</v>
      </c>
      <c r="S4" s="3829"/>
      <c r="T4" s="3828" t="s">
        <v>1770</v>
      </c>
      <c r="U4" s="3829"/>
      <c r="V4" s="3834" t="s">
        <v>1771</v>
      </c>
      <c r="W4" s="3834"/>
      <c r="X4" s="1353"/>
      <c r="Y4" s="3828" t="s">
        <v>1773</v>
      </c>
      <c r="Z4" s="3829"/>
      <c r="AA4" s="3815" t="s">
        <v>1769</v>
      </c>
      <c r="AB4" s="3816" t="s">
        <v>1770</v>
      </c>
      <c r="AC4" s="3815" t="s">
        <v>1771</v>
      </c>
    </row>
    <row r="5" spans="1:29" ht="15">
      <c r="A5" s="358"/>
      <c r="B5" s="359"/>
      <c r="C5" s="3837" t="s">
        <v>1671</v>
      </c>
      <c r="D5" s="3838"/>
      <c r="E5" s="3844" t="s">
        <v>1672</v>
      </c>
      <c r="F5" s="3845"/>
      <c r="G5" s="3837" t="s">
        <v>1673</v>
      </c>
      <c r="H5" s="3838"/>
      <c r="I5" s="3837" t="s">
        <v>1674</v>
      </c>
      <c r="J5" s="3838"/>
      <c r="K5" s="559"/>
      <c r="L5" s="2708"/>
      <c r="M5" s="2709"/>
      <c r="N5" s="2709"/>
      <c r="O5" s="2709"/>
      <c r="P5" s="3824"/>
      <c r="Q5" s="3825"/>
      <c r="R5" s="3830"/>
      <c r="S5" s="3831"/>
      <c r="T5" s="3830"/>
      <c r="U5" s="3831"/>
      <c r="V5" s="3834"/>
      <c r="W5" s="3834"/>
      <c r="X5" s="1353"/>
      <c r="Y5" s="3830"/>
      <c r="Z5" s="3831"/>
      <c r="AA5" s="3816"/>
      <c r="AB5" s="3816"/>
      <c r="AC5" s="3816"/>
    </row>
    <row r="6" spans="1:29" ht="15.75" thickBot="1">
      <c r="A6" s="360"/>
      <c r="B6" s="361"/>
      <c r="C6" s="3835" t="s">
        <v>1675</v>
      </c>
      <c r="D6" s="3836"/>
      <c r="E6" s="3842" t="s">
        <v>1675</v>
      </c>
      <c r="F6" s="3843"/>
      <c r="G6" s="3835" t="s">
        <v>1675</v>
      </c>
      <c r="H6" s="3836"/>
      <c r="I6" s="3835" t="s">
        <v>1675</v>
      </c>
      <c r="J6" s="3836"/>
      <c r="K6" s="559" t="s">
        <v>1676</v>
      </c>
      <c r="L6" s="2708"/>
      <c r="M6" s="2709"/>
      <c r="N6" s="2709"/>
      <c r="O6" s="2709"/>
      <c r="P6" s="3826"/>
      <c r="Q6" s="3827"/>
      <c r="R6" s="3830"/>
      <c r="S6" s="3831"/>
      <c r="T6" s="3832"/>
      <c r="U6" s="3833"/>
      <c r="V6" s="3834"/>
      <c r="W6" s="3834"/>
      <c r="X6" s="1353"/>
      <c r="Y6" s="3832"/>
      <c r="Z6" s="3833"/>
      <c r="AA6" s="3817"/>
      <c r="AB6" s="3817"/>
      <c r="AC6" s="3817"/>
    </row>
    <row r="7" spans="1:29" s="108" customFormat="1" ht="15.75" thickBot="1">
      <c r="A7" s="362" t="s">
        <v>1677</v>
      </c>
      <c r="B7" s="363"/>
      <c r="C7" s="364">
        <f>'数据-取费表'!B2</f>
        <v>44971</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839" t="s">
        <v>1678</v>
      </c>
      <c r="Q7" s="3841"/>
      <c r="R7" s="699" t="s">
        <v>14</v>
      </c>
      <c r="S7" s="700">
        <f t="shared" ref="S7:S14" si="0">F7</f>
        <v>0</v>
      </c>
      <c r="T7" s="699" t="s">
        <v>14</v>
      </c>
      <c r="U7" s="700">
        <f t="shared" ref="U7:U14" si="1">H7</f>
        <v>0</v>
      </c>
      <c r="V7" s="699" t="s">
        <v>14</v>
      </c>
      <c r="W7" s="700">
        <f t="shared" ref="W7:W14" si="2">J7</f>
        <v>0</v>
      </c>
      <c r="X7" s="701"/>
      <c r="Y7" s="3839" t="s">
        <v>1678</v>
      </c>
      <c r="Z7" s="3840"/>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839" t="s">
        <v>1681</v>
      </c>
      <c r="Q8" s="3840"/>
      <c r="R8" s="699" t="s">
        <v>14</v>
      </c>
      <c r="S8" s="700">
        <f t="shared" si="0"/>
        <v>100</v>
      </c>
      <c r="T8" s="699" t="s">
        <v>14</v>
      </c>
      <c r="U8" s="700">
        <f t="shared" si="1"/>
        <v>100</v>
      </c>
      <c r="V8" s="699" t="s">
        <v>14</v>
      </c>
      <c r="W8" s="700">
        <f t="shared" si="2"/>
        <v>100</v>
      </c>
      <c r="X8" s="701"/>
      <c r="Y8" s="3839" t="s">
        <v>1681</v>
      </c>
      <c r="Z8" s="3840"/>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803" t="s">
        <v>1684</v>
      </c>
      <c r="Q9" s="1341" t="str">
        <f t="shared" ref="Q9:Q14" si="6">B9</f>
        <v>用途</v>
      </c>
      <c r="R9" s="699" t="s">
        <v>14</v>
      </c>
      <c r="S9" s="700">
        <f t="shared" si="0"/>
        <v>100</v>
      </c>
      <c r="T9" s="699" t="s">
        <v>14</v>
      </c>
      <c r="U9" s="700">
        <f t="shared" si="1"/>
        <v>100</v>
      </c>
      <c r="V9" s="699" t="s">
        <v>14</v>
      </c>
      <c r="W9" s="700">
        <f t="shared" si="2"/>
        <v>100</v>
      </c>
      <c r="X9" s="701"/>
      <c r="Y9" s="3679"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803"/>
      <c r="Q10" s="1341" t="str">
        <f t="shared" si="6"/>
        <v>土地使用年限（年）</v>
      </c>
      <c r="R10" s="699" t="s">
        <v>14</v>
      </c>
      <c r="S10" s="700">
        <f t="shared" si="0"/>
        <v>100</v>
      </c>
      <c r="T10" s="699" t="s">
        <v>14</v>
      </c>
      <c r="U10" s="700">
        <f t="shared" si="1"/>
        <v>100</v>
      </c>
      <c r="V10" s="699" t="s">
        <v>14</v>
      </c>
      <c r="W10" s="700">
        <f t="shared" si="2"/>
        <v>100</v>
      </c>
      <c r="X10" s="701"/>
      <c r="Y10" s="367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803"/>
      <c r="Q11" s="1341">
        <f t="shared" si="6"/>
        <v>111</v>
      </c>
      <c r="R11" s="699" t="s">
        <v>14</v>
      </c>
      <c r="S11" s="700">
        <f t="shared" si="0"/>
        <v>100</v>
      </c>
      <c r="T11" s="699" t="s">
        <v>14</v>
      </c>
      <c r="U11" s="700">
        <f t="shared" si="1"/>
        <v>100</v>
      </c>
      <c r="V11" s="699" t="s">
        <v>14</v>
      </c>
      <c r="W11" s="700">
        <f t="shared" si="2"/>
        <v>100</v>
      </c>
      <c r="X11" s="701"/>
      <c r="Y11" s="367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803"/>
      <c r="Q12" s="1341">
        <f t="shared" si="6"/>
        <v>111</v>
      </c>
      <c r="R12" s="699" t="s">
        <v>14</v>
      </c>
      <c r="S12" s="700">
        <f t="shared" si="0"/>
        <v>100</v>
      </c>
      <c r="T12" s="699" t="s">
        <v>14</v>
      </c>
      <c r="U12" s="700">
        <f t="shared" si="1"/>
        <v>100</v>
      </c>
      <c r="V12" s="699" t="s">
        <v>14</v>
      </c>
      <c r="W12" s="700">
        <f t="shared" si="2"/>
        <v>100</v>
      </c>
      <c r="X12" s="701"/>
      <c r="Y12" s="367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803"/>
      <c r="Q13" s="1341">
        <f t="shared" si="6"/>
        <v>111</v>
      </c>
      <c r="R13" s="699" t="s">
        <v>14</v>
      </c>
      <c r="S13" s="700">
        <f t="shared" si="0"/>
        <v>100</v>
      </c>
      <c r="T13" s="699" t="s">
        <v>14</v>
      </c>
      <c r="U13" s="700">
        <f t="shared" si="1"/>
        <v>100</v>
      </c>
      <c r="V13" s="699" t="s">
        <v>14</v>
      </c>
      <c r="W13" s="700">
        <f t="shared" si="2"/>
        <v>100</v>
      </c>
      <c r="X13" s="701"/>
      <c r="Y13" s="3679"/>
      <c r="Z13" s="52">
        <f t="shared" si="7"/>
        <v>111</v>
      </c>
      <c r="AA13" s="702">
        <f t="shared" si="3"/>
        <v>1</v>
      </c>
      <c r="AB13" s="702">
        <f t="shared" si="4"/>
        <v>1</v>
      </c>
      <c r="AC13" s="702">
        <f t="shared" si="5"/>
        <v>1</v>
      </c>
    </row>
    <row r="14" spans="1:29" ht="99.75">
      <c r="A14" s="391" t="s">
        <v>1688</v>
      </c>
      <c r="B14" s="61" t="s">
        <v>1831</v>
      </c>
      <c r="C14" s="1969" t="str">
        <f>IF(B1="工业",估价对象房地状况!G4,估价对象房地状况!C6)</f>
        <v>周边有359、空港1、3路等，周边道路密集一般，停车便捷程度一般，综合评价交通便捷度较差</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805" t="s">
        <v>1689</v>
      </c>
      <c r="Q14" s="1350" t="str">
        <f t="shared" si="6"/>
        <v>交通便捷度</v>
      </c>
      <c r="R14" s="703" t="s">
        <v>14</v>
      </c>
      <c r="S14" s="704">
        <f t="shared" si="0"/>
        <v>100</v>
      </c>
      <c r="T14" s="703" t="s">
        <v>14</v>
      </c>
      <c r="U14" s="704">
        <f t="shared" si="1"/>
        <v>100</v>
      </c>
      <c r="V14" s="703" t="s">
        <v>14</v>
      </c>
      <c r="W14" s="704">
        <f t="shared" si="2"/>
        <v>100</v>
      </c>
      <c r="X14" s="1353"/>
      <c r="Y14" s="3805"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806"/>
      <c r="Q15" s="1350"/>
      <c r="R15" s="703"/>
      <c r="S15" s="704"/>
      <c r="T15" s="703"/>
      <c r="U15" s="704"/>
      <c r="V15" s="703"/>
      <c r="W15" s="704"/>
      <c r="X15" s="1353"/>
      <c r="Y15" s="3806"/>
      <c r="Z15" s="1354"/>
      <c r="AA15" s="1351">
        <v>1</v>
      </c>
      <c r="AB15" s="1351">
        <v>1</v>
      </c>
      <c r="AC15" s="1351">
        <v>1</v>
      </c>
    </row>
    <row r="16" spans="1:29" ht="99.75">
      <c r="A16" s="379"/>
      <c r="B16" s="402" t="s">
        <v>1810</v>
      </c>
      <c r="C16" s="1898" t="str">
        <f>IF(B1="工业",估价对象房地状况!G5,估价对象房地状况!C7)</f>
        <v>估价对象所在区域银行、购物场所、学校等公共配套设施齐备，综合评价公共配套设施水平一般。</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806"/>
      <c r="Q16" s="1350" t="str">
        <f>B16</f>
        <v>公共配套设施</v>
      </c>
      <c r="R16" s="703" t="s">
        <v>14</v>
      </c>
      <c r="S16" s="704">
        <f>F16</f>
        <v>100</v>
      </c>
      <c r="T16" s="703" t="s">
        <v>14</v>
      </c>
      <c r="U16" s="704">
        <f>H16</f>
        <v>100</v>
      </c>
      <c r="V16" s="703" t="s">
        <v>14</v>
      </c>
      <c r="W16" s="704">
        <f>J16</f>
        <v>100</v>
      </c>
      <c r="X16" s="1353"/>
      <c r="Y16" s="380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806"/>
      <c r="Q17" s="1350"/>
      <c r="R17" s="703"/>
      <c r="S17" s="704"/>
      <c r="T17" s="703"/>
      <c r="U17" s="704"/>
      <c r="V17" s="703"/>
      <c r="W17" s="704"/>
      <c r="X17" s="1353"/>
      <c r="Y17" s="3806"/>
      <c r="Z17" s="1354"/>
      <c r="AA17" s="1351">
        <v>1</v>
      </c>
      <c r="AB17" s="1351">
        <v>1</v>
      </c>
      <c r="AC17" s="1351">
        <v>1</v>
      </c>
    </row>
    <row r="18" spans="1:29" ht="42.75">
      <c r="A18" s="379"/>
      <c r="B18" s="1129" t="s">
        <v>1811</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806"/>
      <c r="Q18" s="1350" t="str">
        <f>B18</f>
        <v>基础设施水平</v>
      </c>
      <c r="R18" s="703" t="s">
        <v>14</v>
      </c>
      <c r="S18" s="704">
        <f>F18</f>
        <v>100</v>
      </c>
      <c r="T18" s="703" t="s">
        <v>14</v>
      </c>
      <c r="U18" s="704">
        <f>H18</f>
        <v>100</v>
      </c>
      <c r="V18" s="703" t="s">
        <v>14</v>
      </c>
      <c r="W18" s="704">
        <f>J18</f>
        <v>100</v>
      </c>
      <c r="X18" s="1353"/>
      <c r="Y18" s="380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806"/>
      <c r="Q19" s="1350"/>
      <c r="R19" s="703"/>
      <c r="S19" s="704"/>
      <c r="T19" s="703"/>
      <c r="U19" s="704"/>
      <c r="V19" s="703"/>
      <c r="W19" s="704"/>
      <c r="X19" s="1353"/>
      <c r="Y19" s="3806"/>
      <c r="Z19" s="1354"/>
      <c r="AA19" s="1351">
        <v>1</v>
      </c>
      <c r="AB19" s="1351">
        <v>1</v>
      </c>
      <c r="AC19" s="1351">
        <v>1</v>
      </c>
    </row>
    <row r="20" spans="1:29" ht="85.5">
      <c r="A20" s="379"/>
      <c r="B20" s="402" t="s">
        <v>1832</v>
      </c>
      <c r="C20" s="1898" t="str">
        <f>IF(B1="工业",估价对象房地状况!G7,估价对象房地状况!C9)</f>
        <v>区域内有国航大学、天竺公园等自然及人文环境，综合评价自然及人文环境状况一般。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806"/>
      <c r="Q20" s="1350" t="str">
        <f>B20</f>
        <v>自然及人文环境</v>
      </c>
      <c r="R20" s="703" t="s">
        <v>14</v>
      </c>
      <c r="S20" s="704">
        <f>F20</f>
        <v>100</v>
      </c>
      <c r="T20" s="703" t="s">
        <v>14</v>
      </c>
      <c r="U20" s="704">
        <f>H20</f>
        <v>100</v>
      </c>
      <c r="V20" s="703" t="s">
        <v>14</v>
      </c>
      <c r="W20" s="704">
        <f>J20</f>
        <v>100</v>
      </c>
      <c r="X20" s="1353"/>
      <c r="Y20" s="380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806"/>
      <c r="Q21" s="1350"/>
      <c r="R21" s="703"/>
      <c r="S21" s="704"/>
      <c r="T21" s="703"/>
      <c r="U21" s="704"/>
      <c r="V21" s="703"/>
      <c r="W21" s="704"/>
      <c r="X21" s="1353"/>
      <c r="Y21" s="3806"/>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806"/>
      <c r="Q22" s="1350" t="str">
        <f>B22</f>
        <v>楼层</v>
      </c>
      <c r="R22" s="703" t="s">
        <v>14</v>
      </c>
      <c r="S22" s="704">
        <f>F22</f>
        <v>100</v>
      </c>
      <c r="T22" s="703" t="s">
        <v>14</v>
      </c>
      <c r="U22" s="704">
        <f>H22</f>
        <v>100</v>
      </c>
      <c r="V22" s="703" t="s">
        <v>14</v>
      </c>
      <c r="W22" s="704">
        <f>J22</f>
        <v>100</v>
      </c>
      <c r="X22" s="1353"/>
      <c r="Y22" s="380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806"/>
      <c r="Q23" s="1350">
        <f>B23</f>
        <v>111</v>
      </c>
      <c r="R23" s="703" t="s">
        <v>14</v>
      </c>
      <c r="S23" s="704">
        <f>F23</f>
        <v>100</v>
      </c>
      <c r="T23" s="703" t="s">
        <v>14</v>
      </c>
      <c r="U23" s="704">
        <f>H23</f>
        <v>100</v>
      </c>
      <c r="V23" s="703" t="s">
        <v>14</v>
      </c>
      <c r="W23" s="704">
        <f>J23</f>
        <v>100</v>
      </c>
      <c r="X23" s="1353"/>
      <c r="Y23" s="380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806"/>
      <c r="Q24" s="1350">
        <f t="shared" ref="Q24:Q34" si="11">B24</f>
        <v>111</v>
      </c>
      <c r="R24" s="703" t="s">
        <v>14</v>
      </c>
      <c r="S24" s="704">
        <f>F24</f>
        <v>100</v>
      </c>
      <c r="T24" s="703" t="s">
        <v>14</v>
      </c>
      <c r="U24" s="704">
        <f>H24</f>
        <v>100</v>
      </c>
      <c r="V24" s="703" t="s">
        <v>14</v>
      </c>
      <c r="W24" s="704">
        <f>J24</f>
        <v>100</v>
      </c>
      <c r="X24" s="1353"/>
      <c r="Y24" s="380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806"/>
      <c r="Q25" s="1341">
        <f t="shared" si="11"/>
        <v>111</v>
      </c>
      <c r="R25" s="699" t="s">
        <v>14</v>
      </c>
      <c r="S25" s="700">
        <f>F25</f>
        <v>100</v>
      </c>
      <c r="T25" s="699" t="s">
        <v>14</v>
      </c>
      <c r="U25" s="700">
        <f>H25</f>
        <v>100</v>
      </c>
      <c r="V25" s="699" t="s">
        <v>14</v>
      </c>
      <c r="W25" s="700">
        <f>J25</f>
        <v>100</v>
      </c>
      <c r="X25" s="701"/>
      <c r="Y25" s="3806"/>
      <c r="Z25" s="52">
        <f>Q25</f>
        <v>111</v>
      </c>
      <c r="AA25" s="1351">
        <f>D25/F25</f>
        <v>1</v>
      </c>
      <c r="AB25" s="1351">
        <f>D25/H25</f>
        <v>1</v>
      </c>
      <c r="AC25" s="1351">
        <f>D25/J25</f>
        <v>1</v>
      </c>
    </row>
    <row r="26" spans="1:29" ht="28.5">
      <c r="A26" s="417" t="s">
        <v>1692</v>
      </c>
      <c r="B26" s="63" t="s">
        <v>1836</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921"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810"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810"/>
      <c r="Q27" s="705" t="str">
        <f t="shared" si="11"/>
        <v>成新率</v>
      </c>
      <c r="R27" s="706" t="s">
        <v>14</v>
      </c>
      <c r="S27" s="707" t="e">
        <f t="shared" si="12"/>
        <v>#N/A</v>
      </c>
      <c r="T27" s="706" t="s">
        <v>14</v>
      </c>
      <c r="U27" s="707" t="e">
        <f t="shared" si="13"/>
        <v>#N/A</v>
      </c>
      <c r="V27" s="706" t="s">
        <v>14</v>
      </c>
      <c r="W27" s="707" t="e">
        <f t="shared" si="14"/>
        <v>#N/A</v>
      </c>
      <c r="X27" s="708"/>
      <c r="Y27" s="3810"/>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810"/>
      <c r="Q28" s="1350" t="str">
        <f t="shared" si="11"/>
        <v>物业等级</v>
      </c>
      <c r="R28" s="703" t="s">
        <v>14</v>
      </c>
      <c r="S28" s="704">
        <f t="shared" si="12"/>
        <v>100</v>
      </c>
      <c r="T28" s="703" t="s">
        <v>14</v>
      </c>
      <c r="U28" s="704">
        <f t="shared" si="13"/>
        <v>100</v>
      </c>
      <c r="V28" s="703" t="s">
        <v>14</v>
      </c>
      <c r="W28" s="704">
        <f t="shared" si="14"/>
        <v>100</v>
      </c>
      <c r="X28" s="1353"/>
      <c r="Y28" s="3810"/>
      <c r="Z28" s="1354" t="str">
        <f t="shared" si="15"/>
        <v>物业等级</v>
      </c>
      <c r="AA28" s="1351">
        <f t="shared" si="3"/>
        <v>1</v>
      </c>
      <c r="AB28" s="1351">
        <f t="shared" si="4"/>
        <v>1</v>
      </c>
      <c r="AC28" s="1351">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810"/>
      <c r="Q29" s="1350" t="str">
        <f t="shared" si="11"/>
        <v>有无电梯</v>
      </c>
      <c r="R29" s="703" t="s">
        <v>14</v>
      </c>
      <c r="S29" s="704">
        <f t="shared" si="12"/>
        <v>100</v>
      </c>
      <c r="T29" s="703" t="s">
        <v>14</v>
      </c>
      <c r="U29" s="704">
        <f t="shared" si="13"/>
        <v>100</v>
      </c>
      <c r="V29" s="703" t="s">
        <v>14</v>
      </c>
      <c r="W29" s="704">
        <f t="shared" si="14"/>
        <v>100</v>
      </c>
      <c r="X29" s="1353"/>
      <c r="Y29" s="3810"/>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810"/>
      <c r="Q30" s="1350" t="str">
        <f t="shared" si="11"/>
        <v>建筑面积</v>
      </c>
      <c r="R30" s="703" t="s">
        <v>14</v>
      </c>
      <c r="S30" s="704" t="e">
        <f t="shared" si="12"/>
        <v>#N/A</v>
      </c>
      <c r="T30" s="703" t="s">
        <v>14</v>
      </c>
      <c r="U30" s="704" t="e">
        <f t="shared" si="13"/>
        <v>#N/A</v>
      </c>
      <c r="V30" s="703" t="s">
        <v>14</v>
      </c>
      <c r="W30" s="704" t="e">
        <f t="shared" si="14"/>
        <v>#N/A</v>
      </c>
      <c r="X30" s="1353"/>
      <c r="Y30" s="3810"/>
      <c r="Z30" s="1354" t="str">
        <f t="shared" si="15"/>
        <v>建筑面积</v>
      </c>
      <c r="AA30" s="1351" t="e">
        <f t="shared" si="3"/>
        <v>#N/A</v>
      </c>
      <c r="AB30" s="1351" t="e">
        <f t="shared" si="4"/>
        <v>#N/A</v>
      </c>
      <c r="AC30" s="1351"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810"/>
      <c r="Q31" s="1341" t="str">
        <f t="shared" si="11"/>
        <v>是否封闭</v>
      </c>
      <c r="R31" s="699" t="s">
        <v>14</v>
      </c>
      <c r="S31" s="700">
        <f t="shared" si="12"/>
        <v>100</v>
      </c>
      <c r="T31" s="699" t="s">
        <v>14</v>
      </c>
      <c r="U31" s="700">
        <f t="shared" si="13"/>
        <v>100</v>
      </c>
      <c r="V31" s="699" t="s">
        <v>14</v>
      </c>
      <c r="W31" s="700">
        <f t="shared" si="14"/>
        <v>100</v>
      </c>
      <c r="X31" s="701"/>
      <c r="Y31" s="381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810" t="s">
        <v>1694</v>
      </c>
      <c r="Q32" s="1350">
        <f t="shared" si="11"/>
        <v>111</v>
      </c>
      <c r="R32" s="703" t="s">
        <v>14</v>
      </c>
      <c r="S32" s="704">
        <f t="shared" si="12"/>
        <v>100</v>
      </c>
      <c r="T32" s="703" t="s">
        <v>14</v>
      </c>
      <c r="U32" s="704">
        <f t="shared" si="13"/>
        <v>100</v>
      </c>
      <c r="V32" s="703" t="s">
        <v>14</v>
      </c>
      <c r="W32" s="704">
        <f t="shared" si="14"/>
        <v>100</v>
      </c>
      <c r="X32" s="1353"/>
      <c r="Y32" s="3810"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810"/>
      <c r="Q33" s="1350">
        <f t="shared" si="11"/>
        <v>111</v>
      </c>
      <c r="R33" s="703" t="s">
        <v>14</v>
      </c>
      <c r="S33" s="704">
        <f t="shared" si="12"/>
        <v>100</v>
      </c>
      <c r="T33" s="703" t="s">
        <v>14</v>
      </c>
      <c r="U33" s="704">
        <f t="shared" si="13"/>
        <v>100</v>
      </c>
      <c r="V33" s="703" t="s">
        <v>14</v>
      </c>
      <c r="W33" s="704">
        <f t="shared" si="14"/>
        <v>100</v>
      </c>
      <c r="X33" s="1353"/>
      <c r="Y33" s="381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810"/>
      <c r="Q34" s="1350">
        <f t="shared" si="11"/>
        <v>111</v>
      </c>
      <c r="R34" s="703" t="s">
        <v>14</v>
      </c>
      <c r="S34" s="704">
        <f t="shared" si="12"/>
        <v>100</v>
      </c>
      <c r="T34" s="703" t="s">
        <v>14</v>
      </c>
      <c r="U34" s="704">
        <f t="shared" si="13"/>
        <v>100</v>
      </c>
      <c r="V34" s="703" t="s">
        <v>14</v>
      </c>
      <c r="W34" s="704">
        <f t="shared" si="14"/>
        <v>100</v>
      </c>
      <c r="X34" s="1353"/>
      <c r="Y34" s="3810"/>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7"/>
      <c r="M35" s="2718"/>
      <c r="N35" s="2709"/>
      <c r="O35" s="2718"/>
      <c r="P35" s="3803" t="str">
        <f>A35</f>
        <v>成交单价（元/平方米）</v>
      </c>
      <c r="Q35" s="3803"/>
      <c r="R35" s="3804">
        <f>E35</f>
        <v>0</v>
      </c>
      <c r="S35" s="3804"/>
      <c r="T35" s="3804">
        <f>G35</f>
        <v>0</v>
      </c>
      <c r="U35" s="3804"/>
      <c r="V35" s="3804">
        <f>I35</f>
        <v>0</v>
      </c>
      <c r="W35" s="3804"/>
      <c r="X35" s="688"/>
      <c r="Y35" s="710"/>
      <c r="Z35" s="688"/>
      <c r="AA35" s="688"/>
      <c r="AB35" s="688"/>
      <c r="AC35" s="688"/>
    </row>
    <row r="36" spans="1:30" ht="15.75" thickBot="1">
      <c r="A36" s="437" t="s">
        <v>1791</v>
      </c>
      <c r="B36" s="438"/>
      <c r="C36" s="1158" t="e">
        <f>R37</f>
        <v>#DIV/0!</v>
      </c>
      <c r="D36" s="2315" t="s">
        <v>2134</v>
      </c>
      <c r="E36" s="1159" t="e">
        <f>R36</f>
        <v>#DIV/0!</v>
      </c>
      <c r="F36" s="2316"/>
      <c r="G36" s="1158" t="e">
        <f>T36</f>
        <v>#DIV/0!</v>
      </c>
      <c r="H36" s="2316"/>
      <c r="I36" s="1159" t="e">
        <f>V36</f>
        <v>#DIV/0!</v>
      </c>
      <c r="J36" s="2316"/>
      <c r="K36" s="2318">
        <f>F36+H36+J36</f>
        <v>0</v>
      </c>
      <c r="L36" s="2717"/>
      <c r="M36" s="2718"/>
      <c r="N36" s="2709"/>
      <c r="O36" s="2718"/>
      <c r="P36" s="3803" t="str">
        <f>A36</f>
        <v>比较价值（元/平方米）</v>
      </c>
      <c r="Q36" s="3803"/>
      <c r="R36" s="3804" t="e">
        <f>IF(F1="售价",ROUND(PRODUCT(R35,AA7:AA34),0),ROUND(PRODUCT(R35,AA7:AA34),1))</f>
        <v>#DIV/0!</v>
      </c>
      <c r="S36" s="3804"/>
      <c r="T36" s="3804" t="e">
        <f>IF(F1="售价",ROUND(PRODUCT(T35,AB7:AB34),0),ROUND(PRODUCT(T35,AB7:AB34),1))</f>
        <v>#DIV/0!</v>
      </c>
      <c r="U36" s="3804"/>
      <c r="V36" s="3804" t="e">
        <f>IF(F1="售价",ROUND(PRODUCT(V35,AC7:AC34),0),ROUND(PRODUCT(V35,AC7:AC34),1))</f>
        <v>#DIV/0!</v>
      </c>
      <c r="W36" s="3804"/>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7"/>
      <c r="M37" s="2718"/>
      <c r="N37" s="2718"/>
      <c r="O37" s="2718"/>
      <c r="P37" s="3800" t="str">
        <f>A37</f>
        <v>估价对象XX用房的比较价值（楼面单价，元/平方米）</v>
      </c>
      <c r="Q37" s="3801"/>
      <c r="R37" s="3922" t="e">
        <f>IF(F1="售价",ROUND(IF(D36="简单平均",AVERAGE(R36:W36),R36*F36+T36*H36+V36*J36),0),ROUND(IF(D36="简单平均",AVERAGE(R36:V36),R36*F36+T36*H36+V36*J36),1))</f>
        <v>#DIV/0!</v>
      </c>
      <c r="S37" s="3922"/>
      <c r="T37" s="3922"/>
      <c r="U37" s="3922"/>
      <c r="V37" s="3922"/>
      <c r="W37" s="3922"/>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1796</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2023-2</v>
      </c>
      <c r="D46" s="1183">
        <f>EDATE(C46,-1)</f>
        <v>44927</v>
      </c>
      <c r="E46" s="1183">
        <f t="shared" ref="E46:O46" si="16">EDATE(D46,-1)</f>
        <v>44896</v>
      </c>
      <c r="F46" s="1183">
        <f t="shared" si="16"/>
        <v>44866</v>
      </c>
      <c r="G46" s="1183">
        <f t="shared" si="16"/>
        <v>44835</v>
      </c>
      <c r="H46" s="1183">
        <f t="shared" si="16"/>
        <v>44805</v>
      </c>
      <c r="I46" s="1183">
        <f t="shared" si="16"/>
        <v>44774</v>
      </c>
      <c r="J46" s="1183">
        <f t="shared" si="16"/>
        <v>44743</v>
      </c>
      <c r="K46" s="1183">
        <f t="shared" si="16"/>
        <v>44713</v>
      </c>
      <c r="L46" s="1183">
        <f t="shared" si="16"/>
        <v>44682</v>
      </c>
      <c r="M46" s="1183">
        <f t="shared" si="16"/>
        <v>44652</v>
      </c>
      <c r="N46" s="1183">
        <f t="shared" si="16"/>
        <v>44621</v>
      </c>
      <c r="O46" s="1183">
        <f t="shared" si="16"/>
        <v>44593</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1767</v>
      </c>
      <c r="B4" s="356"/>
      <c r="C4" s="3818" t="s">
        <v>1768</v>
      </c>
      <c r="D4" s="3819"/>
      <c r="E4" s="3820" t="s">
        <v>1769</v>
      </c>
      <c r="F4" s="3821"/>
      <c r="G4" s="3818" t="s">
        <v>1770</v>
      </c>
      <c r="H4" s="3819"/>
      <c r="I4" s="3818" t="s">
        <v>1771</v>
      </c>
      <c r="J4" s="3819"/>
      <c r="K4" s="559" t="s">
        <v>1772</v>
      </c>
      <c r="L4" s="2708"/>
      <c r="M4" s="2709"/>
      <c r="N4" s="2709"/>
      <c r="O4" s="2709"/>
      <c r="P4" s="3822" t="s">
        <v>1773</v>
      </c>
      <c r="Q4" s="3823"/>
      <c r="R4" s="3828" t="s">
        <v>1769</v>
      </c>
      <c r="S4" s="3829"/>
      <c r="T4" s="3828" t="s">
        <v>1770</v>
      </c>
      <c r="U4" s="3829"/>
      <c r="V4" s="3834" t="s">
        <v>1771</v>
      </c>
      <c r="W4" s="3834"/>
      <c r="X4" s="1353"/>
      <c r="Y4" s="3828" t="s">
        <v>1773</v>
      </c>
      <c r="Z4" s="3829"/>
      <c r="AA4" s="3815" t="s">
        <v>1769</v>
      </c>
      <c r="AB4" s="3816" t="s">
        <v>1770</v>
      </c>
      <c r="AC4" s="3815" t="s">
        <v>1771</v>
      </c>
    </row>
    <row r="5" spans="1:30" ht="15">
      <c r="A5" s="358"/>
      <c r="B5" s="359"/>
      <c r="C5" s="3837" t="s">
        <v>1671</v>
      </c>
      <c r="D5" s="3838"/>
      <c r="E5" s="3844" t="s">
        <v>1672</v>
      </c>
      <c r="F5" s="3845"/>
      <c r="G5" s="3837" t="s">
        <v>1673</v>
      </c>
      <c r="H5" s="3838"/>
      <c r="I5" s="3837" t="s">
        <v>1674</v>
      </c>
      <c r="J5" s="3838"/>
      <c r="K5" s="559"/>
      <c r="L5" s="2708"/>
      <c r="M5" s="2709"/>
      <c r="N5" s="2709"/>
      <c r="O5" s="2709"/>
      <c r="P5" s="3824"/>
      <c r="Q5" s="3825"/>
      <c r="R5" s="3830"/>
      <c r="S5" s="3831"/>
      <c r="T5" s="3830"/>
      <c r="U5" s="3831"/>
      <c r="V5" s="3834"/>
      <c r="W5" s="3834"/>
      <c r="X5" s="1353"/>
      <c r="Y5" s="3830"/>
      <c r="Z5" s="3831"/>
      <c r="AA5" s="3816"/>
      <c r="AB5" s="3816"/>
      <c r="AC5" s="3816"/>
    </row>
    <row r="6" spans="1:30" ht="15.75" thickBot="1">
      <c r="A6" s="360"/>
      <c r="B6" s="361"/>
      <c r="C6" s="3835" t="s">
        <v>1675</v>
      </c>
      <c r="D6" s="3836"/>
      <c r="E6" s="3842" t="s">
        <v>1675</v>
      </c>
      <c r="F6" s="3843"/>
      <c r="G6" s="3835" t="s">
        <v>1675</v>
      </c>
      <c r="H6" s="3836"/>
      <c r="I6" s="3835" t="s">
        <v>1675</v>
      </c>
      <c r="J6" s="3836"/>
      <c r="K6" s="559" t="s">
        <v>1676</v>
      </c>
      <c r="L6" s="2708"/>
      <c r="M6" s="2709"/>
      <c r="N6" s="2709"/>
      <c r="O6" s="2709"/>
      <c r="P6" s="3826"/>
      <c r="Q6" s="3827"/>
      <c r="R6" s="3830"/>
      <c r="S6" s="3831"/>
      <c r="T6" s="3832"/>
      <c r="U6" s="3833"/>
      <c r="V6" s="3834"/>
      <c r="W6" s="3834"/>
      <c r="X6" s="1353"/>
      <c r="Y6" s="3832"/>
      <c r="Z6" s="3833"/>
      <c r="AA6" s="3817"/>
      <c r="AB6" s="3817"/>
      <c r="AC6" s="3817"/>
    </row>
    <row r="7" spans="1:30" s="108" customFormat="1" ht="15.75" thickBot="1">
      <c r="A7" s="362" t="s">
        <v>1677</v>
      </c>
      <c r="B7" s="363"/>
      <c r="C7" s="364">
        <f>'数据-取费表'!B2</f>
        <v>44971</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839" t="s">
        <v>1678</v>
      </c>
      <c r="Q7" s="3841"/>
      <c r="R7" s="699" t="s">
        <v>14</v>
      </c>
      <c r="S7" s="700">
        <f t="shared" ref="S7:S15" si="0">F7</f>
        <v>0</v>
      </c>
      <c r="T7" s="699" t="s">
        <v>14</v>
      </c>
      <c r="U7" s="700">
        <f t="shared" ref="U7:U15" si="1">H7</f>
        <v>0</v>
      </c>
      <c r="V7" s="699" t="s">
        <v>14</v>
      </c>
      <c r="W7" s="700">
        <f t="shared" ref="W7:W15" si="2">J7</f>
        <v>0</v>
      </c>
      <c r="X7" s="701"/>
      <c r="Y7" s="3839" t="s">
        <v>1678</v>
      </c>
      <c r="Z7" s="3840"/>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839" t="s">
        <v>1681</v>
      </c>
      <c r="Q8" s="3840"/>
      <c r="R8" s="699" t="s">
        <v>14</v>
      </c>
      <c r="S8" s="700">
        <f t="shared" si="0"/>
        <v>0</v>
      </c>
      <c r="T8" s="699" t="s">
        <v>14</v>
      </c>
      <c r="U8" s="700">
        <f t="shared" si="1"/>
        <v>0</v>
      </c>
      <c r="V8" s="699" t="s">
        <v>14</v>
      </c>
      <c r="W8" s="700">
        <f t="shared" si="2"/>
        <v>0</v>
      </c>
      <c r="X8" s="701"/>
      <c r="Y8" s="3839" t="s">
        <v>1681</v>
      </c>
      <c r="Z8" s="3840"/>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803" t="s">
        <v>1684</v>
      </c>
      <c r="Q9" s="1341" t="str">
        <f t="shared" ref="Q9:Q15" si="6">B9</f>
        <v>用途</v>
      </c>
      <c r="R9" s="699" t="s">
        <v>14</v>
      </c>
      <c r="S9" s="700">
        <f t="shared" si="0"/>
        <v>100</v>
      </c>
      <c r="T9" s="699" t="s">
        <v>14</v>
      </c>
      <c r="U9" s="700">
        <f t="shared" si="1"/>
        <v>100</v>
      </c>
      <c r="V9" s="699" t="s">
        <v>14</v>
      </c>
      <c r="W9" s="700">
        <f t="shared" si="2"/>
        <v>100</v>
      </c>
      <c r="X9" s="701"/>
      <c r="Y9" s="3679"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t="e">
        <f>ROUND(100/'数据-取费表'!G16,0)</f>
        <v>#DIV/0!</v>
      </c>
      <c r="G10" s="414"/>
      <c r="H10" s="127" t="e">
        <f>ROUND(100/'数据-取费表'!G16,0)</f>
        <v>#DIV/0!</v>
      </c>
      <c r="I10" s="414"/>
      <c r="J10" s="127" t="e">
        <f>ROUND(100/'数据-取费表'!G16,0)</f>
        <v>#DIV/0!</v>
      </c>
      <c r="K10" s="620"/>
      <c r="L10" s="2712"/>
      <c r="M10" s="2713"/>
      <c r="N10" s="2713"/>
      <c r="O10" s="2766"/>
      <c r="P10" s="3803"/>
      <c r="Q10" s="1341" t="str">
        <f t="shared" si="6"/>
        <v>土地使用年限（年）</v>
      </c>
      <c r="R10" s="699" t="s">
        <v>14</v>
      </c>
      <c r="S10" s="700" t="e">
        <f t="shared" si="0"/>
        <v>#DIV/0!</v>
      </c>
      <c r="T10" s="699" t="s">
        <v>14</v>
      </c>
      <c r="U10" s="700" t="e">
        <f t="shared" si="1"/>
        <v>#DIV/0!</v>
      </c>
      <c r="V10" s="699" t="s">
        <v>14</v>
      </c>
      <c r="W10" s="700" t="e">
        <f t="shared" si="2"/>
        <v>#DIV/0!</v>
      </c>
      <c r="X10" s="701"/>
      <c r="Y10" s="3679"/>
      <c r="Z10" s="52" t="str">
        <f t="shared" si="7"/>
        <v>土地使用年限（年）</v>
      </c>
      <c r="AA10" s="702" t="e">
        <f t="shared" si="3"/>
        <v>#DIV/0!</v>
      </c>
      <c r="AB10" s="702" t="e">
        <f t="shared" si="4"/>
        <v>#DIV/0!</v>
      </c>
      <c r="AC10" s="702" t="e">
        <f t="shared" si="5"/>
        <v>#DIV/0!</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803"/>
      <c r="Q11" s="1341" t="str">
        <f t="shared" si="6"/>
        <v>容积率</v>
      </c>
      <c r="R11" s="699" t="s">
        <v>14</v>
      </c>
      <c r="S11" s="700" t="e">
        <f t="shared" si="0"/>
        <v>#N/A</v>
      </c>
      <c r="T11" s="699" t="s">
        <v>14</v>
      </c>
      <c r="U11" s="700" t="e">
        <f t="shared" si="1"/>
        <v>#N/A</v>
      </c>
      <c r="V11" s="699" t="s">
        <v>14</v>
      </c>
      <c r="W11" s="700" t="e">
        <f t="shared" si="2"/>
        <v>#N/A</v>
      </c>
      <c r="X11" s="701"/>
      <c r="Y11" s="3679"/>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803"/>
      <c r="Q12" s="1341" t="str">
        <f t="shared" si="6"/>
        <v>配建</v>
      </c>
      <c r="R12" s="699" t="s">
        <v>14</v>
      </c>
      <c r="S12" s="700">
        <f t="shared" si="0"/>
        <v>100</v>
      </c>
      <c r="T12" s="699" t="s">
        <v>14</v>
      </c>
      <c r="U12" s="700">
        <f t="shared" si="1"/>
        <v>100</v>
      </c>
      <c r="V12" s="699" t="s">
        <v>14</v>
      </c>
      <c r="W12" s="700">
        <f t="shared" si="2"/>
        <v>100</v>
      </c>
      <c r="X12" s="701"/>
      <c r="Y12" s="367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803"/>
      <c r="Q13" s="1341">
        <f t="shared" si="6"/>
        <v>111</v>
      </c>
      <c r="R13" s="699" t="s">
        <v>14</v>
      </c>
      <c r="S13" s="700">
        <f t="shared" si="0"/>
        <v>100</v>
      </c>
      <c r="T13" s="699" t="s">
        <v>14</v>
      </c>
      <c r="U13" s="700">
        <f t="shared" si="1"/>
        <v>100</v>
      </c>
      <c r="V13" s="699" t="s">
        <v>14</v>
      </c>
      <c r="W13" s="700">
        <f t="shared" si="2"/>
        <v>100</v>
      </c>
      <c r="X13" s="701"/>
      <c r="Y13" s="367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803"/>
      <c r="Q14" s="1341">
        <f t="shared" si="6"/>
        <v>111</v>
      </c>
      <c r="R14" s="699" t="s">
        <v>14</v>
      </c>
      <c r="S14" s="700">
        <f t="shared" si="0"/>
        <v>100</v>
      </c>
      <c r="T14" s="699" t="s">
        <v>14</v>
      </c>
      <c r="U14" s="700">
        <f t="shared" si="1"/>
        <v>100</v>
      </c>
      <c r="V14" s="699" t="s">
        <v>14</v>
      </c>
      <c r="W14" s="700">
        <f t="shared" si="2"/>
        <v>100</v>
      </c>
      <c r="X14" s="701"/>
      <c r="Y14" s="3679"/>
      <c r="Z14" s="52">
        <f t="shared" si="7"/>
        <v>111</v>
      </c>
      <c r="AA14" s="702">
        <f>D14/F14</f>
        <v>1</v>
      </c>
      <c r="AB14" s="702">
        <f>D14/H14</f>
        <v>1</v>
      </c>
      <c r="AC14" s="702">
        <f>D14/J14</f>
        <v>1</v>
      </c>
    </row>
    <row r="15" spans="1:30" ht="15">
      <c r="A15" s="391" t="s">
        <v>1688</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805" t="s">
        <v>1689</v>
      </c>
      <c r="Q15" s="1350" t="str">
        <f t="shared" si="6"/>
        <v>居住社区成熟度</v>
      </c>
      <c r="R15" s="703" t="s">
        <v>14</v>
      </c>
      <c r="S15" s="704">
        <f t="shared" si="0"/>
        <v>100</v>
      </c>
      <c r="T15" s="703" t="s">
        <v>14</v>
      </c>
      <c r="U15" s="704">
        <f t="shared" si="1"/>
        <v>100</v>
      </c>
      <c r="V15" s="703" t="s">
        <v>14</v>
      </c>
      <c r="W15" s="704">
        <f t="shared" si="2"/>
        <v>100</v>
      </c>
      <c r="X15" s="1353"/>
      <c r="Y15" s="3805"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806"/>
      <c r="Q16" s="1350"/>
      <c r="R16" s="703"/>
      <c r="S16" s="704"/>
      <c r="T16" s="703"/>
      <c r="U16" s="704"/>
      <c r="V16" s="703"/>
      <c r="W16" s="704"/>
      <c r="X16" s="1353"/>
      <c r="Y16" s="3806"/>
      <c r="Z16" s="1354"/>
      <c r="AA16" s="1351">
        <v>1</v>
      </c>
      <c r="AB16" s="1351">
        <v>1</v>
      </c>
      <c r="AC16" s="1351">
        <v>1</v>
      </c>
    </row>
    <row r="17" spans="1:29" ht="28.5">
      <c r="A17" s="379"/>
      <c r="B17" s="402" t="s">
        <v>1775</v>
      </c>
      <c r="C17" s="1953" t="str">
        <f>估价对象房地状况!C16</f>
        <v>周边以配套商业为主</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806"/>
      <c r="Q17" s="1350" t="str">
        <f>B17</f>
        <v>商业繁华度</v>
      </c>
      <c r="R17" s="703" t="s">
        <v>14</v>
      </c>
      <c r="S17" s="704">
        <f>F17</f>
        <v>100</v>
      </c>
      <c r="T17" s="703" t="s">
        <v>14</v>
      </c>
      <c r="U17" s="704">
        <f>H17</f>
        <v>100</v>
      </c>
      <c r="V17" s="703" t="s">
        <v>14</v>
      </c>
      <c r="W17" s="704">
        <f>J17</f>
        <v>100</v>
      </c>
      <c r="X17" s="1353"/>
      <c r="Y17" s="380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806"/>
      <c r="Q18" s="1350"/>
      <c r="R18" s="703"/>
      <c r="S18" s="704"/>
      <c r="T18" s="703"/>
      <c r="U18" s="704"/>
      <c r="V18" s="703"/>
      <c r="W18" s="704"/>
      <c r="X18" s="1353"/>
      <c r="Y18" s="3806"/>
      <c r="Z18" s="1354"/>
      <c r="AA18" s="1351">
        <v>1</v>
      </c>
      <c r="AB18" s="1351">
        <v>1</v>
      </c>
      <c r="AC18" s="1351">
        <v>1</v>
      </c>
    </row>
    <row r="19" spans="1:29" ht="15">
      <c r="A19" s="379"/>
      <c r="B19" s="402" t="s">
        <v>1809</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806"/>
      <c r="Q19" s="1350" t="str">
        <f>B19</f>
        <v>办公集聚程度</v>
      </c>
      <c r="R19" s="703" t="s">
        <v>14</v>
      </c>
      <c r="S19" s="704">
        <f>F19</f>
        <v>100</v>
      </c>
      <c r="T19" s="703" t="s">
        <v>14</v>
      </c>
      <c r="U19" s="704">
        <f>H19</f>
        <v>100</v>
      </c>
      <c r="V19" s="703" t="s">
        <v>14</v>
      </c>
      <c r="W19" s="704">
        <f>J19</f>
        <v>100</v>
      </c>
      <c r="X19" s="1353"/>
      <c r="Y19" s="380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806"/>
      <c r="Q20" s="1350"/>
      <c r="R20" s="703"/>
      <c r="S20" s="704"/>
      <c r="T20" s="703"/>
      <c r="U20" s="704"/>
      <c r="V20" s="703"/>
      <c r="W20" s="704"/>
      <c r="X20" s="1353"/>
      <c r="Y20" s="3806"/>
      <c r="Z20" s="1354"/>
      <c r="AA20" s="1351">
        <v>1</v>
      </c>
      <c r="AB20" s="1351">
        <v>1</v>
      </c>
      <c r="AC20" s="1351">
        <v>1</v>
      </c>
    </row>
    <row r="21" spans="1:29" ht="99.75">
      <c r="A21" s="379"/>
      <c r="B21" s="402" t="s">
        <v>1831</v>
      </c>
      <c r="C21" s="1898" t="str">
        <f>估价对象房地状况!C18</f>
        <v>周边有359、空港1、3路等，周边道路密集一般，停车便捷程度一般，综合评价交通便捷度较差</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806"/>
      <c r="Q21" s="1350" t="str">
        <f>B21</f>
        <v>交通便捷度</v>
      </c>
      <c r="R21" s="703" t="s">
        <v>14</v>
      </c>
      <c r="S21" s="704">
        <f>F21</f>
        <v>100</v>
      </c>
      <c r="T21" s="703" t="s">
        <v>14</v>
      </c>
      <c r="U21" s="704">
        <f>H21</f>
        <v>100</v>
      </c>
      <c r="V21" s="703" t="s">
        <v>14</v>
      </c>
      <c r="W21" s="704">
        <f>J21</f>
        <v>100</v>
      </c>
      <c r="X21" s="1353"/>
      <c r="Y21" s="380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806"/>
      <c r="Q22" s="1350"/>
      <c r="R22" s="703"/>
      <c r="S22" s="704"/>
      <c r="T22" s="703"/>
      <c r="U22" s="704"/>
      <c r="V22" s="703"/>
      <c r="W22" s="704"/>
      <c r="X22" s="1353"/>
      <c r="Y22" s="3806"/>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806"/>
      <c r="Q23" s="1350" t="str">
        <f t="shared" ref="Q23:Q37" si="8">B23</f>
        <v>区域土地利用方向</v>
      </c>
      <c r="R23" s="703" t="s">
        <v>14</v>
      </c>
      <c r="S23" s="704">
        <f>F23</f>
        <v>100</v>
      </c>
      <c r="T23" s="703" t="s">
        <v>14</v>
      </c>
      <c r="U23" s="704">
        <f>H23</f>
        <v>100</v>
      </c>
      <c r="V23" s="703" t="s">
        <v>14</v>
      </c>
      <c r="W23" s="704">
        <f>J23</f>
        <v>100</v>
      </c>
      <c r="X23" s="1353"/>
      <c r="Y23" s="380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806"/>
      <c r="Q24" s="1350"/>
      <c r="R24" s="703"/>
      <c r="S24" s="704"/>
      <c r="T24" s="703"/>
      <c r="U24" s="704"/>
      <c r="V24" s="703"/>
      <c r="W24" s="704"/>
      <c r="X24" s="1353"/>
      <c r="Y24" s="3806"/>
      <c r="Z24" s="1354"/>
      <c r="AA24" s="1351"/>
      <c r="AB24" s="1351"/>
      <c r="AC24" s="1351"/>
    </row>
    <row r="25" spans="1:29" ht="85.5">
      <c r="A25" s="358"/>
      <c r="B25" s="1129" t="s">
        <v>1870</v>
      </c>
      <c r="C25" s="1953" t="str">
        <f>估价对象房地状况!C20</f>
        <v>区域内有国航大学、天竺公园等自然及人文环境，综合评价自然及人文环境状况一般。</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806"/>
      <c r="Q25" s="1350" t="str">
        <f t="shared" si="8"/>
        <v>自然及人文环境状况</v>
      </c>
      <c r="R25" s="703" t="s">
        <v>14</v>
      </c>
      <c r="S25" s="704">
        <f>F25</f>
        <v>100</v>
      </c>
      <c r="T25" s="703" t="s">
        <v>14</v>
      </c>
      <c r="U25" s="704">
        <f>H25</f>
        <v>100</v>
      </c>
      <c r="V25" s="703" t="s">
        <v>14</v>
      </c>
      <c r="W25" s="704">
        <f>J25</f>
        <v>100</v>
      </c>
      <c r="X25" s="1353"/>
      <c r="Y25" s="380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806"/>
      <c r="Q26" s="1350"/>
      <c r="R26" s="703"/>
      <c r="S26" s="704"/>
      <c r="T26" s="703"/>
      <c r="U26" s="704"/>
      <c r="V26" s="703"/>
      <c r="W26" s="704"/>
      <c r="X26" s="1353"/>
      <c r="Y26" s="3806"/>
      <c r="Z26" s="1354"/>
      <c r="AA26" s="1351">
        <v>1</v>
      </c>
      <c r="AB26" s="1351">
        <v>1</v>
      </c>
      <c r="AC26" s="1351">
        <v>1</v>
      </c>
    </row>
    <row r="27" spans="1:29" s="108" customFormat="1" ht="99.75">
      <c r="A27" s="597"/>
      <c r="B27" s="1129" t="s">
        <v>1776</v>
      </c>
      <c r="C27" s="1898" t="str">
        <f>估价对象房地状况!C21</f>
        <v>估价对象所在区域银行、购物场所、学校等公共配套设施齐备，综合评价公共配套设施水平一般。</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806"/>
      <c r="Q27" s="1341" t="str">
        <f t="shared" si="8"/>
        <v>公共配套设施</v>
      </c>
      <c r="R27" s="699" t="s">
        <v>14</v>
      </c>
      <c r="S27" s="700">
        <f>F27</f>
        <v>100</v>
      </c>
      <c r="T27" s="699" t="s">
        <v>14</v>
      </c>
      <c r="U27" s="700">
        <f>H27</f>
        <v>100</v>
      </c>
      <c r="V27" s="699" t="s">
        <v>14</v>
      </c>
      <c r="W27" s="700">
        <f>J27</f>
        <v>100</v>
      </c>
      <c r="X27" s="701"/>
      <c r="Y27" s="380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806"/>
      <c r="Q28" s="1341"/>
      <c r="R28" s="699"/>
      <c r="S28" s="700"/>
      <c r="T28" s="699"/>
      <c r="U28" s="700"/>
      <c r="V28" s="699"/>
      <c r="W28" s="700"/>
      <c r="X28" s="701"/>
      <c r="Y28" s="3806"/>
      <c r="Z28" s="52"/>
      <c r="AA28" s="1351">
        <v>1</v>
      </c>
      <c r="AB28" s="1351">
        <v>1</v>
      </c>
      <c r="AC28" s="1351">
        <v>1</v>
      </c>
    </row>
    <row r="29" spans="1:29" s="108" customFormat="1" ht="42.75">
      <c r="A29" s="597"/>
      <c r="B29" s="1129" t="s">
        <v>1777</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806"/>
      <c r="Q29" s="1341" t="str">
        <f t="shared" ref="Q29" si="9">B29</f>
        <v>基础设施水平</v>
      </c>
      <c r="R29" s="699" t="s">
        <v>14</v>
      </c>
      <c r="S29" s="700">
        <f>F29</f>
        <v>100</v>
      </c>
      <c r="T29" s="699" t="s">
        <v>14</v>
      </c>
      <c r="U29" s="700">
        <f>H29</f>
        <v>100</v>
      </c>
      <c r="V29" s="699" t="s">
        <v>14</v>
      </c>
      <c r="W29" s="700">
        <f>J29</f>
        <v>100</v>
      </c>
      <c r="X29" s="701"/>
      <c r="Y29" s="380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806"/>
      <c r="Q30" s="1341"/>
      <c r="R30" s="699"/>
      <c r="S30" s="700"/>
      <c r="T30" s="699"/>
      <c r="U30" s="700"/>
      <c r="V30" s="699"/>
      <c r="W30" s="700"/>
      <c r="X30" s="701"/>
      <c r="Y30" s="3806"/>
      <c r="Z30" s="52"/>
      <c r="AA30" s="1351">
        <v>1</v>
      </c>
      <c r="AB30" s="1351">
        <v>1</v>
      </c>
      <c r="AC30" s="1351">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80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806"/>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806"/>
      <c r="Q32" s="1350" t="str">
        <f t="shared" si="8"/>
        <v>毗邻道路的类型与等级</v>
      </c>
      <c r="R32" s="703" t="s">
        <v>14</v>
      </c>
      <c r="S32" s="704">
        <f t="shared" si="10"/>
        <v>100</v>
      </c>
      <c r="T32" s="703" t="s">
        <v>14</v>
      </c>
      <c r="U32" s="704">
        <f t="shared" si="11"/>
        <v>100</v>
      </c>
      <c r="V32" s="703" t="s">
        <v>14</v>
      </c>
      <c r="W32" s="704">
        <f t="shared" si="12"/>
        <v>100</v>
      </c>
      <c r="X32" s="1353"/>
      <c r="Y32" s="380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806"/>
      <c r="Q33" s="1350"/>
      <c r="R33" s="703"/>
      <c r="S33" s="704"/>
      <c r="T33" s="703"/>
      <c r="U33" s="704"/>
      <c r="V33" s="703"/>
      <c r="W33" s="704"/>
      <c r="X33" s="1353"/>
      <c r="Y33" s="3806"/>
      <c r="Z33" s="1354"/>
      <c r="AA33" s="1351">
        <v>1</v>
      </c>
      <c r="AB33" s="1351">
        <v>1</v>
      </c>
      <c r="AC33" s="1351">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806"/>
      <c r="Q34" s="1350" t="str">
        <f t="shared" si="8"/>
        <v>土地级别</v>
      </c>
      <c r="R34" s="703" t="s">
        <v>14</v>
      </c>
      <c r="S34" s="704">
        <f t="shared" si="10"/>
        <v>100</v>
      </c>
      <c r="T34" s="703" t="s">
        <v>14</v>
      </c>
      <c r="U34" s="704">
        <f t="shared" si="11"/>
        <v>100</v>
      </c>
      <c r="V34" s="703" t="s">
        <v>14</v>
      </c>
      <c r="W34" s="704">
        <f t="shared" si="12"/>
        <v>100</v>
      </c>
      <c r="X34" s="1353"/>
      <c r="Y34" s="380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806"/>
      <c r="Q35" s="1350">
        <f t="shared" si="8"/>
        <v>111</v>
      </c>
      <c r="R35" s="703" t="s">
        <v>14</v>
      </c>
      <c r="S35" s="704">
        <f t="shared" si="10"/>
        <v>100</v>
      </c>
      <c r="T35" s="703" t="s">
        <v>14</v>
      </c>
      <c r="U35" s="704">
        <f t="shared" si="11"/>
        <v>100</v>
      </c>
      <c r="V35" s="703" t="s">
        <v>14</v>
      </c>
      <c r="W35" s="704">
        <f t="shared" si="12"/>
        <v>100</v>
      </c>
      <c r="X35" s="1353"/>
      <c r="Y35" s="380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921" t="s">
        <v>1694</v>
      </c>
      <c r="Q36" s="1350">
        <f t="shared" si="8"/>
        <v>111</v>
      </c>
      <c r="R36" s="703" t="s">
        <v>14</v>
      </c>
      <c r="S36" s="704">
        <f t="shared" si="10"/>
        <v>100</v>
      </c>
      <c r="T36" s="703" t="s">
        <v>14</v>
      </c>
      <c r="U36" s="704">
        <f t="shared" si="11"/>
        <v>100</v>
      </c>
      <c r="V36" s="703" t="s">
        <v>14</v>
      </c>
      <c r="W36" s="704">
        <f t="shared" si="12"/>
        <v>100</v>
      </c>
      <c r="X36" s="1353"/>
      <c r="Y36" s="3810" t="s">
        <v>1694</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810"/>
      <c r="Q37" s="1350">
        <f t="shared" si="8"/>
        <v>111</v>
      </c>
      <c r="R37" s="706" t="s">
        <v>14</v>
      </c>
      <c r="S37" s="707">
        <f t="shared" si="10"/>
        <v>100</v>
      </c>
      <c r="T37" s="706" t="s">
        <v>14</v>
      </c>
      <c r="U37" s="707">
        <f t="shared" si="11"/>
        <v>100</v>
      </c>
      <c r="V37" s="706" t="s">
        <v>14</v>
      </c>
      <c r="W37" s="707">
        <f t="shared" si="12"/>
        <v>100</v>
      </c>
      <c r="X37" s="708"/>
      <c r="Y37" s="3810"/>
      <c r="Z37" s="709">
        <f t="shared" si="13"/>
        <v>111</v>
      </c>
      <c r="AA37" s="1351">
        <f t="shared" si="3"/>
        <v>1</v>
      </c>
      <c r="AB37" s="1351">
        <f t="shared" si="4"/>
        <v>1</v>
      </c>
      <c r="AC37" s="1351">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810"/>
      <c r="Q38" s="1350" t="str">
        <f>B38</f>
        <v>宗地面积</v>
      </c>
      <c r="R38" s="703" t="s">
        <v>14</v>
      </c>
      <c r="S38" s="704" t="e">
        <f t="shared" si="10"/>
        <v>#N/A</v>
      </c>
      <c r="T38" s="703" t="s">
        <v>14</v>
      </c>
      <c r="U38" s="704" t="e">
        <f t="shared" si="11"/>
        <v>#N/A</v>
      </c>
      <c r="V38" s="703" t="s">
        <v>14</v>
      </c>
      <c r="W38" s="704" t="e">
        <f t="shared" si="12"/>
        <v>#N/A</v>
      </c>
      <c r="X38" s="1353"/>
      <c r="Y38" s="3810"/>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810"/>
      <c r="Q39" s="1350" t="str">
        <f t="shared" ref="Q39:Q45" si="14">B39</f>
        <v>宗地形状</v>
      </c>
      <c r="R39" s="703" t="s">
        <v>14</v>
      </c>
      <c r="S39" s="704">
        <f t="shared" si="10"/>
        <v>100</v>
      </c>
      <c r="T39" s="703" t="s">
        <v>14</v>
      </c>
      <c r="U39" s="704">
        <f t="shared" si="11"/>
        <v>100</v>
      </c>
      <c r="V39" s="703" t="s">
        <v>14</v>
      </c>
      <c r="W39" s="704">
        <f t="shared" si="12"/>
        <v>100</v>
      </c>
      <c r="X39" s="1353"/>
      <c r="Y39" s="3810"/>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810"/>
      <c r="Q40" s="1350" t="str">
        <f t="shared" si="14"/>
        <v>临街宽度及深度</v>
      </c>
      <c r="R40" s="703" t="s">
        <v>14</v>
      </c>
      <c r="S40" s="704">
        <f t="shared" si="10"/>
        <v>100</v>
      </c>
      <c r="T40" s="703" t="s">
        <v>14</v>
      </c>
      <c r="U40" s="704">
        <f t="shared" si="11"/>
        <v>100</v>
      </c>
      <c r="V40" s="703" t="s">
        <v>14</v>
      </c>
      <c r="W40" s="704">
        <f t="shared" si="12"/>
        <v>100</v>
      </c>
      <c r="X40" s="1353"/>
      <c r="Y40" s="3810"/>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810"/>
      <c r="Q41" s="1350" t="str">
        <f t="shared" si="14"/>
        <v>宗地开发程度</v>
      </c>
      <c r="R41" s="699" t="s">
        <v>14</v>
      </c>
      <c r="S41" s="700">
        <f t="shared" si="10"/>
        <v>100</v>
      </c>
      <c r="T41" s="699" t="s">
        <v>14</v>
      </c>
      <c r="U41" s="700">
        <f t="shared" si="11"/>
        <v>100</v>
      </c>
      <c r="V41" s="699" t="s">
        <v>14</v>
      </c>
      <c r="W41" s="700">
        <f t="shared" si="12"/>
        <v>100</v>
      </c>
      <c r="X41" s="701"/>
      <c r="Y41" s="3810"/>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810" t="s">
        <v>1694</v>
      </c>
      <c r="Q42" s="1350" t="str">
        <f t="shared" si="14"/>
        <v>工程地质条件</v>
      </c>
      <c r="R42" s="703" t="s">
        <v>14</v>
      </c>
      <c r="S42" s="704">
        <f t="shared" si="10"/>
        <v>100</v>
      </c>
      <c r="T42" s="703" t="s">
        <v>14</v>
      </c>
      <c r="U42" s="704">
        <f t="shared" si="11"/>
        <v>100</v>
      </c>
      <c r="V42" s="703" t="s">
        <v>14</v>
      </c>
      <c r="W42" s="704">
        <f t="shared" si="12"/>
        <v>100</v>
      </c>
      <c r="X42" s="1353"/>
      <c r="Y42" s="3810" t="s">
        <v>1694</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810"/>
      <c r="Q43" s="1350">
        <f t="shared" si="14"/>
        <v>111</v>
      </c>
      <c r="R43" s="703" t="s">
        <v>14</v>
      </c>
      <c r="S43" s="704">
        <f t="shared" si="10"/>
        <v>100</v>
      </c>
      <c r="T43" s="703" t="s">
        <v>14</v>
      </c>
      <c r="U43" s="704">
        <f t="shared" si="11"/>
        <v>100</v>
      </c>
      <c r="V43" s="703" t="s">
        <v>14</v>
      </c>
      <c r="W43" s="704">
        <f t="shared" si="12"/>
        <v>100</v>
      </c>
      <c r="X43" s="1353"/>
      <c r="Y43" s="381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810"/>
      <c r="Q44" s="1350">
        <f t="shared" si="14"/>
        <v>111</v>
      </c>
      <c r="R44" s="703" t="s">
        <v>14</v>
      </c>
      <c r="S44" s="704">
        <f t="shared" si="10"/>
        <v>100</v>
      </c>
      <c r="T44" s="703" t="s">
        <v>14</v>
      </c>
      <c r="U44" s="704">
        <f t="shared" si="11"/>
        <v>100</v>
      </c>
      <c r="V44" s="703" t="s">
        <v>14</v>
      </c>
      <c r="W44" s="704">
        <f t="shared" si="12"/>
        <v>100</v>
      </c>
      <c r="X44" s="1353"/>
      <c r="Y44" s="381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810"/>
      <c r="Q45" s="1350">
        <f t="shared" si="14"/>
        <v>111</v>
      </c>
      <c r="R45" s="706" t="s">
        <v>14</v>
      </c>
      <c r="S45" s="707">
        <f t="shared" si="10"/>
        <v>100</v>
      </c>
      <c r="T45" s="706" t="s">
        <v>14</v>
      </c>
      <c r="U45" s="707">
        <f t="shared" si="11"/>
        <v>100</v>
      </c>
      <c r="V45" s="706" t="s">
        <v>14</v>
      </c>
      <c r="W45" s="707">
        <f t="shared" si="12"/>
        <v>100</v>
      </c>
      <c r="X45" s="708"/>
      <c r="Y45" s="3810"/>
      <c r="Z45" s="709">
        <f t="shared" si="13"/>
        <v>111</v>
      </c>
      <c r="AA45" s="1351">
        <f t="shared" si="3"/>
        <v>1</v>
      </c>
      <c r="AB45" s="1351">
        <f t="shared" si="4"/>
        <v>1</v>
      </c>
      <c r="AC45" s="1351">
        <f t="shared" si="5"/>
        <v>1</v>
      </c>
    </row>
    <row r="46" spans="1:29" ht="15">
      <c r="A46" s="430" t="s">
        <v>1842</v>
      </c>
      <c r="B46" s="1980" t="s">
        <v>1877</v>
      </c>
      <c r="C46" s="630" t="s">
        <v>0</v>
      </c>
      <c r="D46" s="432"/>
      <c r="E46" s="433"/>
      <c r="F46" s="434"/>
      <c r="G46" s="435"/>
      <c r="H46" s="436"/>
      <c r="I46" s="433"/>
      <c r="J46" s="436"/>
      <c r="K46" s="712"/>
      <c r="L46" s="2717"/>
      <c r="M46" s="2718"/>
      <c r="N46" s="2709"/>
      <c r="O46" s="2718"/>
      <c r="P46" s="3803" t="str">
        <f>A46</f>
        <v>成交单价</v>
      </c>
      <c r="Q46" s="3803"/>
      <c r="R46" s="3834">
        <f>E46</f>
        <v>0</v>
      </c>
      <c r="S46" s="3834"/>
      <c r="T46" s="3834">
        <f>G46</f>
        <v>0</v>
      </c>
      <c r="U46" s="3834"/>
      <c r="V46" s="3834">
        <f>I46</f>
        <v>0</v>
      </c>
      <c r="W46" s="3834"/>
      <c r="X46" s="688"/>
      <c r="Y46" s="710"/>
      <c r="Z46" s="688"/>
      <c r="AA46" s="688"/>
      <c r="AB46" s="688"/>
      <c r="AC46" s="688"/>
    </row>
    <row r="47" spans="1:29" ht="15.75" thickBot="1">
      <c r="A47" s="437" t="s">
        <v>1791</v>
      </c>
      <c r="B47" s="631"/>
      <c r="C47" s="440" t="e">
        <f>R48</f>
        <v>#DIV/0!</v>
      </c>
      <c r="D47" s="2315" t="s">
        <v>2134</v>
      </c>
      <c r="E47" s="440" t="e">
        <f>R47</f>
        <v>#DIV/0!</v>
      </c>
      <c r="F47" s="2316"/>
      <c r="G47" s="439" t="e">
        <f>T47</f>
        <v>#DIV/0!</v>
      </c>
      <c r="H47" s="2316"/>
      <c r="I47" s="440" t="e">
        <f>V47</f>
        <v>#DIV/0!</v>
      </c>
      <c r="J47" s="2316"/>
      <c r="K47" s="2318">
        <f>F47+H47+J47</f>
        <v>0</v>
      </c>
      <c r="L47" s="2717"/>
      <c r="M47" s="2718"/>
      <c r="N47" s="2718"/>
      <c r="O47" s="2718"/>
      <c r="P47" s="3803" t="str">
        <f>A47</f>
        <v>比较价值（元/平方米）</v>
      </c>
      <c r="Q47" s="3803"/>
      <c r="R47" s="3923" t="e">
        <f>ROUND(PRODUCT(R46,AA7:AA45),0)</f>
        <v>#DIV/0!</v>
      </c>
      <c r="S47" s="3923"/>
      <c r="T47" s="3923" t="e">
        <f>ROUND(PRODUCT(T46,AB7:AB45),0)</f>
        <v>#DIV/0!</v>
      </c>
      <c r="U47" s="3923"/>
      <c r="V47" s="3923" t="e">
        <f>ROUND(PRODUCT(V46,AC7:AC45),0)</f>
        <v>#DIV/0!</v>
      </c>
      <c r="W47" s="3923"/>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7"/>
      <c r="M48" s="2718"/>
      <c r="N48" s="2718"/>
      <c r="O48" s="2718"/>
      <c r="P48" s="3800" t="str">
        <f>A48</f>
        <v>估价对象XX用房的比较价值（楼面单价，元/平方米）</v>
      </c>
      <c r="Q48" s="3801"/>
      <c r="R48" s="3924" t="e">
        <f>ROUND(IF(D47="简单平均",AVERAGE(R47:W47),R47*F47+T47*H47+V47*J47),0)</f>
        <v>#DIV/0!</v>
      </c>
      <c r="S48" s="3924"/>
      <c r="T48" s="3924"/>
      <c r="U48" s="3924"/>
      <c r="V48" s="3924"/>
      <c r="W48" s="3924"/>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81" t="s">
        <v>1881</v>
      </c>
      <c r="D55" s="1982" t="s">
        <v>1882</v>
      </c>
      <c r="E55" s="634" t="s">
        <v>1883</v>
      </c>
      <c r="F55" s="888" t="s">
        <v>1884</v>
      </c>
      <c r="G55" s="3818" t="s">
        <v>1885</v>
      </c>
      <c r="H55" s="3925"/>
      <c r="I55" s="135" t="s">
        <v>1886</v>
      </c>
      <c r="J55" s="1983">
        <f>项目基本情况!F35</f>
        <v>0</v>
      </c>
      <c r="K55" s="1984"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2">
        <v>1</v>
      </c>
      <c r="E56" s="638">
        <f>'数据-汇总表'!E8+'数据-汇总表'!E9</f>
        <v>466.83</v>
      </c>
      <c r="F56" s="884" t="e">
        <f t="shared" ref="F56:F64" si="15">ROUND(B56*E56/10000,0)</f>
        <v>#DIV/0!</v>
      </c>
      <c r="G56" s="3814"/>
      <c r="H56" s="3803"/>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3">
        <v>0.25</v>
      </c>
      <c r="E57" s="642"/>
      <c r="F57" s="884" t="e">
        <f t="shared" si="15"/>
        <v>#DIV/0!</v>
      </c>
      <c r="G57" s="2999" t="s">
        <v>1890</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0.3</v>
      </c>
      <c r="D60" s="943">
        <v>0.25</v>
      </c>
      <c r="E60" s="217">
        <f>'数据-汇总表'!E11</f>
        <v>0</v>
      </c>
      <c r="F60" s="884" t="e">
        <f t="shared" si="15"/>
        <v>#DIV/0!</v>
      </c>
      <c r="G60" s="1985" t="s">
        <v>1894</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0.3</v>
      </c>
      <c r="D61" s="943">
        <v>0.25</v>
      </c>
      <c r="E61" s="217">
        <f>'数据-汇总表'!E12</f>
        <v>0</v>
      </c>
      <c r="F61" s="884" t="e">
        <f t="shared" si="15"/>
        <v>#DIV/0!</v>
      </c>
      <c r="G61" s="890" t="s">
        <v>1896</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3">
        <v>0.25</v>
      </c>
      <c r="E63" s="217">
        <f>'数据-汇总表'!E14</f>
        <v>0</v>
      </c>
      <c r="F63" s="884" t="e">
        <f t="shared" si="15"/>
        <v>#DIV/0!</v>
      </c>
      <c r="G63" s="1985" t="s">
        <v>1890</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0.2</v>
      </c>
      <c r="D64" s="943">
        <v>0.25</v>
      </c>
      <c r="E64" s="217">
        <f>'数据-汇总表'!E15</f>
        <v>0</v>
      </c>
      <c r="F64" s="884" t="e">
        <f t="shared" si="15"/>
        <v>#DIV/0!</v>
      </c>
      <c r="G64" s="1986" t="s">
        <v>1894</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466.83</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2023-2-1</v>
      </c>
      <c r="D67" s="690">
        <f>EDATE(C67,-3)</f>
        <v>44866</v>
      </c>
      <c r="E67" s="690">
        <f>EDATE(D67,-3)</f>
        <v>44774</v>
      </c>
      <c r="F67" s="690">
        <f t="shared" ref="F67:O67" si="18">EDATE(E67,-3)</f>
        <v>44682</v>
      </c>
      <c r="G67" s="690">
        <f t="shared" si="18"/>
        <v>44593</v>
      </c>
      <c r="H67" s="690">
        <f t="shared" si="18"/>
        <v>44501</v>
      </c>
      <c r="I67" s="690">
        <f t="shared" si="18"/>
        <v>44409</v>
      </c>
      <c r="J67" s="690">
        <f t="shared" si="18"/>
        <v>44317</v>
      </c>
      <c r="K67" s="690">
        <f t="shared" si="18"/>
        <v>44228</v>
      </c>
      <c r="L67" s="690">
        <f t="shared" si="18"/>
        <v>44136</v>
      </c>
      <c r="M67" s="690">
        <f t="shared" si="18"/>
        <v>44044</v>
      </c>
      <c r="N67" s="690">
        <f t="shared" si="18"/>
        <v>43952</v>
      </c>
      <c r="O67" s="690">
        <f t="shared" si="18"/>
        <v>43862</v>
      </c>
      <c r="P67" s="2718"/>
      <c r="Q67" s="2718"/>
      <c r="R67" s="2718"/>
      <c r="S67" s="2718"/>
      <c r="T67" s="2718"/>
      <c r="U67" s="2718"/>
      <c r="V67" s="2718"/>
      <c r="W67" s="2718"/>
      <c r="X67" s="2718"/>
      <c r="Y67" s="2718"/>
      <c r="Z67" s="2718"/>
      <c r="AA67" s="2718"/>
      <c r="AB67" s="2718"/>
      <c r="AC67" s="2718"/>
    </row>
    <row r="68" spans="1:29" ht="21.75" thickBot="1">
      <c r="A68" s="692" t="s">
        <v>1796</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1902</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7" priority="18" stopIfTrue="1" operator="containsText" text="超过">
      <formula>NOT(ISERROR(SEARCH("超过",F51)))</formula>
    </cfRule>
  </conditionalFormatting>
  <conditionalFormatting sqref="J53">
    <cfRule type="containsText" dxfId="66" priority="17" stopIfTrue="1" operator="containsText" text="超过">
      <formula>NOT(ISERROR(SEARCH("超过",J53)))</formula>
    </cfRule>
  </conditionalFormatting>
  <conditionalFormatting sqref="H53">
    <cfRule type="containsText" dxfId="65" priority="16" stopIfTrue="1" operator="containsText" text="超过">
      <formula>NOT(ISERROR(SEARCH("超过",H53)))</formula>
    </cfRule>
  </conditionalFormatting>
  <conditionalFormatting sqref="F53">
    <cfRule type="containsText" dxfId="64" priority="15" stopIfTrue="1" operator="containsText" text="超过">
      <formula>NOT(ISERROR(SEARCH("超过",F53)))</formula>
    </cfRule>
  </conditionalFormatting>
  <conditionalFormatting sqref="F52 H52 J52">
    <cfRule type="containsText" dxfId="63" priority="14" stopIfTrue="1" operator="containsText" text="超过">
      <formula>NOT(ISERROR(SEARCH("超过",F52)))</formula>
    </cfRule>
  </conditionalFormatting>
  <conditionalFormatting sqref="E51">
    <cfRule type="expression" dxfId="62" priority="13" stopIfTrue="1">
      <formula>$F$51="超过30%"</formula>
    </cfRule>
  </conditionalFormatting>
  <conditionalFormatting sqref="G53">
    <cfRule type="expression" dxfId="61" priority="12" stopIfTrue="1">
      <formula>$H$53="超过30%"</formula>
    </cfRule>
  </conditionalFormatting>
  <conditionalFormatting sqref="E52">
    <cfRule type="expression" dxfId="60" priority="11" stopIfTrue="1">
      <formula>$F$52="超过20%"</formula>
    </cfRule>
  </conditionalFormatting>
  <conditionalFormatting sqref="E53">
    <cfRule type="expression" dxfId="59" priority="10" stopIfTrue="1">
      <formula>$F$53="超过30%"</formula>
    </cfRule>
  </conditionalFormatting>
  <conditionalFormatting sqref="G51">
    <cfRule type="expression" dxfId="58" priority="9" stopIfTrue="1">
      <formula>$H$53+$H$51="超过30%"</formula>
    </cfRule>
  </conditionalFormatting>
  <conditionalFormatting sqref="G52">
    <cfRule type="expression" dxfId="57" priority="8" stopIfTrue="1">
      <formula>$H$52="超过20%"</formula>
    </cfRule>
  </conditionalFormatting>
  <conditionalFormatting sqref="I51">
    <cfRule type="expression" dxfId="56" priority="7" stopIfTrue="1">
      <formula>$J$51="超过30%"</formula>
    </cfRule>
  </conditionalFormatting>
  <conditionalFormatting sqref="I52">
    <cfRule type="expression" dxfId="55" priority="6" stopIfTrue="1">
      <formula>$J$52="超过20%"</formula>
    </cfRule>
  </conditionalFormatting>
  <conditionalFormatting sqref="I53">
    <cfRule type="expression" dxfId="54" priority="5" stopIfTrue="1">
      <formula>$J$53="超过30%"</formula>
    </cfRule>
  </conditionalFormatting>
  <conditionalFormatting sqref="F47">
    <cfRule type="expression" dxfId="53" priority="4">
      <formula>$D$47="简单平均"</formula>
    </cfRule>
  </conditionalFormatting>
  <conditionalFormatting sqref="H47">
    <cfRule type="expression" dxfId="52" priority="3">
      <formula>$D$47="简单平均"</formula>
    </cfRule>
  </conditionalFormatting>
  <conditionalFormatting sqref="J47">
    <cfRule type="expression" dxfId="51" priority="2">
      <formula>$D$47="简单平均"</formula>
    </cfRule>
  </conditionalFormatting>
  <conditionalFormatting sqref="F7:F45 H7:H45 J7:J45">
    <cfRule type="cellIs" dxfId="5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1767</v>
      </c>
      <c r="B4" s="356"/>
      <c r="C4" s="3818" t="s">
        <v>1768</v>
      </c>
      <c r="D4" s="3819"/>
      <c r="E4" s="3820" t="s">
        <v>1769</v>
      </c>
      <c r="F4" s="3821"/>
      <c r="G4" s="3818" t="s">
        <v>1770</v>
      </c>
      <c r="H4" s="3819"/>
      <c r="I4" s="3818" t="s">
        <v>1771</v>
      </c>
      <c r="J4" s="3819"/>
      <c r="K4" s="559" t="s">
        <v>1772</v>
      </c>
      <c r="L4" s="2708"/>
      <c r="M4" s="2709"/>
      <c r="N4" s="2709"/>
      <c r="O4" s="2709"/>
      <c r="P4" s="3822" t="s">
        <v>1773</v>
      </c>
      <c r="Q4" s="3823"/>
      <c r="R4" s="3828" t="s">
        <v>1769</v>
      </c>
      <c r="S4" s="3829"/>
      <c r="T4" s="3828" t="s">
        <v>1770</v>
      </c>
      <c r="U4" s="3829"/>
      <c r="V4" s="3834" t="s">
        <v>1771</v>
      </c>
      <c r="W4" s="3834"/>
      <c r="X4" s="1353"/>
      <c r="Y4" s="3828" t="s">
        <v>1773</v>
      </c>
      <c r="Z4" s="3829"/>
      <c r="AA4" s="3815" t="s">
        <v>1769</v>
      </c>
      <c r="AB4" s="3816" t="s">
        <v>1770</v>
      </c>
      <c r="AC4" s="3815" t="s">
        <v>1771</v>
      </c>
    </row>
    <row r="5" spans="1:29" ht="15">
      <c r="A5" s="358"/>
      <c r="B5" s="359"/>
      <c r="C5" s="3837" t="s">
        <v>1671</v>
      </c>
      <c r="D5" s="3838"/>
      <c r="E5" s="3844" t="s">
        <v>1672</v>
      </c>
      <c r="F5" s="3845"/>
      <c r="G5" s="3837" t="s">
        <v>1673</v>
      </c>
      <c r="H5" s="3838"/>
      <c r="I5" s="3837" t="s">
        <v>1674</v>
      </c>
      <c r="J5" s="3838"/>
      <c r="K5" s="559"/>
      <c r="L5" s="2708"/>
      <c r="M5" s="2709"/>
      <c r="N5" s="2709"/>
      <c r="O5" s="2709"/>
      <c r="P5" s="3824"/>
      <c r="Q5" s="3825"/>
      <c r="R5" s="3830"/>
      <c r="S5" s="3831"/>
      <c r="T5" s="3830"/>
      <c r="U5" s="3831"/>
      <c r="V5" s="3834"/>
      <c r="W5" s="3834"/>
      <c r="X5" s="1353"/>
      <c r="Y5" s="3830"/>
      <c r="Z5" s="3831"/>
      <c r="AA5" s="3816"/>
      <c r="AB5" s="3816"/>
      <c r="AC5" s="3816"/>
    </row>
    <row r="6" spans="1:29" ht="15.75" thickBot="1">
      <c r="A6" s="360"/>
      <c r="B6" s="361"/>
      <c r="C6" s="3926" t="s">
        <v>1917</v>
      </c>
      <c r="D6" s="3927"/>
      <c r="E6" s="3928" t="s">
        <v>1917</v>
      </c>
      <c r="F6" s="3929"/>
      <c r="G6" s="3926" t="s">
        <v>1917</v>
      </c>
      <c r="H6" s="3927"/>
      <c r="I6" s="3926" t="s">
        <v>1917</v>
      </c>
      <c r="J6" s="3927"/>
      <c r="K6" s="559" t="s">
        <v>1676</v>
      </c>
      <c r="L6" s="2708"/>
      <c r="M6" s="2709"/>
      <c r="N6" s="2709"/>
      <c r="O6" s="2709"/>
      <c r="P6" s="3826"/>
      <c r="Q6" s="3827"/>
      <c r="R6" s="3830"/>
      <c r="S6" s="3831"/>
      <c r="T6" s="3832"/>
      <c r="U6" s="3833"/>
      <c r="V6" s="3834"/>
      <c r="W6" s="3834"/>
      <c r="X6" s="1353"/>
      <c r="Y6" s="3832"/>
      <c r="Z6" s="3833"/>
      <c r="AA6" s="3817"/>
      <c r="AB6" s="3817"/>
      <c r="AC6" s="3817"/>
    </row>
    <row r="7" spans="1:29" s="108" customFormat="1" ht="15.75" thickBot="1">
      <c r="A7" s="362" t="s">
        <v>1677</v>
      </c>
      <c r="B7" s="363"/>
      <c r="C7" s="364">
        <f>'数据-取费表'!B2</f>
        <v>44971</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839" t="s">
        <v>1678</v>
      </c>
      <c r="Q7" s="3841"/>
      <c r="R7" s="699" t="s">
        <v>14</v>
      </c>
      <c r="S7" s="700">
        <f t="shared" ref="S7:S15" si="0">F7</f>
        <v>0</v>
      </c>
      <c r="T7" s="699" t="s">
        <v>14</v>
      </c>
      <c r="U7" s="700">
        <f t="shared" ref="U7:U15" si="1">H7</f>
        <v>0</v>
      </c>
      <c r="V7" s="699" t="s">
        <v>14</v>
      </c>
      <c r="W7" s="700">
        <f t="shared" ref="W7:W15" si="2">J7</f>
        <v>0</v>
      </c>
      <c r="X7" s="701"/>
      <c r="Y7" s="3839" t="s">
        <v>1678</v>
      </c>
      <c r="Z7" s="3840"/>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839" t="s">
        <v>1681</v>
      </c>
      <c r="Q8" s="3840"/>
      <c r="R8" s="699" t="s">
        <v>14</v>
      </c>
      <c r="S8" s="700">
        <f t="shared" si="0"/>
        <v>0</v>
      </c>
      <c r="T8" s="699" t="s">
        <v>14</v>
      </c>
      <c r="U8" s="700">
        <f t="shared" si="1"/>
        <v>0</v>
      </c>
      <c r="V8" s="699" t="s">
        <v>14</v>
      </c>
      <c r="W8" s="700">
        <f t="shared" si="2"/>
        <v>0</v>
      </c>
      <c r="X8" s="701"/>
      <c r="Y8" s="3839" t="s">
        <v>1681</v>
      </c>
      <c r="Z8" s="3840"/>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803" t="s">
        <v>1684</v>
      </c>
      <c r="Q9" s="1341" t="str">
        <f t="shared" ref="Q9:Q15" si="6">B9</f>
        <v>用途</v>
      </c>
      <c r="R9" s="699" t="s">
        <v>14</v>
      </c>
      <c r="S9" s="700">
        <f t="shared" si="0"/>
        <v>100</v>
      </c>
      <c r="T9" s="699" t="s">
        <v>14</v>
      </c>
      <c r="U9" s="700">
        <f t="shared" si="1"/>
        <v>100</v>
      </c>
      <c r="V9" s="699" t="s">
        <v>14</v>
      </c>
      <c r="W9" s="700">
        <f t="shared" si="2"/>
        <v>100</v>
      </c>
      <c r="X9" s="701"/>
      <c r="Y9" s="3679"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t="e">
        <f>ROUND(100/'数据-取费表'!G16,0)</f>
        <v>#DIV/0!</v>
      </c>
      <c r="G10" s="383"/>
      <c r="H10" s="127" t="e">
        <f>ROUND(100/'数据-取费表'!G16,0)</f>
        <v>#DIV/0!</v>
      </c>
      <c r="I10" s="383"/>
      <c r="J10" s="127" t="e">
        <f>ROUND(100/'数据-取费表'!G16,0)</f>
        <v>#DIV/0!</v>
      </c>
      <c r="K10" s="620"/>
      <c r="L10" s="2712"/>
      <c r="M10" s="2713"/>
      <c r="N10" s="2713"/>
      <c r="O10" s="2766"/>
      <c r="P10" s="3803"/>
      <c r="Q10" s="1341" t="str">
        <f t="shared" si="6"/>
        <v>土地使用年限（年）</v>
      </c>
      <c r="R10" s="699" t="s">
        <v>14</v>
      </c>
      <c r="S10" s="700" t="e">
        <f t="shared" si="0"/>
        <v>#DIV/0!</v>
      </c>
      <c r="T10" s="699" t="s">
        <v>14</v>
      </c>
      <c r="U10" s="700" t="e">
        <f t="shared" si="1"/>
        <v>#DIV/0!</v>
      </c>
      <c r="V10" s="699" t="s">
        <v>14</v>
      </c>
      <c r="W10" s="700" t="e">
        <f t="shared" si="2"/>
        <v>#DIV/0!</v>
      </c>
      <c r="X10" s="701"/>
      <c r="Y10" s="3679"/>
      <c r="Z10" s="52" t="str">
        <f t="shared" si="7"/>
        <v>土地使用年限（年）</v>
      </c>
      <c r="AA10" s="702" t="e">
        <f t="shared" si="3"/>
        <v>#DIV/0!</v>
      </c>
      <c r="AB10" s="702" t="e">
        <f t="shared" si="4"/>
        <v>#DIV/0!</v>
      </c>
      <c r="AC10" s="702" t="e">
        <f t="shared" si="5"/>
        <v>#DIV/0!</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803"/>
      <c r="Q11" s="1341" t="str">
        <f t="shared" si="6"/>
        <v>容积率</v>
      </c>
      <c r="R11" s="699" t="s">
        <v>14</v>
      </c>
      <c r="S11" s="700" t="e">
        <f t="shared" si="0"/>
        <v>#N/A</v>
      </c>
      <c r="T11" s="699" t="s">
        <v>14</v>
      </c>
      <c r="U11" s="700" t="e">
        <f t="shared" si="1"/>
        <v>#N/A</v>
      </c>
      <c r="V11" s="699" t="s">
        <v>14</v>
      </c>
      <c r="W11" s="700" t="e">
        <f t="shared" si="2"/>
        <v>#N/A</v>
      </c>
      <c r="X11" s="701"/>
      <c r="Y11" s="367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803"/>
      <c r="Q12" s="1341">
        <f t="shared" si="6"/>
        <v>111</v>
      </c>
      <c r="R12" s="699" t="s">
        <v>14</v>
      </c>
      <c r="S12" s="700">
        <f t="shared" si="0"/>
        <v>100</v>
      </c>
      <c r="T12" s="699" t="s">
        <v>14</v>
      </c>
      <c r="U12" s="700">
        <f t="shared" si="1"/>
        <v>100</v>
      </c>
      <c r="V12" s="699" t="s">
        <v>14</v>
      </c>
      <c r="W12" s="700">
        <f t="shared" si="2"/>
        <v>100</v>
      </c>
      <c r="X12" s="701"/>
      <c r="Y12" s="367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803"/>
      <c r="Q13" s="1341">
        <f t="shared" si="6"/>
        <v>111</v>
      </c>
      <c r="R13" s="699" t="s">
        <v>14</v>
      </c>
      <c r="S13" s="700">
        <f t="shared" si="0"/>
        <v>100</v>
      </c>
      <c r="T13" s="699" t="s">
        <v>14</v>
      </c>
      <c r="U13" s="700">
        <f t="shared" si="1"/>
        <v>100</v>
      </c>
      <c r="V13" s="699" t="s">
        <v>14</v>
      </c>
      <c r="W13" s="700">
        <f t="shared" si="2"/>
        <v>100</v>
      </c>
      <c r="X13" s="701"/>
      <c r="Y13" s="367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803"/>
      <c r="Q14" s="1341">
        <f t="shared" si="6"/>
        <v>111</v>
      </c>
      <c r="R14" s="699" t="s">
        <v>14</v>
      </c>
      <c r="S14" s="700">
        <f t="shared" si="0"/>
        <v>100</v>
      </c>
      <c r="T14" s="699" t="s">
        <v>14</v>
      </c>
      <c r="U14" s="700">
        <f t="shared" si="1"/>
        <v>100</v>
      </c>
      <c r="V14" s="699" t="s">
        <v>14</v>
      </c>
      <c r="W14" s="700">
        <f t="shared" si="2"/>
        <v>100</v>
      </c>
      <c r="X14" s="701"/>
      <c r="Y14" s="3679"/>
      <c r="Z14" s="52">
        <f t="shared" si="7"/>
        <v>111</v>
      </c>
      <c r="AA14" s="702">
        <f t="shared" si="3"/>
        <v>1</v>
      </c>
      <c r="AB14" s="702">
        <f t="shared" si="4"/>
        <v>1</v>
      </c>
      <c r="AC14" s="702">
        <f t="shared" si="5"/>
        <v>1</v>
      </c>
    </row>
    <row r="15" spans="1:29" ht="57">
      <c r="A15" s="391" t="s">
        <v>1688</v>
      </c>
      <c r="B15" s="577"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805" t="s">
        <v>1689</v>
      </c>
      <c r="Q15" s="1350" t="str">
        <f t="shared" si="6"/>
        <v>产业集聚程度</v>
      </c>
      <c r="R15" s="703" t="s">
        <v>14</v>
      </c>
      <c r="S15" s="704">
        <f t="shared" si="0"/>
        <v>100</v>
      </c>
      <c r="T15" s="703" t="s">
        <v>14</v>
      </c>
      <c r="U15" s="704">
        <f t="shared" si="1"/>
        <v>100</v>
      </c>
      <c r="V15" s="703" t="s">
        <v>14</v>
      </c>
      <c r="W15" s="704">
        <f t="shared" si="2"/>
        <v>100</v>
      </c>
      <c r="X15" s="1353"/>
      <c r="Y15" s="3805" t="s">
        <v>1689</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806"/>
      <c r="Q16" s="1350"/>
      <c r="R16" s="703"/>
      <c r="S16" s="704"/>
      <c r="T16" s="703"/>
      <c r="U16" s="704"/>
      <c r="V16" s="703"/>
      <c r="W16" s="704"/>
      <c r="X16" s="1353"/>
      <c r="Y16" s="3806"/>
      <c r="Z16" s="1354"/>
      <c r="AA16" s="1351">
        <v>1</v>
      </c>
      <c r="AB16" s="1351">
        <v>1</v>
      </c>
      <c r="AC16" s="1351">
        <v>1</v>
      </c>
    </row>
    <row r="17" spans="1:29" ht="85.5">
      <c r="A17" s="379"/>
      <c r="B17" s="579"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806"/>
      <c r="Q17" s="1350" t="str">
        <f>B17</f>
        <v>交通便捷度</v>
      </c>
      <c r="R17" s="703" t="s">
        <v>14</v>
      </c>
      <c r="S17" s="704">
        <f>F17</f>
        <v>100</v>
      </c>
      <c r="T17" s="703" t="s">
        <v>14</v>
      </c>
      <c r="U17" s="704">
        <f>H17</f>
        <v>100</v>
      </c>
      <c r="V17" s="703" t="s">
        <v>14</v>
      </c>
      <c r="W17" s="704">
        <f>J17</f>
        <v>100</v>
      </c>
      <c r="X17" s="1353"/>
      <c r="Y17" s="380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806"/>
      <c r="Q18" s="1350"/>
      <c r="R18" s="703"/>
      <c r="S18" s="704"/>
      <c r="T18" s="703"/>
      <c r="U18" s="704"/>
      <c r="V18" s="703"/>
      <c r="W18" s="704"/>
      <c r="X18" s="1353"/>
      <c r="Y18" s="3806"/>
      <c r="Z18" s="1354"/>
      <c r="AA18" s="1351">
        <v>1</v>
      </c>
      <c r="AB18" s="1351">
        <v>1</v>
      </c>
      <c r="AC18" s="1351">
        <v>1</v>
      </c>
    </row>
    <row r="19" spans="1:29" ht="15">
      <c r="A19" s="379"/>
      <c r="B19" s="579"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806"/>
      <c r="Q19" s="1350" t="str">
        <f t="shared" ref="Q19:Q33" si="8">B19</f>
        <v>区域土地利用方向</v>
      </c>
      <c r="R19" s="703" t="s">
        <v>14</v>
      </c>
      <c r="S19" s="704">
        <f>F19</f>
        <v>100</v>
      </c>
      <c r="T19" s="703" t="s">
        <v>14</v>
      </c>
      <c r="U19" s="704">
        <f>H19</f>
        <v>100</v>
      </c>
      <c r="V19" s="703" t="s">
        <v>14</v>
      </c>
      <c r="W19" s="704">
        <f>J19</f>
        <v>100</v>
      </c>
      <c r="X19" s="1353"/>
      <c r="Y19" s="380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806"/>
      <c r="Q20" s="1350"/>
      <c r="R20" s="703"/>
      <c r="S20" s="704"/>
      <c r="T20" s="703"/>
      <c r="U20" s="704"/>
      <c r="V20" s="703"/>
      <c r="W20" s="704"/>
      <c r="X20" s="1353"/>
      <c r="Y20" s="3806"/>
      <c r="Z20" s="1354"/>
      <c r="AA20" s="1351"/>
      <c r="AB20" s="1351"/>
      <c r="AC20" s="1351"/>
    </row>
    <row r="21" spans="1:29" ht="71.25">
      <c r="A21" s="358"/>
      <c r="B21" s="579"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806"/>
      <c r="Q21" s="1350" t="str">
        <f t="shared" si="8"/>
        <v>环境状况</v>
      </c>
      <c r="R21" s="703" t="s">
        <v>14</v>
      </c>
      <c r="S21" s="704">
        <f>F21</f>
        <v>100</v>
      </c>
      <c r="T21" s="703" t="s">
        <v>14</v>
      </c>
      <c r="U21" s="704">
        <f>H21</f>
        <v>100</v>
      </c>
      <c r="V21" s="703" t="s">
        <v>14</v>
      </c>
      <c r="W21" s="704">
        <f>J21</f>
        <v>100</v>
      </c>
      <c r="X21" s="1353"/>
      <c r="Y21" s="380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806"/>
      <c r="Q22" s="1350"/>
      <c r="R22" s="703"/>
      <c r="S22" s="704"/>
      <c r="T22" s="703"/>
      <c r="U22" s="704"/>
      <c r="V22" s="703"/>
      <c r="W22" s="704"/>
      <c r="X22" s="1353"/>
      <c r="Y22" s="3806"/>
      <c r="Z22" s="1354"/>
      <c r="AA22" s="1351">
        <v>1</v>
      </c>
      <c r="AB22" s="1351">
        <v>1</v>
      </c>
      <c r="AC22" s="1351">
        <v>1</v>
      </c>
    </row>
    <row r="23" spans="1:29" s="108" customFormat="1" ht="42.75">
      <c r="A23" s="597"/>
      <c r="B23" s="581"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806"/>
      <c r="Q23" s="1341" t="str">
        <f t="shared" si="8"/>
        <v>公共配套设施</v>
      </c>
      <c r="R23" s="699" t="s">
        <v>14</v>
      </c>
      <c r="S23" s="700">
        <f>F23</f>
        <v>100</v>
      </c>
      <c r="T23" s="699" t="s">
        <v>14</v>
      </c>
      <c r="U23" s="700">
        <f>H23</f>
        <v>100</v>
      </c>
      <c r="V23" s="699" t="s">
        <v>14</v>
      </c>
      <c r="W23" s="700">
        <f>J23</f>
        <v>100</v>
      </c>
      <c r="X23" s="701"/>
      <c r="Y23" s="380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806"/>
      <c r="Q24" s="1341"/>
      <c r="R24" s="699"/>
      <c r="S24" s="700"/>
      <c r="T24" s="699"/>
      <c r="U24" s="700"/>
      <c r="V24" s="699"/>
      <c r="W24" s="700"/>
      <c r="X24" s="701"/>
      <c r="Y24" s="3806"/>
      <c r="Z24" s="52"/>
      <c r="AA24" s="702">
        <v>1</v>
      </c>
      <c r="AB24" s="702">
        <v>1</v>
      </c>
      <c r="AC24" s="702">
        <v>1</v>
      </c>
    </row>
    <row r="25" spans="1:29" s="108" customFormat="1" ht="28.5">
      <c r="A25" s="597"/>
      <c r="B25" s="581"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806"/>
      <c r="Q25" s="1341" t="str">
        <f t="shared" ref="Q25" si="9">B25</f>
        <v>基础设施水平</v>
      </c>
      <c r="R25" s="699" t="s">
        <v>14</v>
      </c>
      <c r="S25" s="700">
        <f>F25</f>
        <v>100</v>
      </c>
      <c r="T25" s="699" t="s">
        <v>14</v>
      </c>
      <c r="U25" s="700">
        <f>H25</f>
        <v>100</v>
      </c>
      <c r="V25" s="699" t="s">
        <v>14</v>
      </c>
      <c r="W25" s="700">
        <f>J25</f>
        <v>100</v>
      </c>
      <c r="X25" s="701"/>
      <c r="Y25" s="380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806"/>
      <c r="Q26" s="1341"/>
      <c r="R26" s="699"/>
      <c r="S26" s="700"/>
      <c r="T26" s="699"/>
      <c r="U26" s="700"/>
      <c r="V26" s="699"/>
      <c r="W26" s="700"/>
      <c r="X26" s="701"/>
      <c r="Y26" s="3806"/>
      <c r="Z26" s="52"/>
      <c r="AA26" s="702">
        <v>1</v>
      </c>
      <c r="AB26" s="702">
        <v>1</v>
      </c>
      <c r="AC26" s="702">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80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806"/>
      <c r="Z27" s="1354" t="str">
        <f t="shared" ref="Z27:Z40" si="13">Q27</f>
        <v>临街状况</v>
      </c>
      <c r="AA27" s="1351">
        <f t="shared" si="3"/>
        <v>1</v>
      </c>
      <c r="AB27" s="1351">
        <f t="shared" si="4"/>
        <v>1</v>
      </c>
      <c r="AC27" s="1351">
        <f t="shared" si="5"/>
        <v>1</v>
      </c>
    </row>
    <row r="28" spans="1:29" ht="27">
      <c r="A28" s="379"/>
      <c r="B28" s="581"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806"/>
      <c r="Q28" s="1350" t="str">
        <f t="shared" si="8"/>
        <v>毗邻道路的类型与等级</v>
      </c>
      <c r="R28" s="703" t="s">
        <v>14</v>
      </c>
      <c r="S28" s="704">
        <f t="shared" si="10"/>
        <v>100</v>
      </c>
      <c r="T28" s="703" t="s">
        <v>14</v>
      </c>
      <c r="U28" s="704">
        <f t="shared" si="11"/>
        <v>100</v>
      </c>
      <c r="V28" s="703" t="s">
        <v>14</v>
      </c>
      <c r="W28" s="704">
        <f t="shared" si="12"/>
        <v>100</v>
      </c>
      <c r="X28" s="1353"/>
      <c r="Y28" s="380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806"/>
      <c r="Q29" s="1350"/>
      <c r="R29" s="703"/>
      <c r="S29" s="704"/>
      <c r="T29" s="703"/>
      <c r="U29" s="704"/>
      <c r="V29" s="703"/>
      <c r="W29" s="704"/>
      <c r="X29" s="1353"/>
      <c r="Y29" s="3806"/>
      <c r="Z29" s="1354"/>
      <c r="AA29" s="1351">
        <v>1</v>
      </c>
      <c r="AB29" s="1351">
        <v>1</v>
      </c>
      <c r="AC29" s="1351">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806"/>
      <c r="Q30" s="1350" t="str">
        <f t="shared" si="8"/>
        <v>土地级别</v>
      </c>
      <c r="R30" s="703" t="s">
        <v>14</v>
      </c>
      <c r="S30" s="704">
        <f t="shared" si="10"/>
        <v>100</v>
      </c>
      <c r="T30" s="703" t="s">
        <v>14</v>
      </c>
      <c r="U30" s="704">
        <f t="shared" si="11"/>
        <v>100</v>
      </c>
      <c r="V30" s="703" t="s">
        <v>14</v>
      </c>
      <c r="W30" s="704">
        <f t="shared" si="12"/>
        <v>100</v>
      </c>
      <c r="X30" s="1353"/>
      <c r="Y30" s="380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806"/>
      <c r="Q31" s="1350">
        <f t="shared" si="8"/>
        <v>111</v>
      </c>
      <c r="R31" s="703" t="s">
        <v>14</v>
      </c>
      <c r="S31" s="704">
        <f t="shared" si="10"/>
        <v>100</v>
      </c>
      <c r="T31" s="703" t="s">
        <v>14</v>
      </c>
      <c r="U31" s="704">
        <f t="shared" si="11"/>
        <v>100</v>
      </c>
      <c r="V31" s="703" t="s">
        <v>14</v>
      </c>
      <c r="W31" s="704">
        <f t="shared" si="12"/>
        <v>100</v>
      </c>
      <c r="X31" s="1353"/>
      <c r="Y31" s="380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921" t="s">
        <v>1694</v>
      </c>
      <c r="Q32" s="1350">
        <f t="shared" si="8"/>
        <v>111</v>
      </c>
      <c r="R32" s="703" t="s">
        <v>14</v>
      </c>
      <c r="S32" s="704">
        <f t="shared" si="10"/>
        <v>100</v>
      </c>
      <c r="T32" s="703" t="s">
        <v>14</v>
      </c>
      <c r="U32" s="704">
        <f t="shared" si="11"/>
        <v>100</v>
      </c>
      <c r="V32" s="703" t="s">
        <v>14</v>
      </c>
      <c r="W32" s="704">
        <f t="shared" si="12"/>
        <v>100</v>
      </c>
      <c r="X32" s="1353"/>
      <c r="Y32" s="3810" t="s">
        <v>1694</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810"/>
      <c r="Q33" s="1350">
        <f t="shared" si="8"/>
        <v>111</v>
      </c>
      <c r="R33" s="706" t="s">
        <v>14</v>
      </c>
      <c r="S33" s="707">
        <f t="shared" si="10"/>
        <v>100</v>
      </c>
      <c r="T33" s="706" t="s">
        <v>14</v>
      </c>
      <c r="U33" s="707">
        <f t="shared" si="11"/>
        <v>100</v>
      </c>
      <c r="V33" s="706" t="s">
        <v>14</v>
      </c>
      <c r="W33" s="707">
        <f t="shared" si="12"/>
        <v>100</v>
      </c>
      <c r="X33" s="708"/>
      <c r="Y33" s="3810"/>
      <c r="Z33" s="709">
        <f t="shared" si="13"/>
        <v>111</v>
      </c>
      <c r="AA33" s="1351">
        <f t="shared" si="3"/>
        <v>1</v>
      </c>
      <c r="AB33" s="1351">
        <f t="shared" si="4"/>
        <v>1</v>
      </c>
      <c r="AC33" s="1351">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810"/>
      <c r="Q34" s="1350" t="str">
        <f>B34</f>
        <v>宗地面积</v>
      </c>
      <c r="R34" s="703" t="s">
        <v>14</v>
      </c>
      <c r="S34" s="704" t="e">
        <f t="shared" si="10"/>
        <v>#N/A</v>
      </c>
      <c r="T34" s="703" t="s">
        <v>14</v>
      </c>
      <c r="U34" s="704" t="e">
        <f t="shared" si="11"/>
        <v>#N/A</v>
      </c>
      <c r="V34" s="703" t="s">
        <v>14</v>
      </c>
      <c r="W34" s="704" t="e">
        <f t="shared" si="12"/>
        <v>#N/A</v>
      </c>
      <c r="X34" s="1353"/>
      <c r="Y34" s="3810"/>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810"/>
      <c r="Q35" s="1350" t="str">
        <f t="shared" ref="Q35:Q40" si="14">B35</f>
        <v>宗地形状</v>
      </c>
      <c r="R35" s="703" t="s">
        <v>14</v>
      </c>
      <c r="S35" s="704">
        <f t="shared" si="10"/>
        <v>100</v>
      </c>
      <c r="T35" s="703" t="s">
        <v>14</v>
      </c>
      <c r="U35" s="704">
        <f t="shared" si="11"/>
        <v>100</v>
      </c>
      <c r="V35" s="703" t="s">
        <v>14</v>
      </c>
      <c r="W35" s="704">
        <f t="shared" si="12"/>
        <v>100</v>
      </c>
      <c r="X35" s="1353"/>
      <c r="Y35" s="3810"/>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810"/>
      <c r="Q36" s="1350" t="str">
        <f t="shared" si="14"/>
        <v>宗地开发程度</v>
      </c>
      <c r="R36" s="699" t="s">
        <v>14</v>
      </c>
      <c r="S36" s="700">
        <f t="shared" si="10"/>
        <v>100</v>
      </c>
      <c r="T36" s="699" t="s">
        <v>14</v>
      </c>
      <c r="U36" s="700">
        <f t="shared" si="11"/>
        <v>100</v>
      </c>
      <c r="V36" s="699" t="s">
        <v>14</v>
      </c>
      <c r="W36" s="700">
        <f t="shared" si="12"/>
        <v>100</v>
      </c>
      <c r="X36" s="701"/>
      <c r="Y36" s="3810"/>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810" t="s">
        <v>1694</v>
      </c>
      <c r="Q37" s="1350" t="str">
        <f t="shared" si="14"/>
        <v>工程地质条件</v>
      </c>
      <c r="R37" s="703" t="s">
        <v>14</v>
      </c>
      <c r="S37" s="704">
        <f t="shared" si="10"/>
        <v>100</v>
      </c>
      <c r="T37" s="703" t="s">
        <v>14</v>
      </c>
      <c r="U37" s="704">
        <f t="shared" si="11"/>
        <v>100</v>
      </c>
      <c r="V37" s="703" t="s">
        <v>14</v>
      </c>
      <c r="W37" s="704">
        <f t="shared" si="12"/>
        <v>100</v>
      </c>
      <c r="X37" s="1353"/>
      <c r="Y37" s="3810" t="s">
        <v>1694</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810"/>
      <c r="Q38" s="1350">
        <f t="shared" si="14"/>
        <v>111</v>
      </c>
      <c r="R38" s="703" t="s">
        <v>14</v>
      </c>
      <c r="S38" s="704">
        <f t="shared" si="10"/>
        <v>100</v>
      </c>
      <c r="T38" s="703" t="s">
        <v>14</v>
      </c>
      <c r="U38" s="704">
        <f t="shared" si="11"/>
        <v>100</v>
      </c>
      <c r="V38" s="703" t="s">
        <v>14</v>
      </c>
      <c r="W38" s="704">
        <f t="shared" si="12"/>
        <v>100</v>
      </c>
      <c r="X38" s="1353"/>
      <c r="Y38" s="381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810"/>
      <c r="Q39" s="1350">
        <f t="shared" si="14"/>
        <v>111</v>
      </c>
      <c r="R39" s="703" t="s">
        <v>14</v>
      </c>
      <c r="S39" s="704">
        <f t="shared" si="10"/>
        <v>100</v>
      </c>
      <c r="T39" s="703" t="s">
        <v>14</v>
      </c>
      <c r="U39" s="704">
        <f t="shared" si="11"/>
        <v>100</v>
      </c>
      <c r="V39" s="703" t="s">
        <v>14</v>
      </c>
      <c r="W39" s="704">
        <f t="shared" si="12"/>
        <v>100</v>
      </c>
      <c r="X39" s="1353"/>
      <c r="Y39" s="381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810"/>
      <c r="Q40" s="1350">
        <f t="shared" si="14"/>
        <v>111</v>
      </c>
      <c r="R40" s="706" t="s">
        <v>14</v>
      </c>
      <c r="S40" s="707">
        <f t="shared" si="10"/>
        <v>100</v>
      </c>
      <c r="T40" s="706" t="s">
        <v>14</v>
      </c>
      <c r="U40" s="707">
        <f t="shared" si="11"/>
        <v>100</v>
      </c>
      <c r="V40" s="706" t="s">
        <v>14</v>
      </c>
      <c r="W40" s="707">
        <f t="shared" si="12"/>
        <v>100</v>
      </c>
      <c r="X40" s="708"/>
      <c r="Y40" s="3810"/>
      <c r="Z40" s="709">
        <f t="shared" si="13"/>
        <v>111</v>
      </c>
      <c r="AA40" s="1351">
        <f t="shared" si="3"/>
        <v>1</v>
      </c>
      <c r="AB40" s="1351">
        <f t="shared" si="4"/>
        <v>1</v>
      </c>
      <c r="AC40" s="1351">
        <f t="shared" si="5"/>
        <v>1</v>
      </c>
    </row>
    <row r="41" spans="1:31" ht="15">
      <c r="A41" s="430" t="s">
        <v>1842</v>
      </c>
      <c r="B41" s="1980" t="s">
        <v>1920</v>
      </c>
      <c r="C41" s="630" t="s">
        <v>0</v>
      </c>
      <c r="D41" s="432"/>
      <c r="E41" s="433"/>
      <c r="F41" s="434"/>
      <c r="G41" s="435"/>
      <c r="H41" s="436"/>
      <c r="I41" s="433"/>
      <c r="J41" s="436"/>
      <c r="K41" s="712"/>
      <c r="L41" s="2717"/>
      <c r="M41" s="2709"/>
      <c r="N41" s="2709"/>
      <c r="O41" s="2718"/>
      <c r="P41" s="3803" t="str">
        <f>A41</f>
        <v>成交单价</v>
      </c>
      <c r="Q41" s="3803"/>
      <c r="R41" s="3834">
        <f>E41</f>
        <v>0</v>
      </c>
      <c r="S41" s="3834"/>
      <c r="T41" s="3834">
        <f>G41</f>
        <v>0</v>
      </c>
      <c r="U41" s="3834"/>
      <c r="V41" s="3834">
        <f>I41</f>
        <v>0</v>
      </c>
      <c r="W41" s="3834"/>
      <c r="X41" s="688"/>
      <c r="Y41" s="710"/>
      <c r="Z41" s="688"/>
      <c r="AA41" s="688"/>
      <c r="AB41" s="688"/>
      <c r="AC41" s="688"/>
    </row>
    <row r="42" spans="1:31" ht="15.75" thickBot="1">
      <c r="A42" s="437" t="s">
        <v>1791</v>
      </c>
      <c r="B42" s="631"/>
      <c r="C42" s="440" t="e">
        <f>R43</f>
        <v>#DIV/0!</v>
      </c>
      <c r="D42" s="2315" t="s">
        <v>2134</v>
      </c>
      <c r="E42" s="440" t="e">
        <f>R42</f>
        <v>#DIV/0!</v>
      </c>
      <c r="F42" s="2316"/>
      <c r="G42" s="439" t="e">
        <f>T42</f>
        <v>#DIV/0!</v>
      </c>
      <c r="H42" s="2316"/>
      <c r="I42" s="440" t="e">
        <f>V42</f>
        <v>#DIV/0!</v>
      </c>
      <c r="J42" s="2316"/>
      <c r="K42" s="2318">
        <f>F42+H42+J42</f>
        <v>0</v>
      </c>
      <c r="L42" s="2717"/>
      <c r="M42" s="2709"/>
      <c r="N42" s="2709"/>
      <c r="O42" s="2718"/>
      <c r="P42" s="3803" t="str">
        <f>A42</f>
        <v>比较价值（元/平方米）</v>
      </c>
      <c r="Q42" s="3803"/>
      <c r="R42" s="3923" t="e">
        <f>ROUND(PRODUCT(R41,AA7:AA40),0)</f>
        <v>#DIV/0!</v>
      </c>
      <c r="S42" s="3923"/>
      <c r="T42" s="3923" t="e">
        <f>ROUND(PRODUCT(T41,AB7:AB40),0)</f>
        <v>#DIV/0!</v>
      </c>
      <c r="U42" s="3923"/>
      <c r="V42" s="3923" t="e">
        <f>ROUND(PRODUCT(V41,AC7:AC40),0)</f>
        <v>#DIV/0!</v>
      </c>
      <c r="W42" s="3923"/>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7"/>
      <c r="M43" s="2709"/>
      <c r="N43" s="2709"/>
      <c r="O43" s="2718"/>
      <c r="P43" s="3800" t="str">
        <f>A43</f>
        <v>估价对象XX用房的比较价值（楼面单价，元/平方米）</v>
      </c>
      <c r="Q43" s="3801"/>
      <c r="R43" s="3924" t="e">
        <f>ROUND(IF(D42="简单平均",AVERAGE(R42:W42),R42*F42+T42*H42+V42*J42),0)</f>
        <v>#DIV/0!</v>
      </c>
      <c r="S43" s="3924"/>
      <c r="T43" s="3924"/>
      <c r="U43" s="3924"/>
      <c r="V43" s="3924"/>
      <c r="W43" s="3924"/>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81" t="s">
        <v>1881</v>
      </c>
      <c r="D50" s="1982" t="s">
        <v>1882</v>
      </c>
      <c r="E50" s="634" t="s">
        <v>1883</v>
      </c>
      <c r="F50" s="635" t="s">
        <v>1884</v>
      </c>
      <c r="G50" s="3818" t="s">
        <v>1885</v>
      </c>
      <c r="H50" s="3925"/>
      <c r="I50" s="1354" t="s">
        <v>1921</v>
      </c>
      <c r="J50" s="1354">
        <f>项目基本情况!F35</f>
        <v>0</v>
      </c>
      <c r="K50" s="1984"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2">
        <v>1</v>
      </c>
      <c r="E51" s="638">
        <f>'数据-汇总表'!E8+'数据-汇总表'!E9</f>
        <v>466.83</v>
      </c>
      <c r="F51" s="639" t="e">
        <f t="shared" ref="F51:F60" si="15">ROUND(B51*E51/10000,0)</f>
        <v>#DIV/0!</v>
      </c>
      <c r="G51" s="3814"/>
      <c r="H51" s="3803"/>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3">
        <v>0.25</v>
      </c>
      <c r="E52" s="642"/>
      <c r="F52" s="639" t="e">
        <f t="shared" si="15"/>
        <v>#DIV/0!</v>
      </c>
      <c r="G52" s="2999" t="s">
        <v>1890</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0.3</v>
      </c>
      <c r="D56" s="943">
        <v>0.25</v>
      </c>
      <c r="E56" s="217">
        <f>'数据-汇总表'!E11</f>
        <v>0</v>
      </c>
      <c r="F56" s="639" t="e">
        <f t="shared" si="15"/>
        <v>#DIV/0!</v>
      </c>
      <c r="G56" s="1985" t="s">
        <v>1894</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0.3</v>
      </c>
      <c r="D57" s="943">
        <v>0.25</v>
      </c>
      <c r="E57" s="217">
        <f>'数据-汇总表'!E12</f>
        <v>0</v>
      </c>
      <c r="F57" s="639" t="e">
        <f t="shared" si="15"/>
        <v>#DIV/0!</v>
      </c>
      <c r="G57" s="890" t="s">
        <v>1896</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3">
        <v>0.25</v>
      </c>
      <c r="E58" s="217">
        <f>'数据-汇总表'!E13</f>
        <v>0</v>
      </c>
      <c r="F58" s="639" t="e">
        <f t="shared" si="15"/>
        <v>#DIV/0!</v>
      </c>
      <c r="G58" s="890" t="s">
        <v>1898</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3">
        <v>0.25</v>
      </c>
      <c r="E59" s="217">
        <f>'数据-汇总表'!E14</f>
        <v>0</v>
      </c>
      <c r="F59" s="639" t="e">
        <f t="shared" si="15"/>
        <v>#DIV/0!</v>
      </c>
      <c r="G59" s="1985" t="s">
        <v>1890</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0.2</v>
      </c>
      <c r="D60" s="943">
        <v>0.25</v>
      </c>
      <c r="E60" s="217">
        <f>'数据-汇总表'!E15</f>
        <v>0</v>
      </c>
      <c r="F60" s="639" t="e">
        <f t="shared" si="15"/>
        <v>#DIV/0!</v>
      </c>
      <c r="G60" s="1986" t="s">
        <v>1894</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202.08</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2023-2-1</v>
      </c>
      <c r="D63" s="690">
        <f>EDATE(C63,-3)</f>
        <v>44866</v>
      </c>
      <c r="E63" s="690">
        <f>EDATE(D63,-3)</f>
        <v>44774</v>
      </c>
      <c r="F63" s="690">
        <f t="shared" ref="F63:O63" si="18">EDATE(E63,-3)</f>
        <v>44682</v>
      </c>
      <c r="G63" s="690">
        <f t="shared" si="18"/>
        <v>44593</v>
      </c>
      <c r="H63" s="690">
        <f t="shared" si="18"/>
        <v>44501</v>
      </c>
      <c r="I63" s="690">
        <f t="shared" si="18"/>
        <v>44409</v>
      </c>
      <c r="J63" s="690">
        <f t="shared" si="18"/>
        <v>44317</v>
      </c>
      <c r="K63" s="690">
        <f t="shared" si="18"/>
        <v>44228</v>
      </c>
      <c r="L63" s="690">
        <f t="shared" si="18"/>
        <v>44136</v>
      </c>
      <c r="M63" s="690">
        <f t="shared" si="18"/>
        <v>44044</v>
      </c>
      <c r="N63" s="690">
        <f t="shared" si="18"/>
        <v>43952</v>
      </c>
      <c r="O63" s="690">
        <f t="shared" si="18"/>
        <v>43862</v>
      </c>
      <c r="P63" s="2718"/>
      <c r="Q63" s="2718"/>
      <c r="R63" s="2718"/>
      <c r="S63" s="2718"/>
      <c r="T63" s="2718"/>
      <c r="U63" s="2718"/>
      <c r="V63" s="2718"/>
      <c r="W63" s="2718"/>
      <c r="X63" s="2718"/>
      <c r="Y63" s="2718"/>
      <c r="Z63" s="2718"/>
      <c r="AA63" s="2718"/>
      <c r="AB63" s="2718"/>
      <c r="AC63" s="2718"/>
      <c r="AD63" s="2718"/>
      <c r="AE63" s="2718"/>
    </row>
    <row r="64" spans="1:31" ht="21.75" thickBot="1">
      <c r="A64" s="692" t="s">
        <v>1796</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1902</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6"/>
      <c r="G1" s="2786"/>
      <c r="H1" s="2786"/>
      <c r="I1" s="2786"/>
      <c r="J1" s="2786"/>
      <c r="K1" s="2786"/>
      <c r="L1" s="2786"/>
      <c r="M1" s="2786"/>
      <c r="N1" s="2786"/>
      <c r="O1" s="2786"/>
      <c r="P1" s="2786"/>
    </row>
    <row r="2" spans="1:16" ht="15.75">
      <c r="A2" s="2143" t="s">
        <v>2071</v>
      </c>
      <c r="B2" s="2596" t="e">
        <f ca="1">SUMIF(B6:B13,"&lt;&gt;#ref!",B6:B13)</f>
        <v>#DIV/0!</v>
      </c>
      <c r="C2" s="2143" t="s">
        <v>2072</v>
      </c>
      <c r="D2" s="2143" t="s">
        <v>2073</v>
      </c>
      <c r="E2" s="2606">
        <f ca="1">SUMIF(E6:E13,"&lt;&gt;#ref!",E6:E13)</f>
        <v>0</v>
      </c>
      <c r="F2" s="2786"/>
      <c r="G2" s="2786"/>
      <c r="H2" s="2786"/>
      <c r="I2" s="2786"/>
      <c r="J2" s="2786"/>
      <c r="K2" s="2786"/>
      <c r="L2" s="2786"/>
      <c r="M2" s="2786"/>
      <c r="N2" s="2786"/>
      <c r="O2" s="2786"/>
      <c r="P2" s="2786"/>
    </row>
    <row r="3" spans="1:16" ht="15.75">
      <c r="A3" s="2143" t="s">
        <v>2074</v>
      </c>
      <c r="B3" s="2596" t="e">
        <f ca="1">ROUND(B2*10000/E2,0)</f>
        <v>#DIV/0!</v>
      </c>
      <c r="C3" s="2143"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2075</v>
      </c>
      <c r="B5" s="2604" t="s">
        <v>2076</v>
      </c>
      <c r="C5" s="2144"/>
      <c r="D5" s="2786"/>
      <c r="E5" s="2605" t="s">
        <v>2077</v>
      </c>
      <c r="F5" s="2786"/>
      <c r="G5" s="2786"/>
      <c r="H5" s="2786"/>
      <c r="I5" s="2786"/>
      <c r="J5" s="2786"/>
      <c r="K5" s="2786"/>
      <c r="L5" s="2786"/>
      <c r="M5" s="2786"/>
      <c r="N5" s="2786"/>
      <c r="O5" s="2786"/>
      <c r="P5" s="2786"/>
    </row>
    <row r="6" spans="1:16" ht="15.75">
      <c r="A6" s="2603" t="s">
        <v>2078</v>
      </c>
      <c r="B6" s="2596" t="e">
        <f ca="1">SUMIF(INDIRECT("'"&amp;A6&amp;"'"&amp;"!A:A"),"总价",INDIRECT("'"&amp;A6&amp;"'"&amp;"!B:B"))</f>
        <v>#DIV/0!</v>
      </c>
      <c r="C6" s="2143" t="s">
        <v>2072</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2072</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2072</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2072</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2072</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2072</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2072</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2072</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0</v>
      </c>
      <c r="E1" s="1993"/>
      <c r="F1" s="1993"/>
      <c r="G1" s="1993"/>
      <c r="H1" s="1993"/>
      <c r="I1" s="1993"/>
      <c r="J1" s="1993"/>
      <c r="K1" s="1117"/>
      <c r="L1" s="1994" t="s">
        <v>1926</v>
      </c>
      <c r="M1" s="861">
        <f>SUMPRODUCT((区片价!B5:B9=I2)*(区片价!C3:G3=E2)*(区片价!C5:G9))</f>
        <v>0</v>
      </c>
      <c r="N1" s="864">
        <f>SUMPRODUCT((因素修正幅度!B5:B9=I2)*(因素修正幅度!C3:G3=E2)*(因素修正幅度!C5:G9))</f>
        <v>0</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t="e">
        <f>C30</f>
        <v>#DIV/0!</v>
      </c>
      <c r="C2" s="1997" t="s">
        <v>1933</v>
      </c>
      <c r="D2" s="1998" t="s">
        <v>1934</v>
      </c>
      <c r="E2" s="3417"/>
      <c r="F2" s="1998" t="s">
        <v>1935</v>
      </c>
      <c r="G2" s="1999">
        <f>IF(E2="商业",项目基本情况!B37,IF(E2="办公",项目基本情况!C37,IF(E2="住宅",项目基本情况!D37,IF(E2="工业",项目基本情况!E37,项目基本情况!F37))))</f>
        <v>0</v>
      </c>
      <c r="H2" s="1998" t="s">
        <v>1936</v>
      </c>
      <c r="I2" s="1999">
        <f>IF(E2="商业",项目基本情况!B38,IF(E2="办公",项目基本情况!C38,IF(E2="住宅",项目基本情况!D38,IF(E2="工业",项目基本情况!E38,项目基本情况!F38))))</f>
        <v>0</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1938</v>
      </c>
      <c r="B3" s="204" t="e">
        <f>ROUND(B2*10000/D1,0)</f>
        <v>#DIV/0!</v>
      </c>
      <c r="C3" s="1997" t="s">
        <v>1939</v>
      </c>
      <c r="D3" s="1998" t="s">
        <v>1940</v>
      </c>
      <c r="E3" s="3415"/>
      <c r="F3" s="2002"/>
      <c r="G3" s="750">
        <f>IF(F3="宗地容积率",'数据-汇总表'!I4,IF(F3="估价对象容积率",'数据-汇总表'!I6,'数据-汇总表'!I7))</f>
        <v>0</v>
      </c>
      <c r="H3" s="170" t="s">
        <v>1941</v>
      </c>
      <c r="I3" s="773"/>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937"/>
      <c r="B4" s="3938"/>
      <c r="C4" s="3938"/>
      <c r="D4" s="3939"/>
      <c r="E4" s="3939"/>
      <c r="F4" s="3939"/>
      <c r="G4" s="3939"/>
      <c r="H4" s="3939"/>
      <c r="I4" s="3939"/>
      <c r="J4" s="3940"/>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t="e">
        <f>ROUND(IF(E2="商业",C6*C7*C17+C20,(IF(E2="住宅",C6*C13*C17+C20,IF(E2="办公",C6*C12*C17+C20,C6+C20)))),0)</f>
        <v>#DIV/0!</v>
      </c>
      <c r="D5" s="1337" t="e">
        <f>ROUND(C6*C17+C20,0)</f>
        <v>#DIV/0!</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3238</v>
      </c>
      <c r="B7" s="2019" t="s">
        <v>1950</v>
      </c>
      <c r="C7" s="753" t="e">
        <f>IF(C8="不临65条商业街",1,ROUND(1+(1.6*E8+1.2*E9+0.8*E10+0.4*E11)*C9,4))</f>
        <v>#DIV/0!</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1953</v>
      </c>
      <c r="X7" s="1212">
        <f>G2</f>
        <v>0</v>
      </c>
      <c r="Y7" s="1212" t="s">
        <v>1954</v>
      </c>
      <c r="Z7" s="1213">
        <f>G3</f>
        <v>0</v>
      </c>
      <c r="AA7" s="1214"/>
      <c r="AB7" s="1214"/>
      <c r="AC7" s="1215"/>
      <c r="AD7" s="1216"/>
      <c r="AE7" s="1216"/>
      <c r="AF7" s="1216"/>
      <c r="AG7" s="1216"/>
      <c r="AH7" s="1216"/>
      <c r="AI7" s="1216"/>
      <c r="AJ7" s="1217"/>
    </row>
    <row r="8" spans="1:36" ht="15">
      <c r="A8" s="3293"/>
      <c r="B8" s="170" t="s">
        <v>1955</v>
      </c>
      <c r="C8" s="2024"/>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934" t="s">
        <v>1958</v>
      </c>
      <c r="X8" s="3935"/>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3"/>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936"/>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93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3239</v>
      </c>
      <c r="B12" s="3299" t="s">
        <v>3240</v>
      </c>
      <c r="C12" s="3300"/>
      <c r="D12" s="3301" t="s">
        <v>3241</v>
      </c>
      <c r="E12" s="3302" t="s">
        <v>3242</v>
      </c>
      <c r="F12" s="3303"/>
      <c r="G12" s="3304"/>
      <c r="H12" s="3304"/>
      <c r="I12" s="3304"/>
      <c r="J12" s="3305"/>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3243</v>
      </c>
      <c r="B13" s="2032" t="s">
        <v>1980</v>
      </c>
      <c r="C13" s="753">
        <f>ROUND(C16*D16*E16*F16*G16*H16*I16*J16,4)</f>
        <v>0</v>
      </c>
      <c r="D13" s="2033" t="s">
        <v>1981</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1983</v>
      </c>
      <c r="C14" s="2039" t="s">
        <v>1984</v>
      </c>
      <c r="D14" s="1348" t="s">
        <v>1985</v>
      </c>
      <c r="E14" s="27" t="s">
        <v>1986</v>
      </c>
      <c r="F14" s="3306" t="s">
        <v>3244</v>
      </c>
      <c r="G14" s="3306" t="s">
        <v>3244</v>
      </c>
      <c r="H14" s="3306" t="s">
        <v>3244</v>
      </c>
      <c r="I14" s="3306" t="s">
        <v>3244</v>
      </c>
      <c r="J14" s="3306" t="s">
        <v>3244</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3245</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1987</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3246</v>
      </c>
      <c r="B17" s="3315" t="s">
        <v>3247</v>
      </c>
      <c r="C17" s="3325">
        <f>ROUND(IF(OR(E2="工业",E2="公共服务"),1,IF(AND(E18=0,E19=0),1,IF(AND(E18=J24,E19=G19),0.8,IF(E19=0,1+E17*(-0.2),1+E17*G17*(-0.2))))),4)</f>
        <v>1</v>
      </c>
      <c r="D17" s="3316" t="s">
        <v>3248</v>
      </c>
      <c r="E17" s="3325" t="e">
        <f>ROUND(G18/I18,2)</f>
        <v>#DIV/0!</v>
      </c>
      <c r="F17" s="3316" t="s">
        <v>3251</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3249</v>
      </c>
      <c r="E18" s="3323"/>
      <c r="F18" s="3318" t="s">
        <v>3252</v>
      </c>
      <c r="G18" s="3322">
        <f>ROUND(1-(1/(POWER(1+G24,E18))),4)</f>
        <v>0</v>
      </c>
      <c r="H18" s="3318" t="s">
        <v>3254</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3250</v>
      </c>
      <c r="E19" s="3332"/>
      <c r="F19" s="3333" t="s">
        <v>3253</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941" t="s">
        <v>3255</v>
      </c>
      <c r="B20" s="167" t="s">
        <v>1992</v>
      </c>
      <c r="C20" s="3319" t="e">
        <f>ROUND(IF(F21="与级别开发程度一致",0,(G21-E21)/C21),0)</f>
        <v>#DIV/0!</v>
      </c>
      <c r="D20" s="3335" t="s">
        <v>1996</v>
      </c>
      <c r="E20" s="3336"/>
      <c r="F20" s="3947" t="s">
        <v>1993</v>
      </c>
      <c r="G20" s="3948"/>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942"/>
      <c r="B21" s="2162" t="s">
        <v>1995</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1998</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1999</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2000</v>
      </c>
      <c r="E23" s="759">
        <v>44197</v>
      </c>
      <c r="F23" s="2052" t="s">
        <v>2001</v>
      </c>
      <c r="G23" s="760">
        <f>'数据-取费表'!B2</f>
        <v>44971</v>
      </c>
      <c r="H23" s="3337" t="s">
        <v>3257</v>
      </c>
      <c r="I23" s="3338" t="str">
        <f>IF(H23="季度增幅（自定义）",SUMIF(N25:N28,E2,O25:O28),"")</f>
        <v/>
      </c>
      <c r="J23" s="3339" t="s">
        <v>3256</v>
      </c>
      <c r="K23" s="1123"/>
      <c r="L23" s="2053" t="s">
        <v>2002</v>
      </c>
      <c r="M23" s="1326">
        <f>ROUND(SUMIF(地价!B2:G2,E2,地价!B16:G16),0)</f>
        <v>0</v>
      </c>
      <c r="N23" s="2054" t="s">
        <v>2003</v>
      </c>
      <c r="O23" s="761">
        <f>ROUNDDOWN(DATEDIF(E23,G23,"M")/3,0)</f>
        <v>8</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t="e">
        <f>ROUND(POWER(1+G24,J24-I24)*(POWER(1+G24,I24)-1)/(POWER(1+G24,J24)-1),4)</f>
        <v>#DIV/0!</v>
      </c>
      <c r="D24" s="2058" t="s">
        <v>2005</v>
      </c>
      <c r="E24" s="1333">
        <f>存贷款利率!E22/100</f>
        <v>4.3499999999999997E-2</v>
      </c>
      <c r="F24" s="2058" t="s">
        <v>1997</v>
      </c>
      <c r="G24" s="766">
        <f>SUMIF(M30:Q30,E2,M33:Q33)</f>
        <v>0</v>
      </c>
      <c r="H24" s="2058" t="s">
        <v>2006</v>
      </c>
      <c r="I24" s="767" t="e">
        <f>SUMIF('数据-取费表'!C6:C15,E2,'数据-取费表'!F6:F15)/COUNTIF('数据-取费表'!C6:C15,E2)</f>
        <v>#DIV/0!</v>
      </c>
      <c r="J24" s="768">
        <f>IF(E2="住宅",70,IF(E2="商业",40,50))</f>
        <v>50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3336</v>
      </c>
      <c r="C25" s="769">
        <f>IF(B25="容积率修正",IF(G3&lt;10,D26,J26),C27)</f>
        <v>0</v>
      </c>
      <c r="D25" s="2065"/>
      <c r="E25" s="2065"/>
      <c r="F25" s="2065"/>
      <c r="G25" s="2065"/>
      <c r="H25" s="2065"/>
      <c r="I25" s="2065"/>
      <c r="J25" s="2066"/>
      <c r="K25" s="1123"/>
      <c r="L25" s="2781"/>
      <c r="M25" s="2781"/>
      <c r="N25" s="2067" t="s">
        <v>2011</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70" t="str">
        <f>IF(G3&gt;=10,D115,"——")</f>
        <v>——</v>
      </c>
      <c r="K26" s="1123"/>
      <c r="L26" s="2781"/>
      <c r="M26" s="2781"/>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0</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0</v>
      </c>
      <c r="D28" s="2050"/>
      <c r="E28" s="2075"/>
      <c r="F28" s="2075"/>
      <c r="G28" s="2075"/>
      <c r="H28" s="2075"/>
      <c r="I28" s="2075"/>
      <c r="J28" s="2076"/>
      <c r="K28" s="1123"/>
      <c r="L28" s="2781"/>
      <c r="M28" s="2781"/>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78" t="s">
        <v>2021</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t="e">
        <f>IF(B25="容积率修正",E33+SUM(E37:E42),SUM(V2:V16)+SUM(E37:E42))</f>
        <v>#DIV/0!</v>
      </c>
      <c r="D30" s="2081"/>
      <c r="E30" s="2044"/>
      <c r="F30" s="2082"/>
      <c r="G30" s="2044"/>
      <c r="H30" s="2044"/>
      <c r="I30" s="2044"/>
      <c r="J30" s="2083"/>
      <c r="K30" s="1117"/>
      <c r="L30" s="3346" t="s">
        <v>1934</v>
      </c>
      <c r="M30" s="3347" t="s">
        <v>1988</v>
      </c>
      <c r="N30" s="3347" t="s">
        <v>1989</v>
      </c>
      <c r="O30" s="3347" t="s">
        <v>1990</v>
      </c>
      <c r="P30" s="3347" t="s">
        <v>1991</v>
      </c>
      <c r="Q30" s="3350"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t="e">
        <f>E34+SUM(I37:I42)</f>
        <v>#DIV/0!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t="e">
        <f>ROUND(C5*C22*C23*C24*C25*C28,0)</f>
        <v>#DIV/0!</v>
      </c>
      <c r="D33" s="2096"/>
      <c r="E33" s="771" t="e">
        <f>ROUND(C33*D33/10000,0)</f>
        <v>#DIV/0!</v>
      </c>
      <c r="F33" s="3341" t="s">
        <v>3261</v>
      </c>
      <c r="G33" s="2097"/>
      <c r="H33" s="2097"/>
      <c r="I33" s="2097"/>
      <c r="J33" s="2098"/>
      <c r="K33" s="1117"/>
      <c r="L33" s="3344" t="s">
        <v>3264</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t="e">
        <f>ROUND(IF(B25="楼层修正",SUM(V2:V16)*M40,C34*D34/10000),0)</f>
        <v>#DIV/0!</v>
      </c>
      <c r="F34" s="2102" t="s">
        <v>2030</v>
      </c>
      <c r="G34" s="2103"/>
      <c r="H34" s="2103"/>
      <c r="I34" s="2103"/>
      <c r="J34" s="2104"/>
      <c r="K34" s="1117"/>
      <c r="L34" s="3344" t="s">
        <v>3265</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3262</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3266</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945"/>
      <c r="B37" s="2111" t="s">
        <v>2034</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3267</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946"/>
      <c r="B38" s="2039" t="s">
        <v>2035</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946"/>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3268</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2118</v>
      </c>
      <c r="C44" s="342" t="e">
        <f>ROUND(POWER(1+E44,H44-G44)*(POWER(1+E44,G44)-1)/(POWER(1+E44,H44)-1),4)</f>
        <v>#DIV/0!</v>
      </c>
      <c r="D44" s="171" t="s">
        <v>1997</v>
      </c>
      <c r="E44" s="2151">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t="str">
        <f>估价对象房地状况!C4</f>
        <v>周边以配套商业为主</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2051</v>
      </c>
      <c r="B51" s="2132" t="str">
        <f>估价对象房地状况!C18</f>
        <v>周边有359、空港1、3路等，周边道路密集一般，停车便捷程度一般，综合评价交通便捷度较差</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3270</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2052</v>
      </c>
      <c r="B53" s="2133" t="s">
        <v>2053</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2054</v>
      </c>
      <c r="B54" s="2132" t="str">
        <f>估价对象房地状况!C24</f>
        <v>城市支路</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2055</v>
      </c>
      <c r="B55" s="2134" t="s">
        <v>2056</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2057</v>
      </c>
      <c r="B56" s="1324" t="str">
        <f>估价对象房地状况!C21</f>
        <v>估价对象所在区域银行、购物场所、学校等公共配套设施齐备，综合评价公共配套设施水平一般。</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2058</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39" thickBot="1">
      <c r="A58" s="2136" t="s">
        <v>2059</v>
      </c>
      <c r="B58" s="2137" t="str">
        <f>估价对象房地状况!C20</f>
        <v>区域内有国航大学、天竺公园等自然及人文环境，综合评价自然及人文环境状况一般。</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24">
      <c r="A61" s="2128" t="s">
        <v>2062</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2051</v>
      </c>
      <c r="B62" s="2132" t="str">
        <f>估价对象房地状况!C18</f>
        <v>周边有359、空港1、3路等，周边道路密集一般，停车便捷程度一般，综合评价交通便捷度较差</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3270</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t="str">
        <f>估价对象房地状况!C24</f>
        <v>城市支路</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2057</v>
      </c>
      <c r="B67" s="1324" t="str">
        <f>估价对象房地状况!C21</f>
        <v>估价对象所在区域银行、购物场所、学校等公共配套设施齐备，综合评价公共配套设施水平一般。</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39" thickBot="1">
      <c r="A69" s="2136" t="s">
        <v>2059</v>
      </c>
      <c r="B69" s="2138" t="str">
        <f>估价对象房地状况!C20</f>
        <v>区域内有国航大学、天竺公园等自然及人文环境，综合评价自然及人文环境状况一般。</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24">
      <c r="A72" s="2128" t="s">
        <v>2064</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2051</v>
      </c>
      <c r="B73" s="2132" t="str">
        <f>估价对象房地状况!C18</f>
        <v>周边有359、空港1、3路等，周边道路密集一般，停车便捷程度一般，综合评价交通便捷度较差</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3270</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t="str">
        <f>估价对象房地状况!C24</f>
        <v>城市支路</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2057</v>
      </c>
      <c r="B76" s="1324" t="str">
        <f>估价对象房地状况!C21</f>
        <v>估价对象所在区域银行、购物场所、学校等公共配套设施齐备，综合评价公共配套设施水平一般。</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38.25">
      <c r="A79" s="2128" t="s">
        <v>2059</v>
      </c>
      <c r="B79" s="2131" t="str">
        <f>估价对象房地状况!C20</f>
        <v>区域内有国航大学、天竺公园等自然及人文环境，综合评价自然及人文环境状况一般。</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3271</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2607</v>
      </c>
      <c r="B91" s="3373">
        <f>1+E93</f>
        <v>1</v>
      </c>
      <c r="C91" s="3366"/>
      <c r="D91" s="3367"/>
      <c r="E91" s="1812"/>
      <c r="F91" s="1812"/>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3274</v>
      </c>
      <c r="B94" s="3365" t="str">
        <f>估价对象房地状况!C18</f>
        <v>周边有359、空港1、3路等，周边道路密集一般，停车便捷程度一般，综合评价交通便捷度较差</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城市支路</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3278</v>
      </c>
      <c r="B99" s="3365" t="str">
        <f>估价对象房地状况!C21</f>
        <v>估价对象所在区域银行、购物场所、学校等公共配套设施齐备，综合评价公共配套设施水平一般。</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39" thickBot="1">
      <c r="A101" s="3375" t="s">
        <v>3280</v>
      </c>
      <c r="B101" s="3382" t="str">
        <f>估价对象房地状况!C20</f>
        <v>区域内有国航大学、天竺公园等自然及人文环境，综合评价自然及人文环境状况一般。</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943" t="s">
        <v>3295</v>
      </c>
      <c r="B103" s="3943"/>
      <c r="C103" s="3943"/>
      <c r="D103" s="3943"/>
      <c r="E103" s="3943"/>
      <c r="F103" s="3943"/>
      <c r="G103" s="3943"/>
      <c r="H103" s="3943"/>
      <c r="I103" s="3943"/>
      <c r="J103" s="3943"/>
      <c r="K103" s="3385"/>
      <c r="L103" s="3385"/>
      <c r="M103" s="3385"/>
      <c r="N103" s="3385"/>
    </row>
    <row r="104" spans="1:14">
      <c r="A104" s="3944" t="s">
        <v>3296</v>
      </c>
      <c r="B104" s="3944" t="s">
        <v>3297</v>
      </c>
      <c r="C104" s="3386" t="s">
        <v>3298</v>
      </c>
      <c r="D104" s="3387"/>
      <c r="E104" s="3387"/>
      <c r="F104" s="3387"/>
      <c r="G104" s="3387"/>
      <c r="H104" s="3387"/>
      <c r="I104" s="3387"/>
      <c r="J104" s="3388"/>
      <c r="K104" s="3389"/>
      <c r="L104" s="3389"/>
      <c r="M104" s="3389"/>
      <c r="N104" s="3389"/>
    </row>
    <row r="105" spans="1:14">
      <c r="A105" s="3944"/>
      <c r="B105" s="3944"/>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930"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93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93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93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93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931"/>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932"/>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933" t="s">
        <v>3312</v>
      </c>
      <c r="B113" s="3933"/>
      <c r="C113" s="3933"/>
      <c r="D113" s="3933"/>
      <c r="E113" s="3933"/>
      <c r="F113" s="3933"/>
      <c r="G113" s="3933"/>
      <c r="H113" s="3933"/>
      <c r="I113" s="3933"/>
      <c r="J113" s="393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8" t="s">
        <v>3315</v>
      </c>
      <c r="F116" s="3397">
        <f>E2</f>
        <v>0</v>
      </c>
      <c r="G116" s="1998" t="s">
        <v>3316</v>
      </c>
      <c r="H116" s="3397">
        <f>G2</f>
        <v>0</v>
      </c>
      <c r="I116" s="1998"/>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2607</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2589</v>
      </c>
      <c r="B1" s="3065" t="s">
        <v>2590</v>
      </c>
      <c r="C1" s="3065" t="s">
        <v>2591</v>
      </c>
      <c r="D1" s="3065" t="s">
        <v>2592</v>
      </c>
      <c r="E1" s="3065" t="s">
        <v>2593</v>
      </c>
      <c r="F1" s="3065" t="s">
        <v>2594</v>
      </c>
      <c r="G1" s="3065" t="s">
        <v>2595</v>
      </c>
      <c r="H1" s="3065" t="s">
        <v>2596</v>
      </c>
      <c r="I1" s="3065" t="s">
        <v>2597</v>
      </c>
      <c r="J1" s="3065" t="s">
        <v>2598</v>
      </c>
      <c r="K1" s="3065" t="s">
        <v>2599</v>
      </c>
      <c r="L1" s="3065" t="s">
        <v>2600</v>
      </c>
      <c r="M1" s="3066" t="s">
        <v>2601</v>
      </c>
    </row>
    <row r="2" spans="1:13" ht="19.5" customHeight="1">
      <c r="A2" s="3068" t="s">
        <v>2602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2618</v>
      </c>
      <c r="B18" s="3090"/>
      <c r="C18" s="3091"/>
      <c r="D18" s="3091"/>
      <c r="E18" s="3090"/>
      <c r="F18" s="3091"/>
      <c r="G18" s="3091"/>
    </row>
    <row r="19" spans="1:13" ht="19.5" customHeight="1" thickBot="1">
      <c r="A19" s="3088" t="s">
        <v>2619</v>
      </c>
      <c r="B19" s="3093" t="s">
        <v>2620</v>
      </c>
      <c r="C19" s="3093" t="s">
        <v>2621</v>
      </c>
      <c r="D19" s="3094"/>
      <c r="E19" s="3088" t="s">
        <v>2622</v>
      </c>
      <c r="F19" s="3095"/>
      <c r="G19" s="3095"/>
    </row>
    <row r="20" spans="1:13" ht="19.5" customHeight="1">
      <c r="A20" s="3958" t="s">
        <v>2602</v>
      </c>
      <c r="B20" s="3953" t="s">
        <v>2623</v>
      </c>
      <c r="C20" s="3096" t="s">
        <v>2434</v>
      </c>
      <c r="D20" s="3097"/>
      <c r="E20" s="3098">
        <v>1</v>
      </c>
      <c r="F20" s="3099" t="s">
        <v>2435</v>
      </c>
      <c r="G20" s="3099"/>
    </row>
    <row r="21" spans="1:13" ht="19.5" customHeight="1">
      <c r="A21" s="3959"/>
      <c r="B21" s="3952"/>
      <c r="C21" s="3100" t="s">
        <v>2436</v>
      </c>
      <c r="D21" s="3101"/>
      <c r="E21" s="3102">
        <v>1</v>
      </c>
      <c r="F21" s="3099" t="s">
        <v>2437</v>
      </c>
      <c r="G21" s="3099"/>
    </row>
    <row r="22" spans="1:13" ht="19.5" customHeight="1">
      <c r="A22" s="3959"/>
      <c r="B22" s="3952"/>
      <c r="C22" s="3100" t="s">
        <v>2438</v>
      </c>
      <c r="D22" s="3101"/>
      <c r="E22" s="3102">
        <v>0.9</v>
      </c>
      <c r="F22" s="3099" t="s">
        <v>2439</v>
      </c>
      <c r="G22" s="3099"/>
    </row>
    <row r="23" spans="1:13" ht="19.5" customHeight="1">
      <c r="A23" s="3959"/>
      <c r="B23" s="3952"/>
      <c r="C23" s="3100" t="s">
        <v>2440</v>
      </c>
      <c r="D23" s="3101"/>
      <c r="E23" s="3102">
        <v>0.9</v>
      </c>
      <c r="F23" s="3099" t="s">
        <v>2441</v>
      </c>
      <c r="G23" s="3099"/>
    </row>
    <row r="24" spans="1:13" ht="19.5" customHeight="1">
      <c r="A24" s="3959"/>
      <c r="B24" s="3952"/>
      <c r="C24" s="3100" t="s">
        <v>2442</v>
      </c>
      <c r="D24" s="3101"/>
      <c r="E24" s="3102">
        <v>0.8</v>
      </c>
      <c r="F24" s="3099" t="s">
        <v>2443</v>
      </c>
      <c r="G24" s="3099"/>
    </row>
    <row r="25" spans="1:13" ht="19.5" customHeight="1" thickBot="1">
      <c r="A25" s="3960"/>
      <c r="B25" s="3954"/>
      <c r="C25" s="3103" t="s">
        <v>2444</v>
      </c>
      <c r="D25" s="3104"/>
      <c r="E25" s="3105">
        <v>0.8</v>
      </c>
      <c r="F25" s="3099" t="s">
        <v>2445</v>
      </c>
      <c r="G25" s="3099"/>
    </row>
    <row r="26" spans="1:13" ht="19.5" customHeight="1" thickBot="1">
      <c r="A26" s="3106" t="s">
        <v>2624</v>
      </c>
      <c r="B26" s="3107" t="s">
        <v>2623</v>
      </c>
      <c r="C26" s="3108" t="s">
        <v>2625</v>
      </c>
      <c r="D26" s="3109"/>
      <c r="E26" s="3110">
        <v>1</v>
      </c>
      <c r="F26" s="3099" t="s">
        <v>2446</v>
      </c>
      <c r="G26" s="3099"/>
    </row>
    <row r="27" spans="1:13" ht="19.5" customHeight="1">
      <c r="A27" s="3955" t="s">
        <v>2626</v>
      </c>
      <c r="B27" s="3953" t="s">
        <v>2607</v>
      </c>
      <c r="C27" s="3096" t="s">
        <v>2447</v>
      </c>
      <c r="D27" s="3097"/>
      <c r="E27" s="3098">
        <v>1</v>
      </c>
      <c r="F27" s="3099" t="s">
        <v>2448</v>
      </c>
      <c r="G27" s="3099"/>
    </row>
    <row r="28" spans="1:13" ht="19.5" customHeight="1">
      <c r="A28" s="3956"/>
      <c r="B28" s="3952"/>
      <c r="C28" s="3100" t="s">
        <v>2449</v>
      </c>
      <c r="D28" s="3101"/>
      <c r="E28" s="3102">
        <v>1</v>
      </c>
      <c r="F28" s="3099" t="s">
        <v>2450</v>
      </c>
      <c r="G28" s="3099"/>
    </row>
    <row r="29" spans="1:13" ht="19.5" customHeight="1">
      <c r="A29" s="3956"/>
      <c r="B29" s="3952"/>
      <c r="C29" s="3100" t="s">
        <v>2451</v>
      </c>
      <c r="D29" s="3101"/>
      <c r="E29" s="3102">
        <v>0.8</v>
      </c>
      <c r="F29" s="3099" t="s">
        <v>2452</v>
      </c>
      <c r="G29" s="3099"/>
    </row>
    <row r="30" spans="1:13" ht="19.5" customHeight="1">
      <c r="A30" s="3956"/>
      <c r="B30" s="3952"/>
      <c r="C30" s="3100" t="s">
        <v>2453</v>
      </c>
      <c r="D30" s="3101"/>
      <c r="E30" s="3102">
        <v>0.8</v>
      </c>
      <c r="F30" s="3099" t="s">
        <v>2454</v>
      </c>
      <c r="G30" s="3099"/>
    </row>
    <row r="31" spans="1:13" ht="19.5" customHeight="1">
      <c r="A31" s="3956"/>
      <c r="B31" s="3952"/>
      <c r="C31" s="3100" t="s">
        <v>2455</v>
      </c>
      <c r="D31" s="3101"/>
      <c r="E31" s="3102">
        <v>0.8</v>
      </c>
      <c r="F31" s="3099" t="s">
        <v>2456</v>
      </c>
      <c r="G31" s="3099"/>
    </row>
    <row r="32" spans="1:13" ht="19.5" customHeight="1">
      <c r="A32" s="3956"/>
      <c r="B32" s="3952"/>
      <c r="C32" s="3100" t="s">
        <v>2457</v>
      </c>
      <c r="D32" s="3101"/>
      <c r="E32" s="3102">
        <v>0.7</v>
      </c>
      <c r="F32" s="3099" t="s">
        <v>2458</v>
      </c>
      <c r="G32" s="3099"/>
    </row>
    <row r="33" spans="1:7" ht="19.5" customHeight="1">
      <c r="A33" s="3956"/>
      <c r="B33" s="3952"/>
      <c r="C33" s="3100" t="s">
        <v>2459</v>
      </c>
      <c r="D33" s="3101"/>
      <c r="E33" s="3102">
        <v>0.8</v>
      </c>
      <c r="F33" s="3099" t="s">
        <v>2460</v>
      </c>
      <c r="G33" s="3099"/>
    </row>
    <row r="34" spans="1:7" ht="19.5" customHeight="1">
      <c r="A34" s="3956"/>
      <c r="B34" s="3952"/>
      <c r="C34" s="3100" t="s">
        <v>2461</v>
      </c>
      <c r="D34" s="3101"/>
      <c r="E34" s="3102">
        <v>0.6</v>
      </c>
      <c r="F34" s="3099" t="s">
        <v>2462</v>
      </c>
      <c r="G34" s="3099"/>
    </row>
    <row r="35" spans="1:7" ht="19.5" customHeight="1">
      <c r="A35" s="3956"/>
      <c r="B35" s="3952"/>
      <c r="C35" s="3100" t="s">
        <v>2463</v>
      </c>
      <c r="D35" s="3101"/>
      <c r="E35" s="3102">
        <v>0.2</v>
      </c>
      <c r="F35" s="3099" t="s">
        <v>2464</v>
      </c>
      <c r="G35" s="3099"/>
    </row>
    <row r="36" spans="1:7" ht="19.5" customHeight="1">
      <c r="A36" s="3956"/>
      <c r="B36" s="3952"/>
      <c r="C36" s="3100" t="s">
        <v>2465</v>
      </c>
      <c r="D36" s="3101"/>
      <c r="E36" s="3102">
        <v>0.2</v>
      </c>
      <c r="F36" s="3099" t="s">
        <v>2466</v>
      </c>
      <c r="G36" s="3099"/>
    </row>
    <row r="37" spans="1:7" ht="19.5" customHeight="1">
      <c r="A37" s="3956"/>
      <c r="B37" s="3950" t="s">
        <v>2627</v>
      </c>
      <c r="C37" s="3100" t="s">
        <v>2467</v>
      </c>
      <c r="D37" s="3101"/>
      <c r="E37" s="3102">
        <v>0.6</v>
      </c>
      <c r="F37" s="3099" t="s">
        <v>2468</v>
      </c>
      <c r="G37" s="3099"/>
    </row>
    <row r="38" spans="1:7" ht="19.5" customHeight="1">
      <c r="A38" s="3956"/>
      <c r="B38" s="3952"/>
      <c r="C38" s="3100" t="s">
        <v>2469</v>
      </c>
      <c r="D38" s="3101"/>
      <c r="E38" s="3102">
        <v>0.6</v>
      </c>
      <c r="F38" s="3099" t="s">
        <v>2470</v>
      </c>
      <c r="G38" s="3099"/>
    </row>
    <row r="39" spans="1:7" ht="19.5" customHeight="1" thickBot="1">
      <c r="A39" s="3957"/>
      <c r="B39" s="3954"/>
      <c r="C39" s="3103" t="s">
        <v>2471</v>
      </c>
      <c r="D39" s="3104"/>
      <c r="E39" s="3105">
        <v>0.6</v>
      </c>
      <c r="F39" s="3099" t="s">
        <v>2472</v>
      </c>
      <c r="G39" s="3099"/>
    </row>
    <row r="40" spans="1:7" ht="19.5" customHeight="1" thickBot="1">
      <c r="A40" s="3106" t="s">
        <v>2604</v>
      </c>
      <c r="B40" s="3107" t="s">
        <v>2604</v>
      </c>
      <c r="C40" s="3108" t="s">
        <v>2628</v>
      </c>
      <c r="D40" s="3109"/>
      <c r="E40" s="3110">
        <v>1</v>
      </c>
      <c r="F40" s="3099" t="s">
        <v>2473</v>
      </c>
      <c r="G40" s="3099"/>
    </row>
    <row r="41" spans="1:7" ht="19.5" customHeight="1">
      <c r="A41" s="3958" t="s">
        <v>2605</v>
      </c>
      <c r="B41" s="3953" t="s">
        <v>2629</v>
      </c>
      <c r="C41" s="3096" t="s">
        <v>2474</v>
      </c>
      <c r="D41" s="3097"/>
      <c r="E41" s="3098">
        <v>1</v>
      </c>
      <c r="F41" s="3099" t="s">
        <v>2475</v>
      </c>
      <c r="G41" s="3099"/>
    </row>
    <row r="42" spans="1:7" ht="19.5" customHeight="1">
      <c r="A42" s="3959"/>
      <c r="B42" s="3952"/>
      <c r="C42" s="3100" t="s">
        <v>2476</v>
      </c>
      <c r="D42" s="3101"/>
      <c r="E42" s="3102">
        <v>1</v>
      </c>
      <c r="F42" s="3099" t="s">
        <v>2477</v>
      </c>
      <c r="G42" s="3099"/>
    </row>
    <row r="43" spans="1:7" ht="19.5" customHeight="1">
      <c r="A43" s="3959"/>
      <c r="B43" s="3951"/>
      <c r="C43" s="3100" t="s">
        <v>2478</v>
      </c>
      <c r="D43" s="3101"/>
      <c r="E43" s="3102">
        <v>1.5</v>
      </c>
      <c r="F43" s="3099" t="s">
        <v>2479</v>
      </c>
      <c r="G43" s="3099"/>
    </row>
    <row r="44" spans="1:7" ht="19.5" customHeight="1">
      <c r="A44" s="3959"/>
      <c r="B44" s="3111" t="s">
        <v>2630</v>
      </c>
      <c r="C44" s="3100" t="s">
        <v>2631</v>
      </c>
      <c r="D44" s="3101"/>
      <c r="E44" s="3102">
        <v>2</v>
      </c>
      <c r="F44" s="3099" t="s">
        <v>2480</v>
      </c>
      <c r="G44" s="3099"/>
    </row>
    <row r="45" spans="1:7" ht="19.5" customHeight="1">
      <c r="A45" s="3959"/>
      <c r="B45" s="3950" t="s">
        <v>2632</v>
      </c>
      <c r="C45" s="3100" t="s">
        <v>2481</v>
      </c>
      <c r="D45" s="3101"/>
      <c r="E45" s="3102">
        <v>1</v>
      </c>
      <c r="F45" s="3099" t="s">
        <v>2482</v>
      </c>
      <c r="G45" s="3099"/>
    </row>
    <row r="46" spans="1:7" ht="19.5" customHeight="1">
      <c r="A46" s="3959"/>
      <c r="B46" s="3952"/>
      <c r="C46" s="3100" t="s">
        <v>2483</v>
      </c>
      <c r="D46" s="3101"/>
      <c r="E46" s="3102">
        <v>1</v>
      </c>
      <c r="F46" s="3099" t="s">
        <v>2484</v>
      </c>
      <c r="G46" s="3099"/>
    </row>
    <row r="47" spans="1:7" ht="19.5" customHeight="1">
      <c r="A47" s="3959"/>
      <c r="B47" s="3952"/>
      <c r="C47" s="3100" t="s">
        <v>2485</v>
      </c>
      <c r="D47" s="3101"/>
      <c r="E47" s="3102">
        <v>1</v>
      </c>
      <c r="F47" s="3099" t="s">
        <v>2486</v>
      </c>
      <c r="G47" s="3099"/>
    </row>
    <row r="48" spans="1:7" ht="19.5" customHeight="1">
      <c r="A48" s="3959"/>
      <c r="B48" s="3952"/>
      <c r="C48" s="3100" t="s">
        <v>2487</v>
      </c>
      <c r="D48" s="3101"/>
      <c r="E48" s="3102">
        <v>1</v>
      </c>
      <c r="F48" s="3099" t="s">
        <v>2488</v>
      </c>
      <c r="G48" s="3099"/>
    </row>
    <row r="49" spans="1:7" ht="19.5" customHeight="1">
      <c r="A49" s="3959"/>
      <c r="B49" s="3952"/>
      <c r="C49" s="3100" t="s">
        <v>2489</v>
      </c>
      <c r="D49" s="3101"/>
      <c r="E49" s="3102">
        <v>1</v>
      </c>
      <c r="F49" s="3099" t="s">
        <v>2490</v>
      </c>
      <c r="G49" s="3099"/>
    </row>
    <row r="50" spans="1:7" ht="19.5" customHeight="1">
      <c r="A50" s="3959"/>
      <c r="B50" s="3952"/>
      <c r="C50" s="3100" t="s">
        <v>2491</v>
      </c>
      <c r="D50" s="3101"/>
      <c r="E50" s="3102">
        <v>1</v>
      </c>
      <c r="F50" s="3099" t="s">
        <v>2492</v>
      </c>
      <c r="G50" s="3099"/>
    </row>
    <row r="51" spans="1:7" ht="19.5" customHeight="1" thickBot="1">
      <c r="A51" s="3960"/>
      <c r="B51" s="3954"/>
      <c r="C51" s="3103" t="s">
        <v>2493</v>
      </c>
      <c r="D51" s="3104"/>
      <c r="E51" s="3105">
        <v>1</v>
      </c>
      <c r="F51" s="3099" t="s">
        <v>2494</v>
      </c>
      <c r="G51" s="3099"/>
    </row>
    <row r="52" spans="1:7" ht="19.5" customHeight="1">
      <c r="A52" s="3112"/>
      <c r="B52" s="3112"/>
      <c r="C52" s="3112"/>
      <c r="D52" s="3112"/>
      <c r="E52" s="3112"/>
      <c r="F52" s="3112"/>
      <c r="G52" s="3112"/>
    </row>
    <row r="54" spans="1:7" ht="19.5" customHeight="1">
      <c r="A54" s="3113"/>
      <c r="B54" s="3085" t="s">
        <v>2633</v>
      </c>
      <c r="C54" s="3085" t="s">
        <v>2633</v>
      </c>
      <c r="D54" s="3085" t="s">
        <v>2633</v>
      </c>
      <c r="E54" s="3088" t="s">
        <v>2633</v>
      </c>
      <c r="F54" s="3088" t="s">
        <v>2634</v>
      </c>
      <c r="G54" s="3088" t="s">
        <v>2635</v>
      </c>
    </row>
    <row r="55" spans="1:7" ht="19.5" customHeight="1">
      <c r="A55" s="3114"/>
      <c r="B55" s="3088" t="s">
        <v>2602</v>
      </c>
      <c r="C55" s="3088" t="s">
        <v>2602</v>
      </c>
      <c r="D55" s="3088" t="s">
        <v>2602</v>
      </c>
      <c r="E55" s="3085" t="s">
        <v>2603</v>
      </c>
      <c r="F55" s="3085" t="s">
        <v>2605</v>
      </c>
      <c r="G55" s="3085" t="s">
        <v>2636</v>
      </c>
    </row>
    <row r="56" spans="1:7" ht="19.5" customHeight="1">
      <c r="A56" s="3115"/>
      <c r="B56" s="3085">
        <v>1</v>
      </c>
      <c r="C56" s="3085">
        <v>2</v>
      </c>
      <c r="D56" s="3085">
        <v>3</v>
      </c>
      <c r="E56" s="3116" t="s">
        <v>2637</v>
      </c>
      <c r="F56" s="3116" t="s">
        <v>2637</v>
      </c>
      <c r="G56" s="3116" t="s">
        <v>2637</v>
      </c>
    </row>
    <row r="57" spans="1:7" ht="19.5" customHeight="1">
      <c r="A57" s="3117" t="s">
        <v>2590</v>
      </c>
      <c r="B57" s="3085">
        <v>0.7</v>
      </c>
      <c r="C57" s="3085">
        <v>0.4</v>
      </c>
      <c r="D57" s="3085">
        <v>0.3</v>
      </c>
      <c r="E57" s="3116">
        <v>0.3</v>
      </c>
      <c r="F57" s="3085">
        <v>0.3</v>
      </c>
      <c r="G57" s="3085">
        <v>0.2</v>
      </c>
    </row>
    <row r="58" spans="1:7" ht="19.5" customHeight="1">
      <c r="A58" s="3117" t="s">
        <v>2591</v>
      </c>
      <c r="B58" s="3085">
        <v>0.7</v>
      </c>
      <c r="C58" s="3085">
        <v>0.4</v>
      </c>
      <c r="D58" s="3085">
        <v>0.3</v>
      </c>
      <c r="E58" s="3085">
        <v>0.3</v>
      </c>
      <c r="F58" s="3085">
        <v>0.3</v>
      </c>
      <c r="G58" s="3085">
        <v>0.2</v>
      </c>
    </row>
    <row r="59" spans="1:7" ht="19.5" customHeight="1">
      <c r="A59" s="3117" t="s">
        <v>2592</v>
      </c>
      <c r="B59" s="3085">
        <v>0.6</v>
      </c>
      <c r="C59" s="3085">
        <v>0.3</v>
      </c>
      <c r="D59" s="3085">
        <v>0.25</v>
      </c>
      <c r="E59" s="3085">
        <v>0.25</v>
      </c>
      <c r="F59" s="3085">
        <v>0.25</v>
      </c>
      <c r="G59" s="3085">
        <v>0.15</v>
      </c>
    </row>
    <row r="60" spans="1:7" ht="19.5" customHeight="1">
      <c r="A60" s="3117" t="s">
        <v>2593</v>
      </c>
      <c r="B60" s="3085">
        <v>0.6</v>
      </c>
      <c r="C60" s="3085">
        <v>0.3</v>
      </c>
      <c r="D60" s="3085">
        <v>0.25</v>
      </c>
      <c r="E60" s="3085">
        <v>0.25</v>
      </c>
      <c r="F60" s="3085">
        <v>0.25</v>
      </c>
      <c r="G60" s="3085">
        <v>0.15</v>
      </c>
    </row>
    <row r="61" spans="1:7" ht="19.5" customHeight="1">
      <c r="A61" s="3117" t="s">
        <v>2594</v>
      </c>
      <c r="B61" s="3085">
        <v>0.6</v>
      </c>
      <c r="C61" s="3085">
        <v>0.3</v>
      </c>
      <c r="D61" s="3085">
        <v>0.25</v>
      </c>
      <c r="E61" s="3085">
        <v>0.25</v>
      </c>
      <c r="F61" s="3085">
        <v>0.25</v>
      </c>
      <c r="G61" s="3085">
        <v>0.15</v>
      </c>
    </row>
    <row r="62" spans="1:7" ht="19.5" customHeight="1">
      <c r="A62" s="3117" t="s">
        <v>2595</v>
      </c>
      <c r="B62" s="3085">
        <v>0.6</v>
      </c>
      <c r="C62" s="3085">
        <v>0.3</v>
      </c>
      <c r="D62" s="3085">
        <v>0.25</v>
      </c>
      <c r="E62" s="3085">
        <v>0.25</v>
      </c>
      <c r="F62" s="3085">
        <v>0.25</v>
      </c>
      <c r="G62" s="3085">
        <v>0.15</v>
      </c>
    </row>
    <row r="63" spans="1:7" ht="19.5" customHeight="1">
      <c r="A63" s="3117" t="s">
        <v>2596</v>
      </c>
      <c r="B63" s="3085">
        <v>0.6</v>
      </c>
      <c r="C63" s="3085">
        <v>0.3</v>
      </c>
      <c r="D63" s="3085">
        <v>0.25</v>
      </c>
      <c r="E63" s="3085">
        <v>0.25</v>
      </c>
      <c r="F63" s="3085">
        <v>0.25</v>
      </c>
      <c r="G63" s="3085">
        <v>0.15</v>
      </c>
    </row>
    <row r="64" spans="1:7" ht="19.5" customHeight="1">
      <c r="A64" s="3117" t="s">
        <v>2597</v>
      </c>
      <c r="B64" s="3085">
        <v>0.5</v>
      </c>
      <c r="C64" s="3085">
        <v>0.2</v>
      </c>
      <c r="D64" s="3085">
        <v>0.2</v>
      </c>
      <c r="E64" s="3085">
        <v>0.2</v>
      </c>
      <c r="F64" s="3085">
        <v>0.2</v>
      </c>
      <c r="G64" s="3085">
        <v>0.1</v>
      </c>
    </row>
    <row r="65" spans="1:7" ht="19.5" customHeight="1">
      <c r="A65" s="3117" t="s">
        <v>2598</v>
      </c>
      <c r="B65" s="3085">
        <v>0.5</v>
      </c>
      <c r="C65" s="3085">
        <v>0.2</v>
      </c>
      <c r="D65" s="3085">
        <v>0.2</v>
      </c>
      <c r="E65" s="3085">
        <v>0.2</v>
      </c>
      <c r="F65" s="3085">
        <v>0.2</v>
      </c>
      <c r="G65" s="3085">
        <v>0.1</v>
      </c>
    </row>
    <row r="66" spans="1:7" ht="19.5" customHeight="1">
      <c r="A66" s="3117" t="s">
        <v>2599</v>
      </c>
      <c r="B66" s="3085">
        <v>0.5</v>
      </c>
      <c r="C66" s="3085">
        <v>0.2</v>
      </c>
      <c r="D66" s="3085">
        <v>0.2</v>
      </c>
      <c r="E66" s="3085">
        <v>0.2</v>
      </c>
      <c r="F66" s="3085">
        <v>0.2</v>
      </c>
      <c r="G66" s="3085">
        <v>0.1</v>
      </c>
    </row>
    <row r="67" spans="1:7" ht="19.5" customHeight="1">
      <c r="A67" s="3117" t="s">
        <v>2600</v>
      </c>
      <c r="B67" s="3085">
        <v>0.5</v>
      </c>
      <c r="C67" s="3085">
        <v>0.2</v>
      </c>
      <c r="D67" s="3085">
        <v>0.2</v>
      </c>
      <c r="E67" s="3085">
        <v>0.2</v>
      </c>
      <c r="F67" s="3085">
        <v>0.2</v>
      </c>
      <c r="G67" s="3085">
        <v>0.1</v>
      </c>
    </row>
    <row r="68" spans="1:7" ht="19.5" customHeight="1">
      <c r="A68" s="3117" t="s">
        <v>2601</v>
      </c>
      <c r="B68" s="3085">
        <v>0.5</v>
      </c>
      <c r="C68" s="3085">
        <v>0.2</v>
      </c>
      <c r="D68" s="3085">
        <v>0.2</v>
      </c>
      <c r="E68" s="3085">
        <v>0.2</v>
      </c>
      <c r="F68" s="3085">
        <v>0.2</v>
      </c>
      <c r="G68" s="3085">
        <v>0.1</v>
      </c>
    </row>
    <row r="70" spans="1:7" ht="19.5" customHeight="1">
      <c r="A70" s="3118"/>
      <c r="B70" s="3119"/>
      <c r="C70" s="3119"/>
      <c r="D70" s="3119" t="s">
        <v>2638</v>
      </c>
      <c r="E70" s="3119"/>
      <c r="F70" s="3119"/>
    </row>
    <row r="71" spans="1:7" ht="19.5" customHeight="1">
      <c r="A71" s="3111" t="s">
        <v>2639</v>
      </c>
      <c r="B71" s="3111" t="s">
        <v>2640</v>
      </c>
      <c r="C71" s="3111" t="s">
        <v>2641</v>
      </c>
      <c r="D71" s="3111" t="s">
        <v>2642</v>
      </c>
      <c r="E71" s="3111" t="s">
        <v>2643</v>
      </c>
      <c r="F71" s="3111" t="s">
        <v>2644</v>
      </c>
    </row>
    <row r="72" spans="1:7" ht="13.5">
      <c r="A72" s="3111"/>
      <c r="B72" s="3111"/>
      <c r="C72" s="3111" t="s">
        <v>2645</v>
      </c>
      <c r="D72" s="3111"/>
      <c r="E72" s="3111" t="s">
        <v>2616</v>
      </c>
      <c r="F72" s="3111" t="s">
        <v>2616</v>
      </c>
    </row>
    <row r="73" spans="1:7" ht="13.5">
      <c r="A73" s="3111">
        <v>1</v>
      </c>
      <c r="B73" s="3950" t="s">
        <v>2646</v>
      </c>
      <c r="C73" s="3085" t="s">
        <v>2647</v>
      </c>
      <c r="D73" s="3085" t="s">
        <v>2648</v>
      </c>
      <c r="E73" s="3111">
        <v>0.2</v>
      </c>
      <c r="F73" s="3111">
        <v>25</v>
      </c>
    </row>
    <row r="74" spans="1:7" ht="24">
      <c r="A74" s="3111">
        <v>2</v>
      </c>
      <c r="B74" s="3952"/>
      <c r="C74" s="3085" t="s">
        <v>2649</v>
      </c>
      <c r="D74" s="3085" t="s">
        <v>2650</v>
      </c>
      <c r="E74" s="3111">
        <v>0.2</v>
      </c>
      <c r="F74" s="3111">
        <v>25</v>
      </c>
    </row>
    <row r="75" spans="1:7" ht="24">
      <c r="A75" s="3111">
        <v>3</v>
      </c>
      <c r="B75" s="3952"/>
      <c r="C75" s="3085" t="s">
        <v>2651</v>
      </c>
      <c r="D75" s="3085" t="s">
        <v>2652</v>
      </c>
      <c r="E75" s="3111">
        <v>0.2</v>
      </c>
      <c r="F75" s="3111">
        <v>25</v>
      </c>
    </row>
    <row r="76" spans="1:7" ht="13.5">
      <c r="A76" s="3111">
        <v>4</v>
      </c>
      <c r="B76" s="3952"/>
      <c r="C76" s="3085" t="s">
        <v>2653</v>
      </c>
      <c r="D76" s="3085" t="s">
        <v>2654</v>
      </c>
      <c r="E76" s="3111">
        <v>0.15</v>
      </c>
      <c r="F76" s="3111">
        <v>20</v>
      </c>
    </row>
    <row r="77" spans="1:7" ht="24">
      <c r="A77" s="3111">
        <v>5</v>
      </c>
      <c r="B77" s="3952"/>
      <c r="C77" s="3085" t="s">
        <v>2655</v>
      </c>
      <c r="D77" s="3085" t="s">
        <v>2656</v>
      </c>
      <c r="E77" s="3111">
        <v>0.15</v>
      </c>
      <c r="F77" s="3111">
        <v>20</v>
      </c>
    </row>
    <row r="78" spans="1:7" ht="24">
      <c r="A78" s="3111">
        <v>6</v>
      </c>
      <c r="B78" s="3952"/>
      <c r="C78" s="3085" t="s">
        <v>2657</v>
      </c>
      <c r="D78" s="3085" t="s">
        <v>2658</v>
      </c>
      <c r="E78" s="3111">
        <v>0.15</v>
      </c>
      <c r="F78" s="3111">
        <v>20</v>
      </c>
    </row>
    <row r="79" spans="1:7" ht="24">
      <c r="A79" s="3111">
        <v>7</v>
      </c>
      <c r="B79" s="3952"/>
      <c r="C79" s="3085" t="s">
        <v>2659</v>
      </c>
      <c r="D79" s="3085" t="s">
        <v>2660</v>
      </c>
      <c r="E79" s="3111">
        <v>0.15</v>
      </c>
      <c r="F79" s="3111">
        <v>20</v>
      </c>
    </row>
    <row r="80" spans="1:7" ht="24">
      <c r="A80" s="3111">
        <v>8</v>
      </c>
      <c r="B80" s="3952"/>
      <c r="C80" s="3085" t="s">
        <v>2661</v>
      </c>
      <c r="D80" s="3085" t="s">
        <v>2662</v>
      </c>
      <c r="E80" s="3111">
        <v>0.1</v>
      </c>
      <c r="F80" s="3111">
        <v>15</v>
      </c>
    </row>
    <row r="81" spans="1:6" ht="24">
      <c r="A81" s="3111">
        <v>9</v>
      </c>
      <c r="B81" s="3952"/>
      <c r="C81" s="3085" t="s">
        <v>2663</v>
      </c>
      <c r="D81" s="3085" t="s">
        <v>2664</v>
      </c>
      <c r="E81" s="3111">
        <v>0.1</v>
      </c>
      <c r="F81" s="3111">
        <v>15</v>
      </c>
    </row>
    <row r="82" spans="1:6" ht="24">
      <c r="A82" s="3111">
        <v>10</v>
      </c>
      <c r="B82" s="3952"/>
      <c r="C82" s="3085" t="s">
        <v>2665</v>
      </c>
      <c r="D82" s="3085" t="s">
        <v>2666</v>
      </c>
      <c r="E82" s="3111">
        <v>0.1</v>
      </c>
      <c r="F82" s="3111">
        <v>15</v>
      </c>
    </row>
    <row r="83" spans="1:6" ht="24">
      <c r="A83" s="3111">
        <v>11</v>
      </c>
      <c r="B83" s="3952"/>
      <c r="C83" s="3085" t="s">
        <v>2667</v>
      </c>
      <c r="D83" s="3085" t="s">
        <v>2668</v>
      </c>
      <c r="E83" s="3111">
        <v>0.1</v>
      </c>
      <c r="F83" s="3111">
        <v>15</v>
      </c>
    </row>
    <row r="84" spans="1:6" ht="24">
      <c r="A84" s="3111">
        <v>12</v>
      </c>
      <c r="B84" s="3952"/>
      <c r="C84" s="3085" t="s">
        <v>2669</v>
      </c>
      <c r="D84" s="3085" t="s">
        <v>2670</v>
      </c>
      <c r="E84" s="3111">
        <v>0.1</v>
      </c>
      <c r="F84" s="3111">
        <v>15</v>
      </c>
    </row>
    <row r="85" spans="1:6" ht="13.5">
      <c r="A85" s="3111">
        <v>13</v>
      </c>
      <c r="B85" s="3952"/>
      <c r="C85" s="3085" t="s">
        <v>2671</v>
      </c>
      <c r="D85" s="3085" t="s">
        <v>2672</v>
      </c>
      <c r="E85" s="3111">
        <v>0.1</v>
      </c>
      <c r="F85" s="3111">
        <v>15</v>
      </c>
    </row>
    <row r="86" spans="1:6" ht="13.5">
      <c r="A86" s="3111">
        <v>14</v>
      </c>
      <c r="B86" s="3952"/>
      <c r="C86" s="3085" t="s">
        <v>2673</v>
      </c>
      <c r="D86" s="3085" t="s">
        <v>2674</v>
      </c>
      <c r="E86" s="3111">
        <v>0.1</v>
      </c>
      <c r="F86" s="3111">
        <v>15</v>
      </c>
    </row>
    <row r="87" spans="1:6" ht="13.5">
      <c r="A87" s="3111">
        <v>15</v>
      </c>
      <c r="B87" s="3952"/>
      <c r="C87" s="3085" t="s">
        <v>2675</v>
      </c>
      <c r="D87" s="3085" t="s">
        <v>2676</v>
      </c>
      <c r="E87" s="3111">
        <v>0.1</v>
      </c>
      <c r="F87" s="3111">
        <v>15</v>
      </c>
    </row>
    <row r="88" spans="1:6" ht="24">
      <c r="A88" s="3111">
        <v>16</v>
      </c>
      <c r="B88" s="3952"/>
      <c r="C88" s="3085" t="s">
        <v>2677</v>
      </c>
      <c r="D88" s="3085" t="s">
        <v>2678</v>
      </c>
      <c r="E88" s="3111">
        <v>0.1</v>
      </c>
      <c r="F88" s="3111">
        <v>15</v>
      </c>
    </row>
    <row r="89" spans="1:6" ht="24">
      <c r="A89" s="3111">
        <v>17</v>
      </c>
      <c r="B89" s="3951"/>
      <c r="C89" s="3085" t="s">
        <v>2679</v>
      </c>
      <c r="D89" s="3085" t="s">
        <v>2680</v>
      </c>
      <c r="E89" s="3111">
        <v>0.1</v>
      </c>
      <c r="F89" s="3111">
        <v>15</v>
      </c>
    </row>
    <row r="90" spans="1:6" ht="13.5">
      <c r="A90" s="3111">
        <v>18</v>
      </c>
      <c r="B90" s="3950" t="s">
        <v>2681</v>
      </c>
      <c r="C90" s="3085" t="s">
        <v>2682</v>
      </c>
      <c r="D90" s="3085" t="s">
        <v>2683</v>
      </c>
      <c r="E90" s="3111">
        <v>0.2</v>
      </c>
      <c r="F90" s="3111">
        <v>25</v>
      </c>
    </row>
    <row r="91" spans="1:6" ht="24">
      <c r="A91" s="3111">
        <v>19</v>
      </c>
      <c r="B91" s="3952"/>
      <c r="C91" s="3085" t="s">
        <v>2684</v>
      </c>
      <c r="D91" s="3085" t="s">
        <v>2685</v>
      </c>
      <c r="E91" s="3111">
        <v>0.2</v>
      </c>
      <c r="F91" s="3111">
        <v>25</v>
      </c>
    </row>
    <row r="92" spans="1:6" ht="13.5">
      <c r="A92" s="3111">
        <v>20</v>
      </c>
      <c r="B92" s="3952"/>
      <c r="C92" s="3085" t="s">
        <v>2686</v>
      </c>
      <c r="D92" s="3085" t="s">
        <v>2687</v>
      </c>
      <c r="E92" s="3111">
        <v>0.15</v>
      </c>
      <c r="F92" s="3111">
        <v>20</v>
      </c>
    </row>
    <row r="93" spans="1:6" ht="13.5">
      <c r="A93" s="3111">
        <v>21</v>
      </c>
      <c r="B93" s="3952"/>
      <c r="C93" s="3085" t="s">
        <v>2688</v>
      </c>
      <c r="D93" s="3085" t="s">
        <v>2689</v>
      </c>
      <c r="E93" s="3111">
        <v>0.15</v>
      </c>
      <c r="F93" s="3111">
        <v>20</v>
      </c>
    </row>
    <row r="94" spans="1:6" ht="13.5">
      <c r="A94" s="3111">
        <v>22</v>
      </c>
      <c r="B94" s="3952"/>
      <c r="C94" s="3085" t="s">
        <v>2690</v>
      </c>
      <c r="D94" s="3085" t="s">
        <v>2691</v>
      </c>
      <c r="E94" s="3111">
        <v>0.15</v>
      </c>
      <c r="F94" s="3111">
        <v>20</v>
      </c>
    </row>
    <row r="95" spans="1:6" ht="36">
      <c r="A95" s="3111">
        <v>23</v>
      </c>
      <c r="B95" s="3952"/>
      <c r="C95" s="3085" t="s">
        <v>2692</v>
      </c>
      <c r="D95" s="3085" t="s">
        <v>2693</v>
      </c>
      <c r="E95" s="3111">
        <v>0.15</v>
      </c>
      <c r="F95" s="3111">
        <v>20</v>
      </c>
    </row>
    <row r="96" spans="1:6" ht="13.5">
      <c r="A96" s="3111">
        <v>24</v>
      </c>
      <c r="B96" s="3952"/>
      <c r="C96" s="3085" t="s">
        <v>2694</v>
      </c>
      <c r="D96" s="3085" t="s">
        <v>2695</v>
      </c>
      <c r="E96" s="3111">
        <v>0.1</v>
      </c>
      <c r="F96" s="3111">
        <v>15</v>
      </c>
    </row>
    <row r="97" spans="1:6" ht="13.5">
      <c r="A97" s="3111">
        <v>25</v>
      </c>
      <c r="B97" s="3952"/>
      <c r="C97" s="3085" t="s">
        <v>2696</v>
      </c>
      <c r="D97" s="3085" t="s">
        <v>2697</v>
      </c>
      <c r="E97" s="3111">
        <v>0.1</v>
      </c>
      <c r="F97" s="3111">
        <v>15</v>
      </c>
    </row>
    <row r="98" spans="1:6" ht="24">
      <c r="A98" s="3111">
        <v>26</v>
      </c>
      <c r="B98" s="3952"/>
      <c r="C98" s="3085" t="s">
        <v>2698</v>
      </c>
      <c r="D98" s="3085" t="s">
        <v>2699</v>
      </c>
      <c r="E98" s="3111">
        <v>0.1</v>
      </c>
      <c r="F98" s="3111">
        <v>15</v>
      </c>
    </row>
    <row r="99" spans="1:6" ht="24">
      <c r="A99" s="3111">
        <v>27</v>
      </c>
      <c r="B99" s="3952"/>
      <c r="C99" s="3085" t="s">
        <v>2700</v>
      </c>
      <c r="D99" s="3085" t="s">
        <v>2701</v>
      </c>
      <c r="E99" s="3111">
        <v>0.1</v>
      </c>
      <c r="F99" s="3111">
        <v>15</v>
      </c>
    </row>
    <row r="100" spans="1:6" ht="13.5">
      <c r="A100" s="3111">
        <v>28</v>
      </c>
      <c r="B100" s="3952"/>
      <c r="C100" s="3085" t="s">
        <v>2702</v>
      </c>
      <c r="D100" s="3085" t="s">
        <v>2703</v>
      </c>
      <c r="E100" s="3111">
        <v>0.1</v>
      </c>
      <c r="F100" s="3111">
        <v>15</v>
      </c>
    </row>
    <row r="101" spans="1:6" ht="13.5">
      <c r="A101" s="3111">
        <v>29</v>
      </c>
      <c r="B101" s="3952"/>
      <c r="C101" s="3085" t="s">
        <v>2704</v>
      </c>
      <c r="D101" s="3085" t="s">
        <v>2705</v>
      </c>
      <c r="E101" s="3111">
        <v>0.1</v>
      </c>
      <c r="F101" s="3111">
        <v>15</v>
      </c>
    </row>
    <row r="102" spans="1:6" ht="13.5">
      <c r="A102" s="3111">
        <v>30</v>
      </c>
      <c r="B102" s="3952"/>
      <c r="C102" s="3085" t="s">
        <v>2706</v>
      </c>
      <c r="D102" s="3085" t="s">
        <v>2707</v>
      </c>
      <c r="E102" s="3111">
        <v>0.1</v>
      </c>
      <c r="F102" s="3111">
        <v>15</v>
      </c>
    </row>
    <row r="103" spans="1:6" ht="24">
      <c r="A103" s="3111">
        <v>31</v>
      </c>
      <c r="B103" s="3952"/>
      <c r="C103" s="3085" t="s">
        <v>2708</v>
      </c>
      <c r="D103" s="3085" t="s">
        <v>2709</v>
      </c>
      <c r="E103" s="3111">
        <v>0.1</v>
      </c>
      <c r="F103" s="3111">
        <v>15</v>
      </c>
    </row>
    <row r="104" spans="1:6" ht="24">
      <c r="A104" s="3111">
        <v>32</v>
      </c>
      <c r="B104" s="3952"/>
      <c r="C104" s="3085" t="s">
        <v>2710</v>
      </c>
      <c r="D104" s="3085" t="s">
        <v>2711</v>
      </c>
      <c r="E104" s="3111">
        <v>0.1</v>
      </c>
      <c r="F104" s="3111">
        <v>15</v>
      </c>
    </row>
    <row r="105" spans="1:6" ht="24">
      <c r="A105" s="3111">
        <v>33</v>
      </c>
      <c r="B105" s="3952"/>
      <c r="C105" s="3085" t="s">
        <v>2712</v>
      </c>
      <c r="D105" s="3085" t="s">
        <v>2713</v>
      </c>
      <c r="E105" s="3111">
        <v>0.1</v>
      </c>
      <c r="F105" s="3111">
        <v>15</v>
      </c>
    </row>
    <row r="106" spans="1:6" ht="24">
      <c r="A106" s="3111">
        <v>34</v>
      </c>
      <c r="B106" s="3951"/>
      <c r="C106" s="3085" t="s">
        <v>2714</v>
      </c>
      <c r="D106" s="3085" t="s">
        <v>2715</v>
      </c>
      <c r="E106" s="3111">
        <v>0.1</v>
      </c>
      <c r="F106" s="3111">
        <v>15</v>
      </c>
    </row>
    <row r="107" spans="1:6" ht="24">
      <c r="A107" s="3111">
        <v>35</v>
      </c>
      <c r="B107" s="3950" t="s">
        <v>2716</v>
      </c>
      <c r="C107" s="3111" t="s">
        <v>2717</v>
      </c>
      <c r="D107" s="3085" t="s">
        <v>2718</v>
      </c>
      <c r="E107" s="3111">
        <v>0.15</v>
      </c>
      <c r="F107" s="3111">
        <v>20</v>
      </c>
    </row>
    <row r="108" spans="1:6" ht="13.5">
      <c r="A108" s="3111">
        <v>36</v>
      </c>
      <c r="B108" s="3952"/>
      <c r="C108" s="3111" t="s">
        <v>2719</v>
      </c>
      <c r="D108" s="3085" t="s">
        <v>2720</v>
      </c>
      <c r="E108" s="3111">
        <v>0.15</v>
      </c>
      <c r="F108" s="3111">
        <v>20</v>
      </c>
    </row>
    <row r="109" spans="1:6" ht="13.5">
      <c r="A109" s="3111">
        <v>37</v>
      </c>
      <c r="B109" s="3952"/>
      <c r="C109" s="3111" t="s">
        <v>2721</v>
      </c>
      <c r="D109" s="3085" t="s">
        <v>2722</v>
      </c>
      <c r="E109" s="3111">
        <v>0.15</v>
      </c>
      <c r="F109" s="3111">
        <v>20</v>
      </c>
    </row>
    <row r="110" spans="1:6" ht="13.5">
      <c r="A110" s="3111">
        <v>38</v>
      </c>
      <c r="B110" s="3952"/>
      <c r="C110" s="3111" t="s">
        <v>2723</v>
      </c>
      <c r="D110" s="3085" t="s">
        <v>2724</v>
      </c>
      <c r="E110" s="3111">
        <v>0.1</v>
      </c>
      <c r="F110" s="3111">
        <v>15</v>
      </c>
    </row>
    <row r="111" spans="1:6" ht="24">
      <c r="A111" s="3111">
        <v>39</v>
      </c>
      <c r="B111" s="3952"/>
      <c r="C111" s="3111" t="s">
        <v>2725</v>
      </c>
      <c r="D111" s="3085" t="s">
        <v>2726</v>
      </c>
      <c r="E111" s="3111">
        <v>0.1</v>
      </c>
      <c r="F111" s="3111">
        <v>15</v>
      </c>
    </row>
    <row r="112" spans="1:6" ht="24">
      <c r="A112" s="3111">
        <v>40</v>
      </c>
      <c r="B112" s="3951"/>
      <c r="C112" s="3111" t="s">
        <v>2727</v>
      </c>
      <c r="D112" s="3085" t="s">
        <v>2728</v>
      </c>
      <c r="E112" s="3111">
        <v>0.1</v>
      </c>
      <c r="F112" s="3111">
        <v>15</v>
      </c>
    </row>
    <row r="113" spans="1:6" ht="13.5">
      <c r="A113" s="3111">
        <v>41</v>
      </c>
      <c r="B113" s="3949" t="s">
        <v>2729</v>
      </c>
      <c r="C113" s="3111" t="s">
        <v>2730</v>
      </c>
      <c r="D113" s="3085" t="s">
        <v>2731</v>
      </c>
      <c r="E113" s="3111">
        <v>0.1</v>
      </c>
      <c r="F113" s="3111">
        <v>15</v>
      </c>
    </row>
    <row r="114" spans="1:6" ht="13.5">
      <c r="A114" s="3111">
        <v>42</v>
      </c>
      <c r="B114" s="3949"/>
      <c r="C114" s="3111" t="s">
        <v>2732</v>
      </c>
      <c r="D114" s="3085" t="s">
        <v>2733</v>
      </c>
      <c r="E114" s="3111">
        <v>0.1</v>
      </c>
      <c r="F114" s="3111">
        <v>15</v>
      </c>
    </row>
    <row r="115" spans="1:6" ht="24">
      <c r="A115" s="3111">
        <v>43</v>
      </c>
      <c r="B115" s="3949"/>
      <c r="C115" s="3111" t="s">
        <v>2734</v>
      </c>
      <c r="D115" s="3085" t="s">
        <v>2735</v>
      </c>
      <c r="E115" s="3111">
        <v>0.1</v>
      </c>
      <c r="F115" s="3111">
        <v>15</v>
      </c>
    </row>
    <row r="116" spans="1:6" ht="13.5">
      <c r="A116" s="3111">
        <v>44</v>
      </c>
      <c r="B116" s="3950" t="s">
        <v>2736</v>
      </c>
      <c r="C116" s="3111" t="s">
        <v>2737</v>
      </c>
      <c r="D116" s="3085" t="s">
        <v>2738</v>
      </c>
      <c r="E116" s="3111">
        <v>0.1</v>
      </c>
      <c r="F116" s="3111">
        <v>15</v>
      </c>
    </row>
    <row r="117" spans="1:6" ht="24">
      <c r="A117" s="3111">
        <v>45</v>
      </c>
      <c r="B117" s="3951"/>
      <c r="C117" s="3085" t="s">
        <v>2739</v>
      </c>
      <c r="D117" s="3085" t="s">
        <v>2740</v>
      </c>
      <c r="E117" s="3111">
        <v>0.1</v>
      </c>
      <c r="F117" s="3111">
        <v>15</v>
      </c>
    </row>
    <row r="118" spans="1:6" ht="24">
      <c r="A118" s="3111">
        <v>46</v>
      </c>
      <c r="B118" s="3950" t="s">
        <v>2741</v>
      </c>
      <c r="C118" s="3111" t="s">
        <v>2742</v>
      </c>
      <c r="D118" s="3085" t="s">
        <v>2743</v>
      </c>
      <c r="E118" s="3111">
        <v>0.1</v>
      </c>
      <c r="F118" s="3111">
        <v>15</v>
      </c>
    </row>
    <row r="119" spans="1:6" ht="24">
      <c r="A119" s="3111">
        <v>47</v>
      </c>
      <c r="B119" s="3951"/>
      <c r="C119" s="3111" t="s">
        <v>2744</v>
      </c>
      <c r="D119" s="3085" t="s">
        <v>2745</v>
      </c>
      <c r="E119" s="3111">
        <v>0.1</v>
      </c>
      <c r="F119" s="3111">
        <v>15</v>
      </c>
    </row>
    <row r="120" spans="1:6" ht="13.5">
      <c r="A120" s="3111">
        <v>48</v>
      </c>
      <c r="B120" s="3950" t="s">
        <v>2746</v>
      </c>
      <c r="C120" s="3111" t="s">
        <v>2747</v>
      </c>
      <c r="D120" s="3085" t="s">
        <v>2748</v>
      </c>
      <c r="E120" s="3111">
        <v>0.1</v>
      </c>
      <c r="F120" s="3111">
        <v>15</v>
      </c>
    </row>
    <row r="121" spans="1:6" ht="13.5">
      <c r="A121" s="3111">
        <v>49</v>
      </c>
      <c r="B121" s="3951"/>
      <c r="C121" s="3111" t="s">
        <v>2749</v>
      </c>
      <c r="D121" s="3085" t="s">
        <v>2750</v>
      </c>
      <c r="E121" s="3111">
        <v>0.1</v>
      </c>
      <c r="F121" s="3111">
        <v>15</v>
      </c>
    </row>
    <row r="122" spans="1:6" ht="24">
      <c r="A122" s="3111">
        <v>50</v>
      </c>
      <c r="B122" s="3949" t="s">
        <v>2751</v>
      </c>
      <c r="C122" s="3111" t="s">
        <v>2752</v>
      </c>
      <c r="D122" s="3085" t="s">
        <v>2753</v>
      </c>
      <c r="E122" s="3111">
        <v>0.1</v>
      </c>
      <c r="F122" s="3111">
        <v>15</v>
      </c>
    </row>
    <row r="123" spans="1:6" ht="24">
      <c r="A123" s="3111">
        <v>51</v>
      </c>
      <c r="B123" s="3949"/>
      <c r="C123" s="3111" t="s">
        <v>2754</v>
      </c>
      <c r="D123" s="3085" t="s">
        <v>2755</v>
      </c>
      <c r="E123" s="3111">
        <v>0.1</v>
      </c>
      <c r="F123" s="3111">
        <v>15</v>
      </c>
    </row>
    <row r="124" spans="1:6" ht="24">
      <c r="A124" s="3111">
        <v>52</v>
      </c>
      <c r="B124" s="3949" t="s">
        <v>2756</v>
      </c>
      <c r="C124" s="3111" t="s">
        <v>2757</v>
      </c>
      <c r="D124" s="3085" t="s">
        <v>2758</v>
      </c>
      <c r="E124" s="3111">
        <v>0.1</v>
      </c>
      <c r="F124" s="3111">
        <v>15</v>
      </c>
    </row>
    <row r="125" spans="1:6" ht="24">
      <c r="A125" s="3111">
        <v>53</v>
      </c>
      <c r="B125" s="3949"/>
      <c r="C125" s="3111" t="s">
        <v>2759</v>
      </c>
      <c r="D125" s="3085" t="s">
        <v>2760</v>
      </c>
      <c r="E125" s="3111">
        <v>0.1</v>
      </c>
      <c r="F125" s="3111">
        <v>15</v>
      </c>
    </row>
    <row r="126" spans="1:6" ht="13.5">
      <c r="A126" s="3111">
        <v>54</v>
      </c>
      <c r="B126" s="3111" t="s">
        <v>2761</v>
      </c>
      <c r="C126" s="3111" t="s">
        <v>2762</v>
      </c>
      <c r="D126" s="3085" t="s">
        <v>2763</v>
      </c>
      <c r="E126" s="3111">
        <v>0.1</v>
      </c>
      <c r="F126" s="3111">
        <v>15</v>
      </c>
    </row>
    <row r="127" spans="1:6" ht="13.5">
      <c r="A127" s="3111">
        <v>55</v>
      </c>
      <c r="B127" s="3949" t="s">
        <v>2764</v>
      </c>
      <c r="C127" s="3111" t="s">
        <v>2765</v>
      </c>
      <c r="D127" s="3085" t="s">
        <v>2766</v>
      </c>
      <c r="E127" s="3111">
        <v>0.1</v>
      </c>
      <c r="F127" s="3111">
        <v>15</v>
      </c>
    </row>
    <row r="128" spans="1:6" ht="13.5">
      <c r="A128" s="3111">
        <v>56</v>
      </c>
      <c r="B128" s="3949"/>
      <c r="C128" s="3111" t="s">
        <v>2767</v>
      </c>
      <c r="D128" s="3085" t="s">
        <v>2768</v>
      </c>
      <c r="E128" s="3111">
        <v>0.1</v>
      </c>
      <c r="F128" s="3111">
        <v>15</v>
      </c>
    </row>
    <row r="129" spans="1:6" ht="24">
      <c r="A129" s="3111">
        <v>57</v>
      </c>
      <c r="B129" s="3949"/>
      <c r="C129" s="3111" t="s">
        <v>2769</v>
      </c>
      <c r="D129" s="3085" t="s">
        <v>2770</v>
      </c>
      <c r="E129" s="3111">
        <v>0.1</v>
      </c>
      <c r="F129" s="3111">
        <v>15</v>
      </c>
    </row>
    <row r="130" spans="1:6" ht="24">
      <c r="A130" s="3111">
        <v>58</v>
      </c>
      <c r="B130" s="3949" t="s">
        <v>2771</v>
      </c>
      <c r="C130" s="3111" t="s">
        <v>2772</v>
      </c>
      <c r="D130" s="3085" t="s">
        <v>2773</v>
      </c>
      <c r="E130" s="3111">
        <v>0.1</v>
      </c>
      <c r="F130" s="3111">
        <v>15</v>
      </c>
    </row>
    <row r="131" spans="1:6" ht="13.5">
      <c r="A131" s="3111">
        <v>59</v>
      </c>
      <c r="B131" s="3949"/>
      <c r="C131" s="3111" t="s">
        <v>2774</v>
      </c>
      <c r="D131" s="3085" t="s">
        <v>2775</v>
      </c>
      <c r="E131" s="3111">
        <v>0.1</v>
      </c>
      <c r="F131" s="3111">
        <v>15</v>
      </c>
    </row>
    <row r="132" spans="1:6" ht="13.5">
      <c r="A132" s="3111">
        <v>60</v>
      </c>
      <c r="B132" s="3950" t="s">
        <v>2776</v>
      </c>
      <c r="C132" s="3111" t="s">
        <v>2777</v>
      </c>
      <c r="D132" s="3085" t="s">
        <v>2778</v>
      </c>
      <c r="E132" s="3111">
        <v>0.1</v>
      </c>
      <c r="F132" s="3111">
        <v>15</v>
      </c>
    </row>
    <row r="133" spans="1:6" ht="13.5">
      <c r="A133" s="3111">
        <v>61</v>
      </c>
      <c r="B133" s="3951"/>
      <c r="C133" s="3111" t="s">
        <v>2779</v>
      </c>
      <c r="D133" s="3085" t="s">
        <v>2780</v>
      </c>
      <c r="E133" s="3111">
        <v>0.1</v>
      </c>
      <c r="F133" s="3111">
        <v>15</v>
      </c>
    </row>
    <row r="134" spans="1:6" ht="24">
      <c r="A134" s="3111">
        <v>62</v>
      </c>
      <c r="B134" s="3111" t="s">
        <v>2781</v>
      </c>
      <c r="C134" s="3111" t="s">
        <v>2782</v>
      </c>
      <c r="D134" s="3085" t="s">
        <v>2783</v>
      </c>
      <c r="E134" s="3111">
        <v>0.1</v>
      </c>
      <c r="F134" s="3111">
        <v>15</v>
      </c>
    </row>
    <row r="135" spans="1:6" ht="13.5">
      <c r="A135" s="3111">
        <v>63</v>
      </c>
      <c r="B135" s="3949" t="s">
        <v>2784</v>
      </c>
      <c r="C135" s="3111" t="s">
        <v>2785</v>
      </c>
      <c r="D135" s="3085" t="s">
        <v>2786</v>
      </c>
      <c r="E135" s="3111">
        <v>0.1</v>
      </c>
      <c r="F135" s="3111">
        <v>15</v>
      </c>
    </row>
    <row r="136" spans="1:6" ht="13.5">
      <c r="A136" s="3111">
        <v>64</v>
      </c>
      <c r="B136" s="3949"/>
      <c r="C136" s="3111" t="s">
        <v>2787</v>
      </c>
      <c r="D136" s="3085" t="s">
        <v>2788</v>
      </c>
      <c r="E136" s="3111">
        <v>0.1</v>
      </c>
      <c r="F136" s="3111">
        <v>15</v>
      </c>
    </row>
    <row r="137" spans="1:6" ht="13.5">
      <c r="A137" s="3111">
        <v>65</v>
      </c>
      <c r="B137" s="3111" t="s">
        <v>2789</v>
      </c>
      <c r="C137" s="3111" t="s">
        <v>2790</v>
      </c>
      <c r="D137" s="3085" t="s">
        <v>2791</v>
      </c>
      <c r="E137" s="3111">
        <v>0.1</v>
      </c>
      <c r="F137" s="3111">
        <v>15</v>
      </c>
    </row>
    <row r="138" spans="1:6" ht="13.5">
      <c r="A138" s="3111"/>
      <c r="B138" s="3111"/>
      <c r="C138" s="3111"/>
      <c r="D138" s="3111"/>
      <c r="E138" s="3111" t="s">
        <v>2792</v>
      </c>
      <c r="F138" s="3111"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2793</v>
      </c>
      <c r="B1" s="3120"/>
      <c r="C1" s="3120"/>
      <c r="D1" s="3120"/>
      <c r="E1" s="3120"/>
      <c r="F1" s="3120"/>
      <c r="G1" s="3120"/>
      <c r="H1" s="3120"/>
      <c r="I1" s="3120"/>
      <c r="J1" s="3120"/>
      <c r="K1" s="3120"/>
      <c r="L1" s="3120"/>
      <c r="M1" s="3120"/>
      <c r="N1" s="747"/>
    </row>
    <row r="2" spans="1:20">
      <c r="A2" s="3121" t="s">
        <v>2794</v>
      </c>
      <c r="B2" s="3122" t="s">
        <v>2590</v>
      </c>
      <c r="C2" s="3122" t="s">
        <v>2591</v>
      </c>
      <c r="D2" s="3122" t="s">
        <v>2592</v>
      </c>
      <c r="E2" s="3122" t="s">
        <v>2593</v>
      </c>
      <c r="F2" s="3122" t="s">
        <v>2594</v>
      </c>
      <c r="G2" s="3122" t="s">
        <v>2595</v>
      </c>
      <c r="H2" s="3123" t="s">
        <v>2596</v>
      </c>
      <c r="I2" s="3123" t="s">
        <v>2597</v>
      </c>
      <c r="J2" s="3124" t="s">
        <v>2598</v>
      </c>
      <c r="K2" s="3124" t="s">
        <v>2599</v>
      </c>
      <c r="L2" s="3124" t="s">
        <v>2600</v>
      </c>
      <c r="M2" s="3125" t="s">
        <v>2601</v>
      </c>
      <c r="Q2" s="3135" t="s">
        <v>2799</v>
      </c>
      <c r="R2" s="3135" t="s">
        <v>2800</v>
      </c>
      <c r="S2" s="3135" t="s">
        <v>2801</v>
      </c>
      <c r="T2" s="3135" t="s">
        <v>2802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2795</v>
      </c>
      <c r="B93" s="3120"/>
      <c r="C93" s="3120"/>
      <c r="D93" s="3120"/>
      <c r="E93" s="3120"/>
      <c r="F93" s="3120"/>
      <c r="G93" s="3120"/>
      <c r="H93" s="3120"/>
      <c r="I93" s="3120"/>
      <c r="J93" s="3120"/>
      <c r="K93" s="3120"/>
      <c r="L93" s="3120"/>
      <c r="M93" s="3120"/>
    </row>
    <row r="94" spans="1:20">
      <c r="A94" s="3121" t="s">
        <v>2794</v>
      </c>
      <c r="B94" s="3122" t="s">
        <v>2590</v>
      </c>
      <c r="C94" s="3122" t="s">
        <v>2591</v>
      </c>
      <c r="D94" s="3122" t="s">
        <v>2592</v>
      </c>
      <c r="E94" s="3122" t="s">
        <v>2593</v>
      </c>
      <c r="F94" s="3122" t="s">
        <v>2594</v>
      </c>
      <c r="G94" s="3122" t="s">
        <v>2595</v>
      </c>
      <c r="H94" s="3123" t="s">
        <v>2596</v>
      </c>
      <c r="I94" s="3123" t="s">
        <v>2597</v>
      </c>
      <c r="J94" s="3124" t="s">
        <v>2598</v>
      </c>
      <c r="K94" s="3124" t="s">
        <v>2599</v>
      </c>
      <c r="L94" s="3124" t="s">
        <v>2600</v>
      </c>
      <c r="M94" s="3125" t="s">
        <v>2601</v>
      </c>
      <c r="N94" s="748">
        <f>SUMPRODUCT((A95:A184=ROUNDDOWN(基准地价修正!G3,1))*(B94:M94=基准地价修正!G2)*(B95:M184))</f>
        <v>0</v>
      </c>
      <c r="Q94" s="3135" t="s">
        <v>2799</v>
      </c>
      <c r="R94" s="3135" t="s">
        <v>2800</v>
      </c>
      <c r="S94" s="3135" t="s">
        <v>2801</v>
      </c>
      <c r="T94" s="3135" t="s">
        <v>2802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2796</v>
      </c>
      <c r="B185" s="3120"/>
      <c r="C185" s="3120"/>
      <c r="D185" s="3120"/>
      <c r="E185" s="3120"/>
      <c r="F185" s="3120"/>
      <c r="G185" s="3120"/>
      <c r="H185" s="3120"/>
      <c r="I185" s="3120"/>
      <c r="J185" s="3120"/>
      <c r="K185" s="3120"/>
      <c r="L185" s="3120"/>
      <c r="M185" s="3120"/>
    </row>
    <row r="186" spans="1:20">
      <c r="A186" s="3121" t="s">
        <v>2794</v>
      </c>
      <c r="B186" s="3122" t="s">
        <v>2590</v>
      </c>
      <c r="C186" s="3122" t="s">
        <v>2591</v>
      </c>
      <c r="D186" s="3122" t="s">
        <v>2592</v>
      </c>
      <c r="E186" s="3122" t="s">
        <v>2593</v>
      </c>
      <c r="F186" s="3122" t="s">
        <v>2594</v>
      </c>
      <c r="G186" s="3122" t="s">
        <v>2595</v>
      </c>
      <c r="H186" s="3123" t="s">
        <v>2596</v>
      </c>
      <c r="I186" s="3123" t="s">
        <v>2597</v>
      </c>
      <c r="J186" s="3124" t="s">
        <v>2598</v>
      </c>
      <c r="K186" s="3124" t="s">
        <v>2599</v>
      </c>
      <c r="L186" s="3124" t="s">
        <v>2600</v>
      </c>
      <c r="M186" s="3125" t="s">
        <v>2601</v>
      </c>
      <c r="Q186" s="3135" t="s">
        <v>2799</v>
      </c>
      <c r="R186" s="3135" t="s">
        <v>2800</v>
      </c>
      <c r="S186" s="3135" t="s">
        <v>2801</v>
      </c>
      <c r="T186" s="3135" t="s">
        <v>2802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2797</v>
      </c>
      <c r="B277" s="3120"/>
      <c r="C277" s="3120"/>
      <c r="D277" s="3120"/>
      <c r="E277" s="3120"/>
      <c r="F277" s="3120"/>
      <c r="G277" s="3120"/>
      <c r="H277" s="3120"/>
      <c r="I277" s="3120"/>
      <c r="J277" s="3120"/>
      <c r="K277" s="3120"/>
      <c r="L277" s="3120"/>
      <c r="M277" s="3120"/>
    </row>
    <row r="278" spans="1:21">
      <c r="A278" s="3121" t="s">
        <v>2794</v>
      </c>
      <c r="B278" s="3122" t="s">
        <v>2590</v>
      </c>
      <c r="C278" s="3122" t="s">
        <v>2591</v>
      </c>
      <c r="D278" s="3122" t="s">
        <v>2592</v>
      </c>
      <c r="E278" s="3122" t="s">
        <v>2593</v>
      </c>
      <c r="F278" s="3122" t="s">
        <v>2594</v>
      </c>
      <c r="G278" s="3122" t="s">
        <v>2595</v>
      </c>
      <c r="H278" s="3123" t="s">
        <v>2596</v>
      </c>
      <c r="I278" s="3123" t="s">
        <v>2597</v>
      </c>
      <c r="J278" s="3124" t="s">
        <v>2598</v>
      </c>
      <c r="K278" s="3124" t="s">
        <v>2599</v>
      </c>
      <c r="L278" s="3124" t="s">
        <v>2600</v>
      </c>
      <c r="M278" s="3125" t="s">
        <v>2601</v>
      </c>
      <c r="Q278" s="3135" t="s">
        <v>2799</v>
      </c>
      <c r="R278" s="3135" t="s">
        <v>2800</v>
      </c>
      <c r="S278" s="3135" t="s">
        <v>2803</v>
      </c>
      <c r="T278" s="3135" t="s">
        <v>2804</v>
      </c>
      <c r="U278" s="3135" t="s">
        <v>2802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2798</v>
      </c>
      <c r="B369" s="3133"/>
      <c r="C369" s="3133"/>
      <c r="D369" s="3133"/>
      <c r="E369" s="3133"/>
      <c r="F369" s="3133"/>
      <c r="G369" s="3133"/>
      <c r="H369" s="3133"/>
      <c r="I369" s="3133"/>
      <c r="J369" s="3133"/>
      <c r="K369" s="3133"/>
      <c r="L369" s="3133"/>
      <c r="M369" s="3133"/>
    </row>
    <row r="370" spans="1:20">
      <c r="A370" s="3121" t="s">
        <v>2794</v>
      </c>
      <c r="B370" s="3122" t="s">
        <v>2590</v>
      </c>
      <c r="C370" s="3122" t="s">
        <v>2591</v>
      </c>
      <c r="D370" s="3122" t="s">
        <v>2592</v>
      </c>
      <c r="E370" s="3122" t="s">
        <v>2593</v>
      </c>
      <c r="F370" s="3122" t="s">
        <v>2594</v>
      </c>
      <c r="G370" s="3122" t="s">
        <v>2595</v>
      </c>
      <c r="H370" s="3123" t="s">
        <v>2596</v>
      </c>
      <c r="I370" s="3123" t="s">
        <v>2597</v>
      </c>
      <c r="J370" s="3124" t="s">
        <v>2598</v>
      </c>
      <c r="K370" s="3124" t="s">
        <v>2599</v>
      </c>
      <c r="L370" s="3124" t="s">
        <v>2600</v>
      </c>
      <c r="M370" s="3125" t="s">
        <v>2601</v>
      </c>
      <c r="N370" s="748">
        <f>SUMPRODUCT((A371:A460=ROUNDDOWN(基准地价修正!G3,1))*(B370:M370=基准地价修正!G2)*(B371:M460))</f>
        <v>0</v>
      </c>
      <c r="Q370" s="3135" t="s">
        <v>2799</v>
      </c>
      <c r="R370" s="3135" t="s">
        <v>2800</v>
      </c>
      <c r="S370" s="3135" t="s">
        <v>2801</v>
      </c>
      <c r="T370" s="3135" t="s">
        <v>2802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4"/>
      <c r="C2" s="3594"/>
      <c r="D2" s="3594"/>
      <c r="E2" s="3594"/>
    </row>
    <row r="3" spans="1:5" ht="18">
      <c r="A3" s="3595" t="str">
        <f>IF(项目基本情况!B9="房地产市场价值","估价结果一览表（市场价值不需“结果表-1”）","估价结果一览表")</f>
        <v>估价结果一览表</v>
      </c>
      <c r="B3" s="3595"/>
      <c r="C3" s="3595"/>
      <c r="D3" s="3595"/>
      <c r="E3" s="3595"/>
    </row>
    <row r="4" spans="1:5" ht="19.5" thickBot="1">
      <c r="A4" s="1491"/>
      <c r="B4" s="3593" t="s">
        <v>917</v>
      </c>
      <c r="C4" s="3593"/>
      <c r="D4" s="3593"/>
      <c r="E4" s="1491"/>
    </row>
    <row r="5" spans="1:5" ht="16.5" thickTop="1">
      <c r="A5" s="1489"/>
      <c r="B5" s="3591" t="s">
        <v>909</v>
      </c>
      <c r="C5" s="1492" t="s">
        <v>910</v>
      </c>
      <c r="D5" s="848">
        <f ca="1">结果表!H101</f>
        <v>0</v>
      </c>
      <c r="E5" s="1489"/>
    </row>
    <row r="6" spans="1:5" ht="15.75">
      <c r="A6" s="1489"/>
      <c r="B6" s="3591"/>
      <c r="C6" s="1492" t="s">
        <v>911</v>
      </c>
      <c r="D6" s="848" t="str">
        <f ca="1">NUMBERSTRING(INT(D5*10000),2)&amp;"元整"</f>
        <v>零元整</v>
      </c>
      <c r="E6" s="1489"/>
    </row>
    <row r="7" spans="1:5" ht="15.75">
      <c r="A7" s="1489"/>
      <c r="B7" s="3596"/>
      <c r="C7" s="1493" t="s">
        <v>912</v>
      </c>
      <c r="D7" s="849">
        <f ca="1">结果表!H102</f>
        <v>25041</v>
      </c>
      <c r="E7" s="1489"/>
    </row>
    <row r="8" spans="1:5" ht="15.75">
      <c r="A8" s="1489"/>
      <c r="B8" s="3597" t="str">
        <f>结果表!E103</f>
        <v>2.估价师知悉的法定优先受偿款</v>
      </c>
      <c r="C8" s="1494" t="s">
        <v>913</v>
      </c>
      <c r="D8" s="849">
        <f>结果表!H103</f>
        <v>0</v>
      </c>
      <c r="E8" s="1489"/>
    </row>
    <row r="9" spans="1:5" ht="15.75">
      <c r="A9" s="1489"/>
      <c r="B9" s="359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90" t="str">
        <f>结果表!E107</f>
        <v>3.房地产抵押价值</v>
      </c>
      <c r="C13" s="1497" t="s">
        <v>910</v>
      </c>
      <c r="D13" s="851">
        <f ca="1">结果表!H107</f>
        <v>0</v>
      </c>
      <c r="E13" s="1489"/>
    </row>
    <row r="14" spans="1:5" ht="15.75">
      <c r="A14" s="1489"/>
      <c r="B14" s="3591"/>
      <c r="C14" s="1492" t="s">
        <v>911</v>
      </c>
      <c r="D14" s="848" t="str">
        <f ca="1">NUMBERSTRING(INT(D13*10000),2)&amp;"元整"</f>
        <v>零元整</v>
      </c>
      <c r="E14" s="1489"/>
    </row>
    <row r="15" spans="1:5" ht="15">
      <c r="A15" s="1489"/>
      <c r="B15" s="3596"/>
      <c r="C15" s="1493" t="s">
        <v>921</v>
      </c>
      <c r="D15" s="857">
        <f ca="1">结果表!H108</f>
        <v>25041</v>
      </c>
      <c r="E15" s="1489"/>
    </row>
    <row r="16" spans="1:5" ht="15">
      <c r="A16" s="1489"/>
      <c r="B16" s="3597" t="str">
        <f>结果表!E109</f>
        <v>——</v>
      </c>
      <c r="C16" s="1497" t="s">
        <v>922</v>
      </c>
      <c r="D16" s="1498" t="str">
        <f>结果表!H109</f>
        <v>——</v>
      </c>
      <c r="E16" s="1489"/>
    </row>
    <row r="17" spans="1:5" ht="15.75">
      <c r="A17" s="1489"/>
      <c r="B17" s="3598"/>
      <c r="C17" s="1492" t="s">
        <v>923</v>
      </c>
      <c r="D17" s="848" t="e">
        <f>NUMBERSTRING(INT(D16*10000),2)&amp;"元整"</f>
        <v>#VALUE!</v>
      </c>
      <c r="E17" s="1489"/>
    </row>
    <row r="18" spans="1:5" ht="15">
      <c r="A18" s="1489"/>
      <c r="B18" s="3599"/>
      <c r="C18" s="1493" t="s">
        <v>912</v>
      </c>
      <c r="D18" s="857" t="str">
        <f>结果表!H110</f>
        <v>——</v>
      </c>
      <c r="E18" s="1489"/>
    </row>
    <row r="19" spans="1:5" ht="15.75">
      <c r="A19" s="1489"/>
      <c r="B19" s="3590" t="str">
        <f>结果表!E111</f>
        <v>——</v>
      </c>
      <c r="C19" s="1497" t="s">
        <v>910</v>
      </c>
      <c r="D19" s="849" t="str">
        <f>结果表!H111</f>
        <v>——</v>
      </c>
      <c r="E19" s="1489"/>
    </row>
    <row r="20" spans="1:5" ht="15.75">
      <c r="A20" s="1489"/>
      <c r="B20" s="3591"/>
      <c r="C20" s="1492" t="s">
        <v>923</v>
      </c>
      <c r="D20" s="848" t="e">
        <f>NUMBERSTRING(INT(D19*10000),2)&amp;"元整"</f>
        <v>#VALUE!</v>
      </c>
      <c r="E20" s="1489"/>
    </row>
    <row r="21" spans="1:5" ht="15.75" thickBot="1">
      <c r="A21" s="1489"/>
      <c r="B21" s="359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26932</v>
      </c>
      <c r="C2" s="2" t="s">
        <v>106</v>
      </c>
      <c r="D2" s="199"/>
      <c r="E2" s="199"/>
      <c r="F2" s="199"/>
      <c r="G2" s="199"/>
    </row>
    <row r="3" spans="1:7" s="200" customFormat="1" ht="18" customHeight="1" thickBot="1">
      <c r="A3" s="203" t="s">
        <v>58</v>
      </c>
      <c r="B3" s="204">
        <f ca="1">ROUND(B2*10000/'数据-汇总表'!E3,0)</f>
        <v>576912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9</v>
      </c>
      <c r="D10" s="843">
        <f>'数据-汇总表'!E6</f>
        <v>466.83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9</v>
      </c>
      <c r="D19" s="847">
        <f>'数据-汇总表'!E3</f>
        <v>466.83</v>
      </c>
      <c r="E19" s="211">
        <f>'数据-取费表'!B31</f>
        <v>200</v>
      </c>
      <c r="F19" s="231"/>
      <c r="G19" s="1" t="s">
        <v>436</v>
      </c>
    </row>
    <row r="20" spans="1:7" s="214" customFormat="1" ht="13.5" customHeight="1">
      <c r="A20" s="775" t="s">
        <v>419</v>
      </c>
      <c r="B20" s="210" t="s">
        <v>77</v>
      </c>
      <c r="C20" s="232">
        <f>ROUND((C5+C19)*F20,0)</f>
        <v>309</v>
      </c>
      <c r="D20" s="232"/>
      <c r="E20" s="232"/>
      <c r="F20" s="233">
        <f>'数据-取费表'!B37</f>
        <v>1.4999999999999999E-2</v>
      </c>
      <c r="G20" s="1065" t="s">
        <v>430</v>
      </c>
    </row>
    <row r="21" spans="1:7" s="214" customFormat="1" ht="13.5" customHeight="1">
      <c r="A21" s="775" t="s">
        <v>421</v>
      </c>
      <c r="B21" s="210" t="s">
        <v>78</v>
      </c>
      <c r="C21" s="235">
        <f>F21</f>
        <v>1.4999999999999999E-2</v>
      </c>
      <c r="D21" s="236" t="s">
        <v>99</v>
      </c>
      <c r="E21" s="232"/>
      <c r="F21" s="233">
        <f>'数据-取费表'!B38</f>
        <v>1.4999999999999999E-2</v>
      </c>
      <c r="G21" s="234" t="s">
        <v>79</v>
      </c>
    </row>
    <row r="22" spans="1:7" s="214" customFormat="1" ht="13.5" customHeight="1">
      <c r="A22" s="775" t="s">
        <v>341</v>
      </c>
      <c r="B22" s="210" t="s">
        <v>80</v>
      </c>
      <c r="C22" s="1102">
        <f ca="1">ROUND(SUM(C23:C25),0)</f>
        <v>861</v>
      </c>
      <c r="D22" s="235">
        <f ca="1">C26</f>
        <v>2.9999999999999997E-4</v>
      </c>
      <c r="E22" s="236" t="s">
        <v>99</v>
      </c>
      <c r="F22" s="237">
        <f ca="1">'数据-取费表'!B40</f>
        <v>4.1499999999999995E-2</v>
      </c>
      <c r="G22" s="1065" t="str">
        <f>IF('数据-取费表'!B22&lt;=1,"单利计息","复利计息")</f>
        <v>单利计息</v>
      </c>
    </row>
    <row r="23" spans="1:7" s="214" customFormat="1" ht="13.5" customHeight="1">
      <c r="A23" s="778" t="s">
        <v>349</v>
      </c>
      <c r="B23" s="215" t="s">
        <v>423</v>
      </c>
      <c r="C23" s="1103">
        <f ca="1">ROUND(IF('数据-取费表'!B22&lt;=1,C5*F22*'数据-取费表'!B23,C5*(POWER((1+F22),'数据-取费表'!B23)-1)),0)</f>
        <v>855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6</v>
      </c>
      <c r="D25" s="238"/>
      <c r="E25" s="241"/>
      <c r="F25" s="239"/>
      <c r="G25" s="242" t="s">
        <v>83</v>
      </c>
    </row>
    <row r="26" spans="1:7" s="214" customFormat="1">
      <c r="A26" s="778" t="s">
        <v>350</v>
      </c>
      <c r="B26" s="215" t="s">
        <v>422</v>
      </c>
      <c r="C26" s="238">
        <f ca="1">ROUND(IF('数据-取费表'!B22&lt;=1,F21*F22*'数据-取费表'!B23/2,F21*(POWER((1+F22),'数据-取费表'!B23/2)-1)),4)</f>
        <v>2.9999999999999997E-4</v>
      </c>
      <c r="D26" s="238"/>
      <c r="E26" s="241"/>
      <c r="F26" s="239"/>
      <c r="G26" s="243"/>
    </row>
    <row r="27" spans="1:7" s="214" customFormat="1" ht="24.75">
      <c r="A27" s="775" t="s">
        <v>342</v>
      </c>
      <c r="B27" s="244" t="s">
        <v>85</v>
      </c>
      <c r="C27" s="245">
        <f>C28</f>
        <v>3139</v>
      </c>
      <c r="D27" s="235">
        <f>C29</f>
        <v>2.3E-3</v>
      </c>
      <c r="E27" s="236" t="s">
        <v>99</v>
      </c>
      <c r="F27" s="246">
        <f>'数据-取费表'!Q16</f>
        <v>0.15</v>
      </c>
      <c r="G27" s="247" t="s">
        <v>431</v>
      </c>
    </row>
    <row r="28" spans="1:7" s="214" customFormat="1" ht="13.5" customHeight="1">
      <c r="A28" s="778" t="s">
        <v>349</v>
      </c>
      <c r="B28" s="248" t="s">
        <v>424</v>
      </c>
      <c r="C28" s="249">
        <f>ROUND((C5+C19+C20)*F27*'数据-取费表'!B21/'数据-取费表'!B20,0)</f>
        <v>3139</v>
      </c>
      <c r="D28" s="235"/>
      <c r="E28" s="236"/>
      <c r="F28" s="246"/>
      <c r="G28" s="247"/>
    </row>
    <row r="29" spans="1:7" s="214" customFormat="1" ht="13.5" customHeight="1">
      <c r="A29" s="778" t="s">
        <v>347</v>
      </c>
      <c r="B29" s="248" t="s">
        <v>425</v>
      </c>
      <c r="C29" s="238">
        <f>ROUND(C21*F27*'数据-取费表'!B21/'数据-取费表'!B20,4)</f>
        <v>2.3E-3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26831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117</v>
      </c>
      <c r="D34" s="217"/>
      <c r="E34" s="220"/>
      <c r="F34" s="257">
        <f>IF('数据-取费表'!B24=0,1,'数据-取费表'!N16)</f>
        <v>1</v>
      </c>
      <c r="G34" s="219" t="s">
        <v>89</v>
      </c>
    </row>
    <row r="35" spans="1:7" ht="13.5" customHeight="1">
      <c r="A35" s="778" t="s">
        <v>351</v>
      </c>
      <c r="B35" s="215" t="s">
        <v>33</v>
      </c>
      <c r="C35" s="220">
        <f>ROUND(C34*F35,0)</f>
        <v>4</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9</v>
      </c>
      <c r="D37" s="217">
        <f>'数据-汇总表'!E3</f>
        <v>466.83</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1.4999999999999999E-2</v>
      </c>
      <c r="D40" s="236" t="s">
        <v>102</v>
      </c>
      <c r="E40" s="232"/>
      <c r="F40" s="233"/>
      <c r="G40" s="234" t="s">
        <v>93</v>
      </c>
    </row>
    <row r="41" spans="1:7" s="214" customFormat="1" ht="13.5" customHeight="1">
      <c r="A41" s="775" t="s">
        <v>340</v>
      </c>
      <c r="B41" s="210" t="s">
        <v>80</v>
      </c>
      <c r="C41" s="232">
        <f ca="1">ROUND(SUM(C42:C43),0)</f>
        <v>3</v>
      </c>
      <c r="D41" s="235">
        <f ca="1">C44</f>
        <v>2.9999999999999997E-4</v>
      </c>
      <c r="E41" s="236" t="s">
        <v>102</v>
      </c>
      <c r="F41" s="237"/>
      <c r="G41" s="1065" t="str">
        <f>IF('数据-取费表'!B22&lt;=1,"单利计息","复利计息")</f>
        <v>单利计息</v>
      </c>
    </row>
    <row r="42" spans="1:7" ht="13.5" customHeight="1">
      <c r="A42" s="778" t="s">
        <v>349</v>
      </c>
      <c r="B42" s="215" t="s">
        <v>423</v>
      </c>
      <c r="C42" s="238">
        <f ca="1">ROUND(IF('数据-取费表'!B22&lt;=1,C33*F22*'数据-取费表'!B21/2,C33*(POWER((1+F22),'数据-取费表'!B21/2)-1)),0)</f>
        <v>3</v>
      </c>
      <c r="D42" s="238"/>
      <c r="E42" s="238"/>
      <c r="F42" s="239"/>
      <c r="G42" s="3771" t="s">
        <v>94</v>
      </c>
    </row>
    <row r="43" spans="1:7" ht="13.5" customHeight="1">
      <c r="A43" s="778" t="s">
        <v>347</v>
      </c>
      <c r="B43" s="215" t="s">
        <v>426</v>
      </c>
      <c r="C43" s="238">
        <f ca="1">ROUND(IF('数据-取费表'!B22&lt;=1,C39*F22*'数据-取费表'!B21/2,C39*(POWER((1+F22),'数据-取费表'!B21/2)-1)),0)</f>
        <v>0</v>
      </c>
      <c r="D43" s="238"/>
      <c r="E43" s="238"/>
      <c r="F43" s="239"/>
      <c r="G43" s="3772"/>
    </row>
    <row r="44" spans="1:7" ht="13.5" customHeight="1">
      <c r="A44" s="778" t="s">
        <v>348</v>
      </c>
      <c r="B44" s="215" t="s">
        <v>428</v>
      </c>
      <c r="C44" s="238">
        <f ca="1">ROUND(IF('数据-取费表'!B22&lt;=1,C40*F22*'数据-取费表'!B21/2,C40*(POWER((1+F22),'数据-取费表'!B21/2)-1)),4)</f>
        <v>2.9999999999999997E-4</v>
      </c>
      <c r="D44" s="238"/>
      <c r="E44" s="238"/>
      <c r="F44" s="239"/>
      <c r="G44" s="3773"/>
    </row>
    <row r="45" spans="1:7" s="214" customFormat="1" ht="13.5" customHeight="1">
      <c r="A45" s="775" t="s">
        <v>341</v>
      </c>
      <c r="B45" s="244" t="s">
        <v>85</v>
      </c>
      <c r="C45" s="245">
        <f>C46</f>
        <v>20</v>
      </c>
      <c r="D45" s="235">
        <f>C47</f>
        <v>2.3E-3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2.3E-3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169</v>
      </c>
      <c r="D49" s="232"/>
      <c r="E49" s="232"/>
      <c r="F49" s="264"/>
      <c r="G49" s="234" t="s">
        <v>435</v>
      </c>
    </row>
    <row r="50" spans="1:7" s="258" customFormat="1" ht="24">
      <c r="A50" s="775" t="s">
        <v>344</v>
      </c>
      <c r="B50" s="210" t="s">
        <v>97</v>
      </c>
      <c r="C50" s="232"/>
      <c r="D50" s="232"/>
      <c r="E50" s="232"/>
      <c r="F50" s="264">
        <f>IF('数据-取费表'!B24=0,'数据-取费表'!N16,1)</f>
        <v>0.6</v>
      </c>
      <c r="G50" s="247" t="s">
        <v>98</v>
      </c>
    </row>
    <row r="51" spans="1:7" ht="16.5" customHeight="1">
      <c r="A51" s="775" t="s">
        <v>345</v>
      </c>
      <c r="B51" s="210" t="s">
        <v>105</v>
      </c>
      <c r="C51" s="232">
        <f ca="1">ROUND(C49*F50,0)</f>
        <v>101</v>
      </c>
      <c r="D51" s="232"/>
      <c r="E51" s="232"/>
      <c r="F51" s="264"/>
      <c r="G51" s="234" t="s">
        <v>37</v>
      </c>
    </row>
    <row r="52" spans="1:7" s="208" customFormat="1" ht="16.5" thickBot="1">
      <c r="A52" s="265" t="s">
        <v>38</v>
      </c>
      <c r="B52" s="266"/>
      <c r="C52" s="267">
        <f ca="1">C31+C51</f>
        <v>26932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Normal="70" zoomScaleSheetLayoutView="100" workbookViewId="0">
      <selection activeCell="G13" sqref="G1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673</v>
      </c>
      <c r="E1" s="3421" t="s">
        <v>3392</v>
      </c>
      <c r="F1" s="1877" t="s">
        <v>3393</v>
      </c>
      <c r="G1" s="1233" t="s">
        <v>1661</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578.16899999999998</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686</v>
      </c>
      <c r="B3" s="558">
        <f>IF(C2="——",C49,ROUND(B2*10000/D3,0))</f>
        <v>12385</v>
      </c>
      <c r="C3" s="354" t="s">
        <v>1663</v>
      </c>
      <c r="D3" s="353">
        <f>IF(D1="",'数据-汇总表'!E3,SUMIF('数据-汇总表'!$C19:$C33,D1,'数据-汇总表'!$E19:$E33))</f>
        <v>466.83</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1664</v>
      </c>
      <c r="B4" s="356"/>
      <c r="C4" s="3818" t="s">
        <v>1665</v>
      </c>
      <c r="D4" s="3819"/>
      <c r="E4" s="3820" t="s">
        <v>1666</v>
      </c>
      <c r="F4" s="3821"/>
      <c r="G4" s="3818" t="s">
        <v>1667</v>
      </c>
      <c r="H4" s="3819"/>
      <c r="I4" s="3818" t="s">
        <v>1668</v>
      </c>
      <c r="J4" s="3819"/>
      <c r="K4" s="559" t="s">
        <v>1669</v>
      </c>
      <c r="L4" s="2708"/>
      <c r="M4" s="2709"/>
      <c r="N4" s="2709"/>
      <c r="O4" s="2709"/>
      <c r="P4" s="3822" t="s">
        <v>1670</v>
      </c>
      <c r="Q4" s="3823"/>
      <c r="R4" s="3828" t="s">
        <v>1666</v>
      </c>
      <c r="S4" s="3829"/>
      <c r="T4" s="3828" t="s">
        <v>1667</v>
      </c>
      <c r="U4" s="3829"/>
      <c r="V4" s="3834" t="s">
        <v>1668</v>
      </c>
      <c r="W4" s="3834"/>
      <c r="X4" s="3459"/>
      <c r="Y4" s="3828" t="s">
        <v>1670</v>
      </c>
      <c r="Z4" s="3829"/>
      <c r="AA4" s="3815" t="s">
        <v>1666</v>
      </c>
      <c r="AB4" s="3834" t="s">
        <v>1667</v>
      </c>
      <c r="AC4" s="3815" t="s">
        <v>1668</v>
      </c>
    </row>
    <row r="5" spans="1:29" ht="15">
      <c r="A5" s="358"/>
      <c r="B5" s="359"/>
      <c r="C5" s="3837" t="s">
        <v>1671</v>
      </c>
      <c r="D5" s="3838"/>
      <c r="E5" s="3844" t="s">
        <v>3658</v>
      </c>
      <c r="F5" s="3845"/>
      <c r="G5" s="3837" t="str">
        <f>租金案例!H37</f>
        <v>ID-PARK艾迪公园</v>
      </c>
      <c r="H5" s="3838"/>
      <c r="I5" s="3837" t="str">
        <f>租金案例!H38</f>
        <v>航城广场</v>
      </c>
      <c r="J5" s="3838"/>
      <c r="K5" s="559"/>
      <c r="L5" s="2708"/>
      <c r="M5" s="2709"/>
      <c r="N5" s="2709"/>
      <c r="O5" s="2709"/>
      <c r="P5" s="3824"/>
      <c r="Q5" s="3825"/>
      <c r="R5" s="3830"/>
      <c r="S5" s="3831"/>
      <c r="T5" s="3830"/>
      <c r="U5" s="3831"/>
      <c r="V5" s="3834"/>
      <c r="W5" s="3834"/>
      <c r="X5" s="3459"/>
      <c r="Y5" s="3830"/>
      <c r="Z5" s="3831"/>
      <c r="AA5" s="3816"/>
      <c r="AB5" s="3834"/>
      <c r="AC5" s="3816"/>
    </row>
    <row r="6" spans="1:29" ht="15.75" thickBot="1">
      <c r="A6" s="360"/>
      <c r="B6" s="361"/>
      <c r="C6" s="3835" t="s">
        <v>1675</v>
      </c>
      <c r="D6" s="3836"/>
      <c r="E6" s="3842" t="s">
        <v>1675</v>
      </c>
      <c r="F6" s="3843"/>
      <c r="G6" s="3835" t="s">
        <v>1675</v>
      </c>
      <c r="H6" s="3836"/>
      <c r="I6" s="3835" t="s">
        <v>1675</v>
      </c>
      <c r="J6" s="3836"/>
      <c r="K6" s="559" t="s">
        <v>1676</v>
      </c>
      <c r="L6" s="2708"/>
      <c r="M6" s="2709"/>
      <c r="N6" s="2709"/>
      <c r="O6" s="2709"/>
      <c r="P6" s="3826"/>
      <c r="Q6" s="3827"/>
      <c r="R6" s="3830"/>
      <c r="S6" s="3831"/>
      <c r="T6" s="3832"/>
      <c r="U6" s="3833"/>
      <c r="V6" s="3834"/>
      <c r="W6" s="3834"/>
      <c r="X6" s="3459"/>
      <c r="Y6" s="3832"/>
      <c r="Z6" s="3833"/>
      <c r="AA6" s="3817"/>
      <c r="AB6" s="3834"/>
      <c r="AC6" s="3817"/>
    </row>
    <row r="7" spans="1:29" s="108" customFormat="1" ht="15.75" thickBot="1">
      <c r="A7" s="362" t="s">
        <v>1677</v>
      </c>
      <c r="B7" s="363"/>
      <c r="C7" s="364">
        <f>'数据-取费表'!B2</f>
        <v>44971</v>
      </c>
      <c r="D7" s="365">
        <v>100</v>
      </c>
      <c r="E7" s="366">
        <v>44736</v>
      </c>
      <c r="F7" s="367">
        <f>SUMIF(58:58,YEAR(E7)&amp;"-"&amp;MONTH(E7),59:59)</f>
        <v>99.8</v>
      </c>
      <c r="G7" s="366">
        <v>44957</v>
      </c>
      <c r="H7" s="365">
        <f>SUMIF(58:58,YEAR(G7)&amp;"-"&amp;MONTH(G7),59:59)</f>
        <v>100</v>
      </c>
      <c r="I7" s="366">
        <v>44734</v>
      </c>
      <c r="J7" s="365">
        <f>SUMIF(58:58,YEAR(I7)&amp;"-"&amp;MONTH(I7),59:59)</f>
        <v>99.8</v>
      </c>
      <c r="K7" s="560"/>
      <c r="L7" s="2710"/>
      <c r="M7" s="2711"/>
      <c r="N7" s="2711"/>
      <c r="O7" s="2711"/>
      <c r="P7" s="3839" t="s">
        <v>1678</v>
      </c>
      <c r="Q7" s="3841"/>
      <c r="R7" s="699" t="s">
        <v>14</v>
      </c>
      <c r="S7" s="700">
        <f t="shared" ref="S7:S15" si="0">F7</f>
        <v>99.8</v>
      </c>
      <c r="T7" s="699" t="s">
        <v>14</v>
      </c>
      <c r="U7" s="700">
        <f t="shared" ref="U7:U15" si="1">H7</f>
        <v>100</v>
      </c>
      <c r="V7" s="699" t="s">
        <v>14</v>
      </c>
      <c r="W7" s="700">
        <f t="shared" ref="W7:W15" si="2">J7</f>
        <v>99.8</v>
      </c>
      <c r="X7" s="701"/>
      <c r="Y7" s="3839" t="s">
        <v>1678</v>
      </c>
      <c r="Z7" s="3840"/>
      <c r="AA7" s="702">
        <f>D7/F7</f>
        <v>1.0020040080160322</v>
      </c>
      <c r="AB7" s="702">
        <f>D7/H7</f>
        <v>1</v>
      </c>
      <c r="AC7" s="702">
        <f>D7/J7</f>
        <v>1.0020040080160322</v>
      </c>
    </row>
    <row r="8" spans="1:29" s="108" customFormat="1" ht="15.75" thickBot="1">
      <c r="A8" s="362" t="s">
        <v>1679</v>
      </c>
      <c r="B8" s="363"/>
      <c r="C8" s="368" t="s">
        <v>3394</v>
      </c>
      <c r="D8" s="365">
        <v>100</v>
      </c>
      <c r="E8" s="368" t="s">
        <v>3394</v>
      </c>
      <c r="F8" s="367">
        <f>SUMIF(61:61,E8,62:62)-SUMIF(61:61,C8,62:62)+100</f>
        <v>100</v>
      </c>
      <c r="G8" s="368" t="s">
        <v>3394</v>
      </c>
      <c r="H8" s="365">
        <f>SUMIF(61:61,G8,62:62)-SUMIF(61:61,C8,62:62)+100</f>
        <v>100</v>
      </c>
      <c r="I8" s="368" t="s">
        <v>3394</v>
      </c>
      <c r="J8" s="365">
        <f>SUMIF(61:61,I8,62:62)-SUMIF(61:61,C8,62:62)+100</f>
        <v>100</v>
      </c>
      <c r="K8" s="560"/>
      <c r="L8" s="2710"/>
      <c r="M8" s="2711"/>
      <c r="N8" s="2711"/>
      <c r="O8" s="2711"/>
      <c r="P8" s="3839" t="s">
        <v>1681</v>
      </c>
      <c r="Q8" s="3840"/>
      <c r="R8" s="699" t="s">
        <v>14</v>
      </c>
      <c r="S8" s="700">
        <f t="shared" si="0"/>
        <v>100</v>
      </c>
      <c r="T8" s="699" t="s">
        <v>14</v>
      </c>
      <c r="U8" s="700">
        <f t="shared" si="1"/>
        <v>100</v>
      </c>
      <c r="V8" s="699" t="s">
        <v>14</v>
      </c>
      <c r="W8" s="700">
        <f t="shared" si="2"/>
        <v>100</v>
      </c>
      <c r="X8" s="701"/>
      <c r="Y8" s="3839" t="s">
        <v>1681</v>
      </c>
      <c r="Z8" s="3840"/>
      <c r="AA8" s="702">
        <f t="shared" ref="AA8:AA46" si="3">D8/F8</f>
        <v>1</v>
      </c>
      <c r="AB8" s="702">
        <f t="shared" ref="AB8:AB46" si="4">D8/H8</f>
        <v>1</v>
      </c>
      <c r="AC8" s="702">
        <f t="shared" ref="AC8:AC46" si="5">D8/J8</f>
        <v>1</v>
      </c>
    </row>
    <row r="9" spans="1:29" s="108" customFormat="1">
      <c r="A9" s="369" t="s">
        <v>1682</v>
      </c>
      <c r="B9" s="63" t="s">
        <v>1683</v>
      </c>
      <c r="C9" s="3443" t="s">
        <v>3633</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814" t="s">
        <v>1684</v>
      </c>
      <c r="Q9" s="3458" t="str">
        <f t="shared" ref="Q9:Q15" si="6">B9</f>
        <v>用途</v>
      </c>
      <c r="R9" s="699" t="s">
        <v>14</v>
      </c>
      <c r="S9" s="700">
        <f t="shared" si="0"/>
        <v>100</v>
      </c>
      <c r="T9" s="699" t="s">
        <v>14</v>
      </c>
      <c r="U9" s="700">
        <f t="shared" si="1"/>
        <v>100</v>
      </c>
      <c r="V9" s="699" t="s">
        <v>14</v>
      </c>
      <c r="W9" s="700">
        <f t="shared" si="2"/>
        <v>100</v>
      </c>
      <c r="X9" s="701"/>
      <c r="Y9" s="3679" t="s">
        <v>1685</v>
      </c>
      <c r="Z9" s="3457"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814"/>
      <c r="Q10" s="3458" t="str">
        <f t="shared" si="6"/>
        <v>土地使用年限（年）</v>
      </c>
      <c r="R10" s="699" t="s">
        <v>14</v>
      </c>
      <c r="S10" s="700">
        <f t="shared" si="0"/>
        <v>100</v>
      </c>
      <c r="T10" s="699" t="s">
        <v>14</v>
      </c>
      <c r="U10" s="700">
        <f t="shared" si="1"/>
        <v>100</v>
      </c>
      <c r="V10" s="699" t="s">
        <v>14</v>
      </c>
      <c r="W10" s="700">
        <f t="shared" si="2"/>
        <v>100</v>
      </c>
      <c r="X10" s="701"/>
      <c r="Y10" s="3679"/>
      <c r="Z10" s="3457" t="str">
        <f t="shared" si="7"/>
        <v>土地使用年限（年）</v>
      </c>
      <c r="AA10" s="702">
        <f t="shared" si="3"/>
        <v>1</v>
      </c>
      <c r="AB10" s="702">
        <f t="shared" si="4"/>
        <v>1</v>
      </c>
      <c r="AC10" s="702">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14"/>
      <c r="Q11" s="3458" t="str">
        <f t="shared" si="6"/>
        <v>容积率</v>
      </c>
      <c r="R11" s="699" t="s">
        <v>14</v>
      </c>
      <c r="S11" s="700">
        <f t="shared" si="0"/>
        <v>100</v>
      </c>
      <c r="T11" s="699" t="s">
        <v>14</v>
      </c>
      <c r="U11" s="700">
        <f t="shared" si="1"/>
        <v>100</v>
      </c>
      <c r="V11" s="699" t="s">
        <v>14</v>
      </c>
      <c r="W11" s="700">
        <f t="shared" si="2"/>
        <v>100</v>
      </c>
      <c r="X11" s="701"/>
      <c r="Y11" s="3679"/>
      <c r="Z11" s="3457"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14"/>
      <c r="Q12" s="3458">
        <f t="shared" si="6"/>
        <v>111</v>
      </c>
      <c r="R12" s="699" t="s">
        <v>14</v>
      </c>
      <c r="S12" s="700">
        <f t="shared" si="0"/>
        <v>100</v>
      </c>
      <c r="T12" s="699" t="s">
        <v>14</v>
      </c>
      <c r="U12" s="700">
        <f t="shared" si="1"/>
        <v>100</v>
      </c>
      <c r="V12" s="699" t="s">
        <v>14</v>
      </c>
      <c r="W12" s="700">
        <f t="shared" si="2"/>
        <v>100</v>
      </c>
      <c r="X12" s="701"/>
      <c r="Y12" s="3679"/>
      <c r="Z12" s="3457">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14"/>
      <c r="Q13" s="3458">
        <f t="shared" si="6"/>
        <v>111</v>
      </c>
      <c r="R13" s="699" t="s">
        <v>14</v>
      </c>
      <c r="S13" s="700">
        <f t="shared" si="0"/>
        <v>100</v>
      </c>
      <c r="T13" s="699" t="s">
        <v>14</v>
      </c>
      <c r="U13" s="700">
        <f t="shared" si="1"/>
        <v>100</v>
      </c>
      <c r="V13" s="699" t="s">
        <v>14</v>
      </c>
      <c r="W13" s="700">
        <f t="shared" si="2"/>
        <v>100</v>
      </c>
      <c r="X13" s="701"/>
      <c r="Y13" s="3679"/>
      <c r="Z13" s="3457">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14"/>
      <c r="Q14" s="3458">
        <f t="shared" si="6"/>
        <v>111</v>
      </c>
      <c r="R14" s="699" t="s">
        <v>14</v>
      </c>
      <c r="S14" s="700">
        <f t="shared" si="0"/>
        <v>100</v>
      </c>
      <c r="T14" s="699" t="s">
        <v>14</v>
      </c>
      <c r="U14" s="700">
        <f t="shared" si="1"/>
        <v>100</v>
      </c>
      <c r="V14" s="699" t="s">
        <v>14</v>
      </c>
      <c r="W14" s="700">
        <f t="shared" si="2"/>
        <v>100</v>
      </c>
      <c r="X14" s="701"/>
      <c r="Y14" s="3679"/>
      <c r="Z14" s="3457">
        <f t="shared" si="7"/>
        <v>111</v>
      </c>
      <c r="AA14" s="702">
        <f t="shared" si="3"/>
        <v>1</v>
      </c>
      <c r="AB14" s="702">
        <f t="shared" si="4"/>
        <v>1</v>
      </c>
      <c r="AC14" s="702">
        <f t="shared" si="5"/>
        <v>1</v>
      </c>
    </row>
    <row r="15" spans="1:29" ht="32.25" customHeight="1">
      <c r="A15" s="391" t="s">
        <v>1688</v>
      </c>
      <c r="B15" s="61" t="s">
        <v>1775</v>
      </c>
      <c r="C15" s="1894" t="str">
        <f>估价对象房地状况!C4</f>
        <v>周边以配套商业为主</v>
      </c>
      <c r="D15" s="392">
        <v>100</v>
      </c>
      <c r="E15" s="393"/>
      <c r="F15" s="394">
        <f>SUMIF(76:76,E16,77:77)-SUMIF(76:76,C16,77:77)+100</f>
        <v>105</v>
      </c>
      <c r="G15" s="395"/>
      <c r="H15" s="392">
        <f>SUMIF(76:76,G16,77:77)-SUMIF(76:76,C16,77:77)+100</f>
        <v>105</v>
      </c>
      <c r="I15" s="393"/>
      <c r="J15" s="392">
        <f>SUMIF(76:76,I16,77:77)-SUMIF(76:76,C16,77:77)+100</f>
        <v>110</v>
      </c>
      <c r="K15" s="563">
        <v>5</v>
      </c>
      <c r="L15" s="2715"/>
      <c r="M15" s="2709"/>
      <c r="N15" s="2709"/>
      <c r="O15" s="2709"/>
      <c r="P15" s="3812" t="s">
        <v>1689</v>
      </c>
      <c r="Q15" s="3462" t="str">
        <f t="shared" si="6"/>
        <v>商业繁华度</v>
      </c>
      <c r="R15" s="703" t="s">
        <v>14</v>
      </c>
      <c r="S15" s="704">
        <f t="shared" si="0"/>
        <v>105</v>
      </c>
      <c r="T15" s="703" t="s">
        <v>14</v>
      </c>
      <c r="U15" s="704">
        <f t="shared" si="1"/>
        <v>105</v>
      </c>
      <c r="V15" s="703" t="s">
        <v>14</v>
      </c>
      <c r="W15" s="704">
        <f t="shared" si="2"/>
        <v>110</v>
      </c>
      <c r="X15" s="3459"/>
      <c r="Y15" s="3805" t="s">
        <v>1689</v>
      </c>
      <c r="Z15" s="3460" t="str">
        <f t="shared" si="7"/>
        <v>商业繁华度</v>
      </c>
      <c r="AA15" s="3463">
        <f t="shared" si="3"/>
        <v>0.95238095238095233</v>
      </c>
      <c r="AB15" s="3463">
        <f t="shared" si="4"/>
        <v>0.95238095238095233</v>
      </c>
      <c r="AC15" s="3463">
        <f t="shared" si="5"/>
        <v>0.90909090909090906</v>
      </c>
    </row>
    <row r="16" spans="1:29" ht="15">
      <c r="A16" s="379"/>
      <c r="B16" s="397"/>
      <c r="C16" s="398" t="s">
        <v>3617</v>
      </c>
      <c r="D16" s="399"/>
      <c r="E16" s="398" t="s">
        <v>3616</v>
      </c>
      <c r="F16" s="400"/>
      <c r="G16" s="398" t="s">
        <v>3616</v>
      </c>
      <c r="H16" s="401"/>
      <c r="I16" s="398" t="s">
        <v>3396</v>
      </c>
      <c r="J16" s="399"/>
      <c r="K16" s="564"/>
      <c r="L16" s="2715"/>
      <c r="M16" s="2709"/>
      <c r="N16" s="2709"/>
      <c r="O16" s="2709"/>
      <c r="P16" s="3813"/>
      <c r="Q16" s="3462"/>
      <c r="R16" s="703"/>
      <c r="S16" s="704"/>
      <c r="T16" s="703"/>
      <c r="U16" s="704"/>
      <c r="V16" s="703"/>
      <c r="W16" s="704"/>
      <c r="X16" s="3459"/>
      <c r="Y16" s="3806"/>
      <c r="Z16" s="3460"/>
      <c r="AA16" s="3463">
        <v>1</v>
      </c>
      <c r="AB16" s="3463">
        <v>1</v>
      </c>
      <c r="AC16" s="3463">
        <v>1</v>
      </c>
    </row>
    <row r="17" spans="1:29" ht="85.5">
      <c r="A17" s="379"/>
      <c r="B17" s="402" t="s">
        <v>1257</v>
      </c>
      <c r="C17" s="1898" t="str">
        <f>估价对象房地状况!C6</f>
        <v>周边有359、空港1、3路等，周边道路密集一般，停车便捷程度一般，综合评价交通便捷度较差</v>
      </c>
      <c r="D17" s="401">
        <v>100</v>
      </c>
      <c r="E17" s="403"/>
      <c r="F17" s="404">
        <f>SUMIF(78:78,E18,79:79)-SUMIF(78:78,C18,79:79)+100</f>
        <v>103</v>
      </c>
      <c r="G17" s="405"/>
      <c r="H17" s="406">
        <f>SUMIF(78:78,G18,79:79)-SUMIF(78:78,C18,79:79)+100</f>
        <v>103</v>
      </c>
      <c r="I17" s="403"/>
      <c r="J17" s="406">
        <f>SUMIF(78:78,I18,79:79)-SUMIF(78:78,C18,79:79)+100</f>
        <v>103</v>
      </c>
      <c r="K17" s="563">
        <v>3</v>
      </c>
      <c r="L17" s="2715"/>
      <c r="M17" s="2709"/>
      <c r="N17" s="2709"/>
      <c r="O17" s="2709"/>
      <c r="P17" s="3813"/>
      <c r="Q17" s="3462" t="str">
        <f>B17</f>
        <v>交通便捷度</v>
      </c>
      <c r="R17" s="703" t="s">
        <v>14</v>
      </c>
      <c r="S17" s="704">
        <f>F17</f>
        <v>103</v>
      </c>
      <c r="T17" s="703" t="s">
        <v>14</v>
      </c>
      <c r="U17" s="704">
        <f>H17</f>
        <v>103</v>
      </c>
      <c r="V17" s="703" t="s">
        <v>14</v>
      </c>
      <c r="W17" s="704">
        <f>J17</f>
        <v>103</v>
      </c>
      <c r="X17" s="3459"/>
      <c r="Y17" s="3806"/>
      <c r="Z17" s="3460" t="str">
        <f>Q17</f>
        <v>交通便捷度</v>
      </c>
      <c r="AA17" s="3463">
        <f t="shared" si="3"/>
        <v>0.970873786407767</v>
      </c>
      <c r="AB17" s="3463">
        <f t="shared" si="4"/>
        <v>0.970873786407767</v>
      </c>
      <c r="AC17" s="3463">
        <f t="shared" si="5"/>
        <v>0.970873786407767</v>
      </c>
    </row>
    <row r="18" spans="1:29" ht="15">
      <c r="A18" s="379"/>
      <c r="B18" s="407"/>
      <c r="C18" s="1899" t="s">
        <v>3617</v>
      </c>
      <c r="D18" s="401"/>
      <c r="E18" s="398" t="s">
        <v>3616</v>
      </c>
      <c r="F18" s="404"/>
      <c r="G18" s="398" t="s">
        <v>3616</v>
      </c>
      <c r="H18" s="399"/>
      <c r="I18" s="398" t="s">
        <v>3616</v>
      </c>
      <c r="J18" s="399"/>
      <c r="K18" s="564"/>
      <c r="L18" s="2715"/>
      <c r="M18" s="2709"/>
      <c r="N18" s="2709"/>
      <c r="O18" s="2709"/>
      <c r="P18" s="3813"/>
      <c r="Q18" s="3462"/>
      <c r="R18" s="703"/>
      <c r="S18" s="704"/>
      <c r="T18" s="703"/>
      <c r="U18" s="704"/>
      <c r="V18" s="703"/>
      <c r="W18" s="704"/>
      <c r="X18" s="3459"/>
      <c r="Y18" s="3806"/>
      <c r="Z18" s="3460"/>
      <c r="AA18" s="3463">
        <v>1</v>
      </c>
      <c r="AB18" s="3463">
        <v>1</v>
      </c>
      <c r="AC18" s="3463">
        <v>1</v>
      </c>
    </row>
    <row r="19" spans="1:29" ht="99.75">
      <c r="A19" s="379"/>
      <c r="B19" s="402" t="s">
        <v>1776</v>
      </c>
      <c r="C19" s="1898" t="str">
        <f>估价对象房地状况!C7</f>
        <v>估价对象所在区域银行、购物场所、学校等公共配套设施齐备，综合评价公共配套设施水平一般。</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13"/>
      <c r="Q19" s="3462" t="str">
        <f>B19</f>
        <v>公共配套设施</v>
      </c>
      <c r="R19" s="703" t="s">
        <v>14</v>
      </c>
      <c r="S19" s="704">
        <f>F19</f>
        <v>100</v>
      </c>
      <c r="T19" s="703" t="s">
        <v>14</v>
      </c>
      <c r="U19" s="704">
        <f>H19</f>
        <v>100</v>
      </c>
      <c r="V19" s="703" t="s">
        <v>14</v>
      </c>
      <c r="W19" s="704">
        <f>J19</f>
        <v>100</v>
      </c>
      <c r="X19" s="3459"/>
      <c r="Y19" s="3806"/>
      <c r="Z19" s="3460" t="str">
        <f>Q19</f>
        <v>公共配套设施</v>
      </c>
      <c r="AA19" s="3463">
        <f t="shared" si="3"/>
        <v>1</v>
      </c>
      <c r="AB19" s="3463">
        <f t="shared" si="4"/>
        <v>1</v>
      </c>
      <c r="AC19" s="3463">
        <f t="shared" si="5"/>
        <v>1</v>
      </c>
    </row>
    <row r="20" spans="1:29" ht="15">
      <c r="A20" s="379"/>
      <c r="B20" s="407"/>
      <c r="C20" s="398" t="s">
        <v>3616</v>
      </c>
      <c r="D20" s="399"/>
      <c r="E20" s="398" t="s">
        <v>3616</v>
      </c>
      <c r="F20" s="400"/>
      <c r="G20" s="398" t="s">
        <v>3616</v>
      </c>
      <c r="H20" s="399"/>
      <c r="I20" s="398" t="s">
        <v>3616</v>
      </c>
      <c r="J20" s="399"/>
      <c r="K20" s="564"/>
      <c r="L20" s="2715"/>
      <c r="M20" s="2709"/>
      <c r="N20" s="2709"/>
      <c r="O20" s="2709"/>
      <c r="P20" s="3813"/>
      <c r="Q20" s="3462"/>
      <c r="R20" s="703"/>
      <c r="S20" s="704"/>
      <c r="T20" s="703"/>
      <c r="U20" s="704"/>
      <c r="V20" s="703"/>
      <c r="W20" s="704"/>
      <c r="X20" s="3459"/>
      <c r="Y20" s="3806"/>
      <c r="Z20" s="3460"/>
      <c r="AA20" s="3463">
        <v>1</v>
      </c>
      <c r="AB20" s="3463">
        <v>1</v>
      </c>
      <c r="AC20" s="3463">
        <v>1</v>
      </c>
    </row>
    <row r="21" spans="1:29" ht="42.75">
      <c r="A21" s="379"/>
      <c r="B21" s="1129" t="s">
        <v>1777</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13"/>
      <c r="Q21" s="3462" t="str">
        <f>B21</f>
        <v>基础设施水平</v>
      </c>
      <c r="R21" s="703" t="s">
        <v>14</v>
      </c>
      <c r="S21" s="704">
        <f>F21</f>
        <v>100</v>
      </c>
      <c r="T21" s="703" t="s">
        <v>14</v>
      </c>
      <c r="U21" s="704">
        <f>H21</f>
        <v>100</v>
      </c>
      <c r="V21" s="703" t="s">
        <v>14</v>
      </c>
      <c r="W21" s="704">
        <f>J21</f>
        <v>100</v>
      </c>
      <c r="X21" s="3459"/>
      <c r="Y21" s="3806"/>
      <c r="Z21" s="3460" t="str">
        <f>Q21</f>
        <v>基础设施水平</v>
      </c>
      <c r="AA21" s="3463">
        <f t="shared" ref="AA21" si="8">D21/F21</f>
        <v>1</v>
      </c>
      <c r="AB21" s="3463">
        <f t="shared" ref="AB21" si="9">D21/H21</f>
        <v>1</v>
      </c>
      <c r="AC21" s="3463">
        <f t="shared" ref="AC21" si="10">D21/J21</f>
        <v>1</v>
      </c>
    </row>
    <row r="22" spans="1:29" ht="15">
      <c r="A22" s="379"/>
      <c r="B22" s="1129"/>
      <c r="C22" s="1899" t="s">
        <v>3397</v>
      </c>
      <c r="D22" s="399"/>
      <c r="E22" s="1899" t="s">
        <v>3397</v>
      </c>
      <c r="F22" s="400"/>
      <c r="G22" s="1899" t="s">
        <v>3397</v>
      </c>
      <c r="H22" s="399"/>
      <c r="I22" s="1899" t="s">
        <v>3397</v>
      </c>
      <c r="J22" s="399"/>
      <c r="K22" s="1128"/>
      <c r="L22" s="2715"/>
      <c r="M22" s="2709"/>
      <c r="N22" s="2709"/>
      <c r="O22" s="2709"/>
      <c r="P22" s="3813"/>
      <c r="Q22" s="3462"/>
      <c r="R22" s="703"/>
      <c r="S22" s="704"/>
      <c r="T22" s="703"/>
      <c r="U22" s="704"/>
      <c r="V22" s="703"/>
      <c r="W22" s="704"/>
      <c r="X22" s="3459"/>
      <c r="Y22" s="3806"/>
      <c r="Z22" s="3460"/>
      <c r="AA22" s="3463">
        <v>1</v>
      </c>
      <c r="AB22" s="3463">
        <v>1</v>
      </c>
      <c r="AC22" s="3463">
        <v>1</v>
      </c>
    </row>
    <row r="23" spans="1:29" ht="85.5">
      <c r="A23" s="379"/>
      <c r="B23" s="402" t="s">
        <v>1259</v>
      </c>
      <c r="C23" s="1953" t="str">
        <f>估价对象房地状况!C9</f>
        <v>区域内有国航大学、天竺公园等自然及人文环境，综合评价自然及人文环境状况一般。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13"/>
      <c r="Q23" s="3462" t="str">
        <f>B23</f>
        <v>自然及人文环境</v>
      </c>
      <c r="R23" s="703" t="s">
        <v>14</v>
      </c>
      <c r="S23" s="704">
        <f>F23</f>
        <v>100</v>
      </c>
      <c r="T23" s="703" t="s">
        <v>14</v>
      </c>
      <c r="U23" s="704">
        <f>H23</f>
        <v>100</v>
      </c>
      <c r="V23" s="703" t="s">
        <v>14</v>
      </c>
      <c r="W23" s="704">
        <f>J23</f>
        <v>100</v>
      </c>
      <c r="X23" s="3459"/>
      <c r="Y23" s="3806"/>
      <c r="Z23" s="3460" t="str">
        <f>Q23</f>
        <v>自然及人文环境</v>
      </c>
      <c r="AA23" s="3463">
        <f t="shared" si="3"/>
        <v>1</v>
      </c>
      <c r="AB23" s="3463">
        <f t="shared" si="4"/>
        <v>1</v>
      </c>
      <c r="AC23" s="3463">
        <f t="shared" si="5"/>
        <v>1</v>
      </c>
    </row>
    <row r="24" spans="1:29" ht="15">
      <c r="A24" s="379"/>
      <c r="B24" s="407"/>
      <c r="C24" s="398" t="s">
        <v>3616</v>
      </c>
      <c r="D24" s="399"/>
      <c r="E24" s="398" t="s">
        <v>3616</v>
      </c>
      <c r="F24" s="400"/>
      <c r="G24" s="398" t="s">
        <v>3616</v>
      </c>
      <c r="H24" s="399"/>
      <c r="I24" s="398" t="s">
        <v>3616</v>
      </c>
      <c r="J24" s="399"/>
      <c r="K24" s="564"/>
      <c r="L24" s="2715"/>
      <c r="M24" s="2709"/>
      <c r="N24" s="2709"/>
      <c r="O24" s="2709"/>
      <c r="P24" s="3813"/>
      <c r="Q24" s="3462"/>
      <c r="R24" s="703"/>
      <c r="S24" s="704"/>
      <c r="T24" s="703"/>
      <c r="U24" s="704"/>
      <c r="V24" s="703"/>
      <c r="W24" s="704"/>
      <c r="X24" s="3459"/>
      <c r="Y24" s="3806"/>
      <c r="Z24" s="3460"/>
      <c r="AA24" s="3463">
        <v>1</v>
      </c>
      <c r="AB24" s="3463">
        <v>1</v>
      </c>
      <c r="AC24" s="3463">
        <v>1</v>
      </c>
    </row>
    <row r="25" spans="1:29" ht="15">
      <c r="A25" s="379"/>
      <c r="B25" s="375" t="s">
        <v>1778</v>
      </c>
      <c r="C25" s="565" t="s">
        <v>3634</v>
      </c>
      <c r="D25" s="386">
        <v>100</v>
      </c>
      <c r="E25" s="565" t="s">
        <v>3634</v>
      </c>
      <c r="F25" s="412">
        <f>SUMIF(86:86,E25,87:87)-SUMIF(86:86,C25,87:87)+100</f>
        <v>100</v>
      </c>
      <c r="G25" s="565" t="s">
        <v>3634</v>
      </c>
      <c r="H25" s="386">
        <f>SUMIF(86:86,G25,87:87)-SUMIF(86:86,C25,87:87)+100</f>
        <v>100</v>
      </c>
      <c r="I25" s="565" t="s">
        <v>3634</v>
      </c>
      <c r="J25" s="386">
        <f>SUMIF(86:86,I25,87:87)-SUMIF(86:86,C25,87:87)+100</f>
        <v>100</v>
      </c>
      <c r="K25" s="561"/>
      <c r="L25" s="2715"/>
      <c r="M25" s="2709"/>
      <c r="N25" s="2709"/>
      <c r="O25" s="2709"/>
      <c r="P25" s="3813"/>
      <c r="Q25" s="3462" t="str">
        <f t="shared" ref="Q25:Q46" si="11">B25</f>
        <v>临街状况</v>
      </c>
      <c r="R25" s="703" t="s">
        <v>14</v>
      </c>
      <c r="S25" s="704">
        <f>F25</f>
        <v>100</v>
      </c>
      <c r="T25" s="703" t="s">
        <v>14</v>
      </c>
      <c r="U25" s="704">
        <f>H25</f>
        <v>100</v>
      </c>
      <c r="V25" s="703" t="s">
        <v>14</v>
      </c>
      <c r="W25" s="704">
        <f>J25</f>
        <v>100</v>
      </c>
      <c r="X25" s="3459"/>
      <c r="Y25" s="3806"/>
      <c r="Z25" s="3460" t="str">
        <f>Q25</f>
        <v>临街状况</v>
      </c>
      <c r="AA25" s="3463">
        <f t="shared" si="3"/>
        <v>1</v>
      </c>
      <c r="AB25" s="3463">
        <f t="shared" si="4"/>
        <v>1</v>
      </c>
      <c r="AC25" s="3463">
        <f t="shared" si="5"/>
        <v>1</v>
      </c>
    </row>
    <row r="26" spans="1:29" ht="15">
      <c r="A26" s="379"/>
      <c r="B26" s="1131" t="s">
        <v>1779</v>
      </c>
      <c r="C26" s="3531" t="s">
        <v>3635</v>
      </c>
      <c r="D26" s="386">
        <v>100</v>
      </c>
      <c r="E26" s="3531" t="s">
        <v>3636</v>
      </c>
      <c r="F26" s="412">
        <f>SUMIF(88:88,E26,89:89)-SUMIF(88:88,C26,89:89)+100</f>
        <v>106</v>
      </c>
      <c r="G26" s="3531" t="s">
        <v>3636</v>
      </c>
      <c r="H26" s="386">
        <f>SUMIF(88:88,G26,89:89)-SUMIF(88:88,C26,89:89)+100</f>
        <v>106</v>
      </c>
      <c r="I26" s="3531" t="s">
        <v>3636</v>
      </c>
      <c r="J26" s="386">
        <f>SUMIF(88:88,I26,89:89)-SUMIF(88:88,C26,89:89)+100</f>
        <v>106</v>
      </c>
      <c r="K26" s="562"/>
      <c r="L26" s="2715"/>
      <c r="M26" s="2709"/>
      <c r="N26" s="2709"/>
      <c r="O26" s="2709"/>
      <c r="P26" s="3813"/>
      <c r="Q26" s="3462" t="str">
        <f t="shared" si="11"/>
        <v>平面位置/可视性</v>
      </c>
      <c r="R26" s="703" t="s">
        <v>14</v>
      </c>
      <c r="S26" s="704">
        <f>F26</f>
        <v>106</v>
      </c>
      <c r="T26" s="703" t="s">
        <v>14</v>
      </c>
      <c r="U26" s="704">
        <f>H26</f>
        <v>106</v>
      </c>
      <c r="V26" s="703" t="s">
        <v>14</v>
      </c>
      <c r="W26" s="704">
        <f>J26</f>
        <v>106</v>
      </c>
      <c r="X26" s="3459"/>
      <c r="Y26" s="3806"/>
      <c r="Z26" s="3460" t="str">
        <f>Q26</f>
        <v>平面位置/可视性</v>
      </c>
      <c r="AA26" s="3463">
        <f t="shared" si="3"/>
        <v>0.94339622641509435</v>
      </c>
      <c r="AB26" s="3463">
        <f t="shared" si="4"/>
        <v>0.94339622641509435</v>
      </c>
      <c r="AC26" s="3463">
        <f t="shared" si="5"/>
        <v>0.94339622641509435</v>
      </c>
    </row>
    <row r="27" spans="1:29" s="108" customFormat="1" ht="15">
      <c r="A27" s="382"/>
      <c r="B27" s="402" t="s">
        <v>1780</v>
      </c>
      <c r="C27" s="1954" t="s">
        <v>3618</v>
      </c>
      <c r="D27" s="413">
        <v>100</v>
      </c>
      <c r="E27" s="398" t="s">
        <v>3616</v>
      </c>
      <c r="F27" s="415">
        <f>SUMIF(90:90,E27,91:91)-SUMIF(90:90,C27,91:91)+100</f>
        <v>104</v>
      </c>
      <c r="G27" s="398" t="s">
        <v>3616</v>
      </c>
      <c r="H27" s="413">
        <f>SUMIF(90:90,G27,91:91)-SUMIF(90:90,C27,91:91)+100</f>
        <v>104</v>
      </c>
      <c r="I27" s="398" t="s">
        <v>3616</v>
      </c>
      <c r="J27" s="413">
        <f>SUMIF(90:90,I27,91:91)-SUMIF(90:90,C27,91:91)+100</f>
        <v>104</v>
      </c>
      <c r="K27" s="561">
        <f>'比较法-商业'!K27</f>
        <v>2</v>
      </c>
      <c r="L27" s="2710"/>
      <c r="M27" s="2711"/>
      <c r="N27" s="2711"/>
      <c r="O27" s="2711"/>
      <c r="P27" s="3813"/>
      <c r="Q27" s="3458" t="str">
        <f t="shared" si="11"/>
        <v>人流量</v>
      </c>
      <c r="R27" s="699" t="s">
        <v>14</v>
      </c>
      <c r="S27" s="700">
        <f>F27</f>
        <v>104</v>
      </c>
      <c r="T27" s="699" t="s">
        <v>14</v>
      </c>
      <c r="U27" s="700">
        <f>H27</f>
        <v>104</v>
      </c>
      <c r="V27" s="699" t="s">
        <v>14</v>
      </c>
      <c r="W27" s="700">
        <f>J27</f>
        <v>104</v>
      </c>
      <c r="X27" s="701"/>
      <c r="Y27" s="3806"/>
      <c r="Z27" s="3457" t="str">
        <f>Q27</f>
        <v>人流量</v>
      </c>
      <c r="AA27" s="3463">
        <f>D27/F27</f>
        <v>0.96153846153846156</v>
      </c>
      <c r="AB27" s="3463">
        <f>D27/H27</f>
        <v>0.96153846153846156</v>
      </c>
      <c r="AC27" s="3463">
        <f>D27/J27</f>
        <v>0.96153846153846156</v>
      </c>
    </row>
    <row r="28" spans="1:29" ht="15">
      <c r="A28" s="379"/>
      <c r="B28" s="375" t="s">
        <v>1781</v>
      </c>
      <c r="C28" s="565" t="s">
        <v>3637</v>
      </c>
      <c r="D28" s="386">
        <v>100</v>
      </c>
      <c r="E28" s="565" t="s">
        <v>3637</v>
      </c>
      <c r="F28" s="412">
        <f>SUMIF(92:92,E28,93:93)-SUMIF(92:92,C28,93:93)+100</f>
        <v>100</v>
      </c>
      <c r="G28" s="565" t="s">
        <v>3637</v>
      </c>
      <c r="H28" s="386">
        <f>SUMIF(92:92,G28,93:93)-SUMIF(92:92,C28,93:93)+100</f>
        <v>100</v>
      </c>
      <c r="I28" s="565" t="s">
        <v>3637</v>
      </c>
      <c r="J28" s="386">
        <f>SUMIF(92:92,I28,93:93)-SUMIF(92:92,C28,93:93)+100</f>
        <v>100</v>
      </c>
      <c r="K28" s="562"/>
      <c r="L28" s="2715"/>
      <c r="M28" s="2709"/>
      <c r="N28" s="2709"/>
      <c r="O28" s="2709"/>
      <c r="P28" s="3813"/>
      <c r="Q28" s="3462" t="str">
        <f t="shared" si="11"/>
        <v>楼层</v>
      </c>
      <c r="R28" s="703" t="s">
        <v>14</v>
      </c>
      <c r="S28" s="704">
        <f t="shared" ref="S28:S46" si="12">F28</f>
        <v>100</v>
      </c>
      <c r="T28" s="703" t="s">
        <v>14</v>
      </c>
      <c r="U28" s="704">
        <f t="shared" ref="U28:U46" si="13">H28</f>
        <v>100</v>
      </c>
      <c r="V28" s="703" t="s">
        <v>14</v>
      </c>
      <c r="W28" s="704">
        <f t="shared" ref="W28:W46" si="14">J28</f>
        <v>100</v>
      </c>
      <c r="X28" s="3459"/>
      <c r="Y28" s="3806"/>
      <c r="Z28" s="3460" t="str">
        <f t="shared" ref="Z28:Z46" si="15">Q28</f>
        <v>楼层</v>
      </c>
      <c r="AA28" s="3463">
        <f t="shared" si="3"/>
        <v>1</v>
      </c>
      <c r="AB28" s="3463">
        <f t="shared" si="4"/>
        <v>1</v>
      </c>
      <c r="AC28" s="3463">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13"/>
      <c r="Q29" s="3462">
        <f t="shared" si="11"/>
        <v>111</v>
      </c>
      <c r="R29" s="703" t="s">
        <v>14</v>
      </c>
      <c r="S29" s="704">
        <f t="shared" si="12"/>
        <v>100</v>
      </c>
      <c r="T29" s="703" t="s">
        <v>14</v>
      </c>
      <c r="U29" s="704">
        <f t="shared" si="13"/>
        <v>100</v>
      </c>
      <c r="V29" s="703" t="s">
        <v>14</v>
      </c>
      <c r="W29" s="704">
        <f t="shared" si="14"/>
        <v>100</v>
      </c>
      <c r="X29" s="3459"/>
      <c r="Y29" s="3806"/>
      <c r="Z29" s="3460">
        <f t="shared" si="15"/>
        <v>111</v>
      </c>
      <c r="AA29" s="3463">
        <f t="shared" si="3"/>
        <v>1</v>
      </c>
      <c r="AB29" s="3463">
        <f t="shared" si="4"/>
        <v>1</v>
      </c>
      <c r="AC29" s="3463">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13"/>
      <c r="Q30" s="3462">
        <f t="shared" si="11"/>
        <v>111</v>
      </c>
      <c r="R30" s="703" t="s">
        <v>14</v>
      </c>
      <c r="S30" s="704">
        <f t="shared" si="12"/>
        <v>100</v>
      </c>
      <c r="T30" s="703" t="s">
        <v>14</v>
      </c>
      <c r="U30" s="704">
        <f t="shared" si="13"/>
        <v>100</v>
      </c>
      <c r="V30" s="703" t="s">
        <v>14</v>
      </c>
      <c r="W30" s="704">
        <f t="shared" si="14"/>
        <v>100</v>
      </c>
      <c r="X30" s="3459"/>
      <c r="Y30" s="3806"/>
      <c r="Z30" s="3460">
        <f t="shared" si="15"/>
        <v>111</v>
      </c>
      <c r="AA30" s="3463">
        <f t="shared" si="3"/>
        <v>1</v>
      </c>
      <c r="AB30" s="3463">
        <f t="shared" si="4"/>
        <v>1</v>
      </c>
      <c r="AC30" s="3463">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13"/>
      <c r="Q31" s="3462">
        <f t="shared" si="11"/>
        <v>111</v>
      </c>
      <c r="R31" s="703" t="s">
        <v>14</v>
      </c>
      <c r="S31" s="704">
        <f t="shared" si="12"/>
        <v>100</v>
      </c>
      <c r="T31" s="703" t="s">
        <v>14</v>
      </c>
      <c r="U31" s="704">
        <f t="shared" si="13"/>
        <v>100</v>
      </c>
      <c r="V31" s="703" t="s">
        <v>14</v>
      </c>
      <c r="W31" s="704">
        <f t="shared" si="14"/>
        <v>100</v>
      </c>
      <c r="X31" s="3459"/>
      <c r="Y31" s="3806"/>
      <c r="Z31" s="3460">
        <f t="shared" si="15"/>
        <v>111</v>
      </c>
      <c r="AA31" s="3463">
        <f t="shared" si="3"/>
        <v>1</v>
      </c>
      <c r="AB31" s="3463">
        <f t="shared" si="4"/>
        <v>1</v>
      </c>
      <c r="AC31" s="3463">
        <f t="shared" si="5"/>
        <v>1</v>
      </c>
    </row>
    <row r="32" spans="1:29" ht="15">
      <c r="A32" s="391" t="s">
        <v>1692</v>
      </c>
      <c r="B32" s="63" t="s">
        <v>1782</v>
      </c>
      <c r="C32" s="1908" t="s">
        <v>3462</v>
      </c>
      <c r="D32" s="418">
        <v>100</v>
      </c>
      <c r="E32" s="1908" t="s">
        <v>3639</v>
      </c>
      <c r="F32" s="412">
        <f>SUMIF(100:100,E32,101:101)-SUMIF(100:100,C32,101:101)+100</f>
        <v>97</v>
      </c>
      <c r="G32" s="1908" t="s">
        <v>3639</v>
      </c>
      <c r="H32" s="386">
        <f>SUMIF(100:100,G32,101:101)-SUMIF(100:100,C32,101:101)+100</f>
        <v>97</v>
      </c>
      <c r="I32" s="1908" t="s">
        <v>3639</v>
      </c>
      <c r="J32" s="418">
        <f>SUMIF(100:100,I32,101:101)-SUMIF(100:100,C32,101:101)+100</f>
        <v>97</v>
      </c>
      <c r="K32" s="561">
        <v>3</v>
      </c>
      <c r="L32" s="2715"/>
      <c r="M32" s="2709"/>
      <c r="N32" s="2709"/>
      <c r="O32" s="2709"/>
      <c r="P32" s="3807" t="s">
        <v>1694</v>
      </c>
      <c r="Q32" s="3462" t="str">
        <f t="shared" si="11"/>
        <v>商业类型</v>
      </c>
      <c r="R32" s="703" t="s">
        <v>14</v>
      </c>
      <c r="S32" s="704">
        <f t="shared" si="12"/>
        <v>97</v>
      </c>
      <c r="T32" s="703" t="s">
        <v>14</v>
      </c>
      <c r="U32" s="704">
        <f t="shared" si="13"/>
        <v>97</v>
      </c>
      <c r="V32" s="703" t="s">
        <v>14</v>
      </c>
      <c r="W32" s="704">
        <f t="shared" si="14"/>
        <v>97</v>
      </c>
      <c r="X32" s="3459"/>
      <c r="Y32" s="3810" t="s">
        <v>1694</v>
      </c>
      <c r="Z32" s="3460" t="str">
        <f t="shared" si="15"/>
        <v>商业类型</v>
      </c>
      <c r="AA32" s="3463">
        <f t="shared" si="3"/>
        <v>1.0309278350515463</v>
      </c>
      <c r="AB32" s="3463">
        <f t="shared" si="4"/>
        <v>1.0309278350515463</v>
      </c>
      <c r="AC32" s="3463">
        <f t="shared" si="5"/>
        <v>1.0309278350515463</v>
      </c>
    </row>
    <row r="33" spans="1:29" s="422" customFormat="1" ht="15">
      <c r="A33" s="419"/>
      <c r="B33" s="375" t="s">
        <v>1695</v>
      </c>
      <c r="C33" s="420">
        <f>'数据-汇总表'!F19</f>
        <v>466.83</v>
      </c>
      <c r="D33" s="127">
        <v>100</v>
      </c>
      <c r="E33" s="381">
        <v>90.39</v>
      </c>
      <c r="F33" s="376">
        <f>LOOKUP(E33,103:103,104:104)-LOOKUP(C33,103:103,104:104)+100</f>
        <v>103</v>
      </c>
      <c r="G33" s="380">
        <v>113</v>
      </c>
      <c r="H33" s="127">
        <f>LOOKUP(G33,103:103,104:104)-LOOKUP(C33,103:103,104:104)+100</f>
        <v>102</v>
      </c>
      <c r="I33" s="380">
        <v>1114</v>
      </c>
      <c r="J33" s="127">
        <f>LOOKUP(I33,103:103,104:104)-LOOKUP(C33,103:103,104:104)+100</f>
        <v>98</v>
      </c>
      <c r="K33" s="562"/>
      <c r="L33" s="2714"/>
      <c r="M33" s="2716"/>
      <c r="N33" s="2716"/>
      <c r="O33" s="2716"/>
      <c r="P33" s="3808"/>
      <c r="Q33" s="705" t="str">
        <f t="shared" si="11"/>
        <v>项目建筑规模</v>
      </c>
      <c r="R33" s="706" t="s">
        <v>14</v>
      </c>
      <c r="S33" s="707">
        <f t="shared" si="12"/>
        <v>103</v>
      </c>
      <c r="T33" s="706" t="s">
        <v>14</v>
      </c>
      <c r="U33" s="707">
        <f t="shared" si="13"/>
        <v>102</v>
      </c>
      <c r="V33" s="706" t="s">
        <v>14</v>
      </c>
      <c r="W33" s="707">
        <f t="shared" si="14"/>
        <v>98</v>
      </c>
      <c r="X33" s="708"/>
      <c r="Y33" s="3810"/>
      <c r="Z33" s="709" t="str">
        <f t="shared" si="15"/>
        <v>项目建筑规模</v>
      </c>
      <c r="AA33" s="3463">
        <f t="shared" si="3"/>
        <v>0.970873786407767</v>
      </c>
      <c r="AB33" s="3463">
        <f t="shared" si="4"/>
        <v>0.98039215686274506</v>
      </c>
      <c r="AC33" s="3463">
        <f t="shared" si="5"/>
        <v>1.0204081632653061</v>
      </c>
    </row>
    <row r="34" spans="1:29" ht="15">
      <c r="A34" s="423"/>
      <c r="B34" s="375" t="s">
        <v>1696</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808"/>
      <c r="Q34" s="3462" t="str">
        <f t="shared" si="11"/>
        <v>建筑结构</v>
      </c>
      <c r="R34" s="703" t="s">
        <v>14</v>
      </c>
      <c r="S34" s="704">
        <f t="shared" si="12"/>
        <v>100</v>
      </c>
      <c r="T34" s="703" t="s">
        <v>14</v>
      </c>
      <c r="U34" s="704">
        <f t="shared" si="13"/>
        <v>100</v>
      </c>
      <c r="V34" s="703" t="s">
        <v>14</v>
      </c>
      <c r="W34" s="704">
        <f t="shared" si="14"/>
        <v>100</v>
      </c>
      <c r="X34" s="3459"/>
      <c r="Y34" s="3810"/>
      <c r="Z34" s="3460" t="str">
        <f t="shared" si="15"/>
        <v>建筑结构</v>
      </c>
      <c r="AA34" s="3463">
        <f t="shared" si="3"/>
        <v>1</v>
      </c>
      <c r="AB34" s="3463">
        <f t="shared" si="4"/>
        <v>1</v>
      </c>
      <c r="AC34" s="3463">
        <f t="shared" si="5"/>
        <v>1</v>
      </c>
    </row>
    <row r="35" spans="1:29" ht="15">
      <c r="A35" s="423"/>
      <c r="B35" s="375" t="s">
        <v>1783</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808"/>
      <c r="Q35" s="3462" t="str">
        <f t="shared" si="11"/>
        <v>公共部分装修</v>
      </c>
      <c r="R35" s="703" t="s">
        <v>14</v>
      </c>
      <c r="S35" s="704">
        <f t="shared" si="12"/>
        <v>100</v>
      </c>
      <c r="T35" s="703" t="s">
        <v>14</v>
      </c>
      <c r="U35" s="704">
        <f t="shared" si="13"/>
        <v>100</v>
      </c>
      <c r="V35" s="703" t="s">
        <v>14</v>
      </c>
      <c r="W35" s="704">
        <f t="shared" si="14"/>
        <v>100</v>
      </c>
      <c r="X35" s="3459"/>
      <c r="Y35" s="3810"/>
      <c r="Z35" s="3460" t="str">
        <f t="shared" si="15"/>
        <v>公共部分装修</v>
      </c>
      <c r="AA35" s="3463">
        <f t="shared" si="3"/>
        <v>1</v>
      </c>
      <c r="AB35" s="3463">
        <f t="shared" si="4"/>
        <v>1</v>
      </c>
      <c r="AC35" s="3463">
        <f t="shared" si="5"/>
        <v>1</v>
      </c>
    </row>
    <row r="36" spans="1:29" ht="15">
      <c r="A36" s="423"/>
      <c r="B36" s="375" t="s">
        <v>1784</v>
      </c>
      <c r="C36" s="425">
        <v>0.6</v>
      </c>
      <c r="D36" s="386">
        <v>100</v>
      </c>
      <c r="E36" s="425">
        <v>0.6</v>
      </c>
      <c r="F36" s="412">
        <f>LOOKUP(E36,110:110,111:111)-LOOKUP(C36,110:110,111:111)+100</f>
        <v>100</v>
      </c>
      <c r="G36" s="425">
        <v>0.6</v>
      </c>
      <c r="H36" s="412">
        <f>LOOKUP(G36,110:110,111:111)-LOOKUP(C36,110:110,111:111)+100</f>
        <v>100</v>
      </c>
      <c r="I36" s="425">
        <v>0.6</v>
      </c>
      <c r="J36" s="386">
        <f>LOOKUP(I36,110:110,111:111)-LOOKUP(C36,110:110,111:111)+100</f>
        <v>100</v>
      </c>
      <c r="K36" s="561"/>
      <c r="L36" s="2715"/>
      <c r="M36" s="2709"/>
      <c r="N36" s="2709"/>
      <c r="O36" s="2709"/>
      <c r="P36" s="3808"/>
      <c r="Q36" s="3462" t="str">
        <f t="shared" si="11"/>
        <v>成新度</v>
      </c>
      <c r="R36" s="703" t="s">
        <v>14</v>
      </c>
      <c r="S36" s="704">
        <f t="shared" si="12"/>
        <v>100</v>
      </c>
      <c r="T36" s="703" t="s">
        <v>14</v>
      </c>
      <c r="U36" s="704">
        <f t="shared" si="13"/>
        <v>100</v>
      </c>
      <c r="V36" s="703" t="s">
        <v>14</v>
      </c>
      <c r="W36" s="704">
        <f t="shared" si="14"/>
        <v>100</v>
      </c>
      <c r="X36" s="3459"/>
      <c r="Y36" s="3810"/>
      <c r="Z36" s="3460" t="str">
        <f t="shared" si="15"/>
        <v>成新度</v>
      </c>
      <c r="AA36" s="3463">
        <f t="shared" si="3"/>
        <v>1</v>
      </c>
      <c r="AB36" s="3463">
        <f t="shared" si="4"/>
        <v>1</v>
      </c>
      <c r="AC36" s="3463">
        <f t="shared" si="5"/>
        <v>1</v>
      </c>
    </row>
    <row r="37" spans="1:29" s="108" customFormat="1" ht="15">
      <c r="A37" s="424"/>
      <c r="B37" s="375" t="s">
        <v>1785</v>
      </c>
      <c r="C37" s="1904" t="s">
        <v>3640</v>
      </c>
      <c r="D37" s="127">
        <v>100</v>
      </c>
      <c r="E37" s="1904" t="s">
        <v>3640</v>
      </c>
      <c r="F37" s="412">
        <f>SUMIF(112:112,E37,113:113)-SUMIF(112:112,C37,113:113)+100</f>
        <v>100</v>
      </c>
      <c r="G37" s="1904" t="s">
        <v>3640</v>
      </c>
      <c r="H37" s="386">
        <f>SUMIF(112:112,G37,113:113)-SUMIF(112:112,C37,113:113)+100</f>
        <v>100</v>
      </c>
      <c r="I37" s="1904" t="s">
        <v>3640</v>
      </c>
      <c r="J37" s="386">
        <f>SUMIF(112:112,I37,113:113)-SUMIF(112:112,C37,113:113)+100</f>
        <v>100</v>
      </c>
      <c r="K37" s="561">
        <v>1</v>
      </c>
      <c r="L37" s="2710"/>
      <c r="M37" s="2711"/>
      <c r="N37" s="2711"/>
      <c r="O37" s="2711"/>
      <c r="P37" s="3808"/>
      <c r="Q37" s="3458" t="str">
        <f t="shared" si="11"/>
        <v>市政基础设施</v>
      </c>
      <c r="R37" s="699" t="s">
        <v>14</v>
      </c>
      <c r="S37" s="700">
        <f t="shared" si="12"/>
        <v>100</v>
      </c>
      <c r="T37" s="699" t="s">
        <v>14</v>
      </c>
      <c r="U37" s="700">
        <f t="shared" si="13"/>
        <v>100</v>
      </c>
      <c r="V37" s="699" t="s">
        <v>14</v>
      </c>
      <c r="W37" s="700">
        <f t="shared" si="14"/>
        <v>100</v>
      </c>
      <c r="X37" s="701"/>
      <c r="Y37" s="3810"/>
      <c r="Z37" s="3457" t="str">
        <f t="shared" si="15"/>
        <v>市政基础设施</v>
      </c>
      <c r="AA37" s="702">
        <f t="shared" si="3"/>
        <v>1</v>
      </c>
      <c r="AB37" s="702">
        <f t="shared" si="4"/>
        <v>1</v>
      </c>
      <c r="AC37" s="702">
        <f t="shared" si="5"/>
        <v>1</v>
      </c>
    </row>
    <row r="38" spans="1:29" ht="15">
      <c r="A38" s="423"/>
      <c r="B38" s="375" t="s">
        <v>1786</v>
      </c>
      <c r="C38" s="1904" t="s">
        <v>3629</v>
      </c>
      <c r="D38" s="386">
        <v>100</v>
      </c>
      <c r="E38" s="1904" t="s">
        <v>3629</v>
      </c>
      <c r="F38" s="412">
        <f>SUMIF(114:114,E38,115:115)-SUMIF(114:114,C38,115:115)+100</f>
        <v>100</v>
      </c>
      <c r="G38" s="1904" t="s">
        <v>3629</v>
      </c>
      <c r="H38" s="386">
        <f>SUMIF(114:114,G38,115:115)-SUMIF(114:114,C38,115:115)+100</f>
        <v>100</v>
      </c>
      <c r="I38" s="1904" t="s">
        <v>3629</v>
      </c>
      <c r="J38" s="386">
        <f>SUMIF(114:114,I38,115:115)-SUMIF(114:114,C38,115:115)+100</f>
        <v>100</v>
      </c>
      <c r="K38" s="561">
        <v>2</v>
      </c>
      <c r="L38" s="2715"/>
      <c r="M38" s="2709"/>
      <c r="N38" s="2709"/>
      <c r="O38" s="2709"/>
      <c r="P38" s="3808" t="s">
        <v>1694</v>
      </c>
      <c r="Q38" s="3462" t="str">
        <f t="shared" si="11"/>
        <v>业态</v>
      </c>
      <c r="R38" s="703" t="s">
        <v>14</v>
      </c>
      <c r="S38" s="704">
        <f t="shared" si="12"/>
        <v>100</v>
      </c>
      <c r="T38" s="703" t="s">
        <v>14</v>
      </c>
      <c r="U38" s="704">
        <f t="shared" si="13"/>
        <v>100</v>
      </c>
      <c r="V38" s="703" t="s">
        <v>14</v>
      </c>
      <c r="W38" s="704">
        <f t="shared" si="14"/>
        <v>100</v>
      </c>
      <c r="X38" s="3459"/>
      <c r="Y38" s="3810" t="s">
        <v>1694</v>
      </c>
      <c r="Z38" s="3460" t="str">
        <f t="shared" si="15"/>
        <v>业态</v>
      </c>
      <c r="AA38" s="3463">
        <f t="shared" si="3"/>
        <v>1</v>
      </c>
      <c r="AB38" s="3463">
        <f t="shared" si="4"/>
        <v>1</v>
      </c>
      <c r="AC38" s="3463">
        <f t="shared" si="5"/>
        <v>1</v>
      </c>
    </row>
    <row r="39" spans="1:29" ht="15">
      <c r="A39" s="423"/>
      <c r="B39" s="375" t="s">
        <v>1787</v>
      </c>
      <c r="C39" s="1904" t="s">
        <v>3627</v>
      </c>
      <c r="D39" s="386">
        <v>100</v>
      </c>
      <c r="E39" s="1904" t="s">
        <v>3627</v>
      </c>
      <c r="F39" s="412">
        <f>SUMIF(116:116,E39,117:117)-SUMIF(116:116,C39,117:117)+100</f>
        <v>100</v>
      </c>
      <c r="G39" s="1904" t="s">
        <v>3627</v>
      </c>
      <c r="H39" s="386">
        <f>SUMIF(116:116,G39,117:117)-SUMIF(116:116,C39,117:117)+100</f>
        <v>100</v>
      </c>
      <c r="I39" s="1904" t="s">
        <v>3627</v>
      </c>
      <c r="J39" s="386">
        <f>SUMIF(116:116,I39,117:117)-SUMIF(116:116,C39,117:117)+100</f>
        <v>100</v>
      </c>
      <c r="K39" s="561">
        <v>2</v>
      </c>
      <c r="L39" s="2715"/>
      <c r="M39" s="2709"/>
      <c r="N39" s="2709"/>
      <c r="O39" s="2709"/>
      <c r="P39" s="3808"/>
      <c r="Q39" s="3462" t="str">
        <f t="shared" si="11"/>
        <v>层高</v>
      </c>
      <c r="R39" s="703" t="s">
        <v>14</v>
      </c>
      <c r="S39" s="704">
        <f t="shared" si="12"/>
        <v>100</v>
      </c>
      <c r="T39" s="703" t="s">
        <v>14</v>
      </c>
      <c r="U39" s="704">
        <f t="shared" si="13"/>
        <v>100</v>
      </c>
      <c r="V39" s="703" t="s">
        <v>14</v>
      </c>
      <c r="W39" s="704">
        <f t="shared" si="14"/>
        <v>100</v>
      </c>
      <c r="X39" s="3459"/>
      <c r="Y39" s="3810"/>
      <c r="Z39" s="3460" t="str">
        <f t="shared" si="15"/>
        <v>层高</v>
      </c>
      <c r="AA39" s="3463">
        <f t="shared" si="3"/>
        <v>1</v>
      </c>
      <c r="AB39" s="3463">
        <f t="shared" si="4"/>
        <v>1</v>
      </c>
      <c r="AC39" s="346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808"/>
      <c r="Q40" s="3462" t="str">
        <f t="shared" si="11"/>
        <v>单套建筑面积</v>
      </c>
      <c r="R40" s="703" t="s">
        <v>14</v>
      </c>
      <c r="S40" s="704">
        <f t="shared" si="12"/>
        <v>100</v>
      </c>
      <c r="T40" s="703" t="s">
        <v>14</v>
      </c>
      <c r="U40" s="704">
        <f t="shared" si="13"/>
        <v>100</v>
      </c>
      <c r="V40" s="703" t="s">
        <v>14</v>
      </c>
      <c r="W40" s="704">
        <f t="shared" si="14"/>
        <v>100</v>
      </c>
      <c r="X40" s="3459"/>
      <c r="Y40" s="3810"/>
      <c r="Z40" s="3460" t="str">
        <f t="shared" si="15"/>
        <v>单套建筑面积</v>
      </c>
      <c r="AA40" s="3463">
        <f t="shared" si="3"/>
        <v>1</v>
      </c>
      <c r="AB40" s="3463">
        <f t="shared" si="4"/>
        <v>1</v>
      </c>
      <c r="AC40" s="3463">
        <f t="shared" si="5"/>
        <v>1</v>
      </c>
    </row>
    <row r="41" spans="1:29" s="422" customFormat="1" ht="15">
      <c r="A41" s="419"/>
      <c r="B41" s="346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808"/>
      <c r="Q41" s="705" t="str">
        <f t="shared" si="11"/>
        <v>进深比</v>
      </c>
      <c r="R41" s="706" t="s">
        <v>14</v>
      </c>
      <c r="S41" s="707">
        <f t="shared" si="12"/>
        <v>100</v>
      </c>
      <c r="T41" s="706" t="s">
        <v>14</v>
      </c>
      <c r="U41" s="707">
        <f t="shared" si="13"/>
        <v>100</v>
      </c>
      <c r="V41" s="706" t="s">
        <v>14</v>
      </c>
      <c r="W41" s="707">
        <f t="shared" si="14"/>
        <v>100</v>
      </c>
      <c r="X41" s="708"/>
      <c r="Y41" s="3810"/>
      <c r="Z41" s="709" t="str">
        <f t="shared" si="15"/>
        <v>进深比</v>
      </c>
      <c r="AA41" s="3463">
        <f t="shared" si="3"/>
        <v>1</v>
      </c>
      <c r="AB41" s="3463">
        <f t="shared" si="4"/>
        <v>1</v>
      </c>
      <c r="AC41" s="3463">
        <f t="shared" si="5"/>
        <v>1</v>
      </c>
    </row>
    <row r="42" spans="1:29" ht="15">
      <c r="A42" s="423"/>
      <c r="B42" s="375" t="s">
        <v>1790</v>
      </c>
      <c r="C42" s="1904" t="s">
        <v>3641</v>
      </c>
      <c r="D42" s="386">
        <v>100</v>
      </c>
      <c r="E42" s="1904" t="s">
        <v>3663</v>
      </c>
      <c r="F42" s="412">
        <f>SUMIF(122:122,E42,123:123)-SUMIF(122:122,C42,123:123)+100</f>
        <v>98</v>
      </c>
      <c r="G42" s="1904" t="s">
        <v>3663</v>
      </c>
      <c r="H42" s="386">
        <f>SUMIF(122:122,G42,123:123)-SUMIF(122:122,C42,123:123)+100</f>
        <v>98</v>
      </c>
      <c r="I42" s="1904" t="s">
        <v>3663</v>
      </c>
      <c r="J42" s="386">
        <f>SUMIF(122:122,I42,123:123)-SUMIF(122:122,C42,123:123)+100</f>
        <v>98</v>
      </c>
      <c r="K42" s="561">
        <f>'比较法-商业'!K42</f>
        <v>2</v>
      </c>
      <c r="L42" s="2715"/>
      <c r="M42" s="2709"/>
      <c r="N42" s="2709"/>
      <c r="O42" s="2709"/>
      <c r="P42" s="3808"/>
      <c r="Q42" s="3462" t="str">
        <f t="shared" si="11"/>
        <v>内部装修</v>
      </c>
      <c r="R42" s="703" t="s">
        <v>14</v>
      </c>
      <c r="S42" s="704">
        <f t="shared" si="12"/>
        <v>98</v>
      </c>
      <c r="T42" s="703" t="s">
        <v>14</v>
      </c>
      <c r="U42" s="704">
        <f t="shared" si="13"/>
        <v>98</v>
      </c>
      <c r="V42" s="703" t="s">
        <v>14</v>
      </c>
      <c r="W42" s="704">
        <f t="shared" si="14"/>
        <v>98</v>
      </c>
      <c r="X42" s="3459"/>
      <c r="Y42" s="3810"/>
      <c r="Z42" s="3460" t="str">
        <f t="shared" si="15"/>
        <v>内部装修</v>
      </c>
      <c r="AA42" s="3463">
        <f t="shared" si="3"/>
        <v>1.0204081632653061</v>
      </c>
      <c r="AB42" s="3463">
        <f t="shared" si="4"/>
        <v>1.0204081632653061</v>
      </c>
      <c r="AC42" s="3463">
        <f t="shared" si="5"/>
        <v>1.0204081632653061</v>
      </c>
    </row>
    <row r="43" spans="1:29" ht="15">
      <c r="A43" s="423"/>
      <c r="B43" s="375" t="s">
        <v>1705</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808"/>
      <c r="Q43" s="3462" t="str">
        <f t="shared" si="11"/>
        <v>内部装修维护情况</v>
      </c>
      <c r="R43" s="703" t="s">
        <v>14</v>
      </c>
      <c r="S43" s="704">
        <f t="shared" si="12"/>
        <v>100</v>
      </c>
      <c r="T43" s="703" t="s">
        <v>14</v>
      </c>
      <c r="U43" s="704">
        <f t="shared" si="13"/>
        <v>100</v>
      </c>
      <c r="V43" s="703" t="s">
        <v>14</v>
      </c>
      <c r="W43" s="704">
        <f t="shared" si="14"/>
        <v>100</v>
      </c>
      <c r="X43" s="3459"/>
      <c r="Y43" s="3810"/>
      <c r="Z43" s="3460" t="str">
        <f t="shared" si="15"/>
        <v>内部装修维护情况</v>
      </c>
      <c r="AA43" s="3463">
        <f t="shared" si="3"/>
        <v>1</v>
      </c>
      <c r="AB43" s="3463">
        <f t="shared" si="4"/>
        <v>1</v>
      </c>
      <c r="AC43" s="3463">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808"/>
      <c r="Q44" s="3458">
        <f t="shared" si="11"/>
        <v>111</v>
      </c>
      <c r="R44" s="699" t="s">
        <v>14</v>
      </c>
      <c r="S44" s="700">
        <f t="shared" si="12"/>
        <v>100</v>
      </c>
      <c r="T44" s="699" t="s">
        <v>14</v>
      </c>
      <c r="U44" s="700">
        <f t="shared" si="13"/>
        <v>100</v>
      </c>
      <c r="V44" s="699" t="s">
        <v>14</v>
      </c>
      <c r="W44" s="700">
        <f t="shared" si="14"/>
        <v>100</v>
      </c>
      <c r="X44" s="701"/>
      <c r="Y44" s="3810"/>
      <c r="Z44" s="3457">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08"/>
      <c r="Q45" s="3462">
        <f t="shared" si="11"/>
        <v>111</v>
      </c>
      <c r="R45" s="703" t="s">
        <v>14</v>
      </c>
      <c r="S45" s="704">
        <f t="shared" si="12"/>
        <v>100</v>
      </c>
      <c r="T45" s="703" t="s">
        <v>14</v>
      </c>
      <c r="U45" s="704">
        <f t="shared" si="13"/>
        <v>100</v>
      </c>
      <c r="V45" s="703" t="s">
        <v>14</v>
      </c>
      <c r="W45" s="704">
        <f t="shared" si="14"/>
        <v>100</v>
      </c>
      <c r="X45" s="3459"/>
      <c r="Y45" s="3810"/>
      <c r="Z45" s="3460">
        <f t="shared" si="15"/>
        <v>111</v>
      </c>
      <c r="AA45" s="3463">
        <f t="shared" si="3"/>
        <v>1</v>
      </c>
      <c r="AB45" s="3463">
        <f t="shared" si="4"/>
        <v>1</v>
      </c>
      <c r="AC45" s="3463">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09"/>
      <c r="Q46" s="3462">
        <f t="shared" si="11"/>
        <v>111</v>
      </c>
      <c r="R46" s="703" t="s">
        <v>14</v>
      </c>
      <c r="S46" s="704">
        <f t="shared" si="12"/>
        <v>100</v>
      </c>
      <c r="T46" s="703" t="s">
        <v>14</v>
      </c>
      <c r="U46" s="704">
        <f t="shared" si="13"/>
        <v>100</v>
      </c>
      <c r="V46" s="703" t="s">
        <v>14</v>
      </c>
      <c r="W46" s="704">
        <f t="shared" si="14"/>
        <v>100</v>
      </c>
      <c r="X46" s="3459"/>
      <c r="Y46" s="3811"/>
      <c r="Z46" s="3460">
        <f t="shared" si="15"/>
        <v>111</v>
      </c>
      <c r="AA46" s="3463">
        <f t="shared" si="3"/>
        <v>1</v>
      </c>
      <c r="AB46" s="3463">
        <f t="shared" si="4"/>
        <v>1</v>
      </c>
      <c r="AC46" s="3463">
        <f t="shared" si="5"/>
        <v>1</v>
      </c>
    </row>
    <row r="47" spans="1:29" ht="15">
      <c r="A47" s="430" t="s">
        <v>1706</v>
      </c>
      <c r="B47" s="431"/>
      <c r="C47" s="1152" t="s">
        <v>0</v>
      </c>
      <c r="D47" s="1153"/>
      <c r="E47" s="1154">
        <f>租金案例!L36</f>
        <v>13241</v>
      </c>
      <c r="F47" s="1155"/>
      <c r="G47" s="1156">
        <f>租金案例!L37</f>
        <v>13634</v>
      </c>
      <c r="H47" s="1157"/>
      <c r="I47" s="3577">
        <f>租金案例!L38</f>
        <v>16250</v>
      </c>
      <c r="J47" s="1157"/>
      <c r="K47" s="712"/>
      <c r="L47" s="2717"/>
      <c r="M47" s="2718"/>
      <c r="N47" s="2709"/>
      <c r="O47" s="2718"/>
      <c r="P47" s="3803" t="str">
        <f>A47</f>
        <v>成交单价（元/平方米）</v>
      </c>
      <c r="Q47" s="3803"/>
      <c r="R47" s="3834">
        <f>E47</f>
        <v>13241</v>
      </c>
      <c r="S47" s="3834"/>
      <c r="T47" s="3834">
        <f>G47</f>
        <v>13634</v>
      </c>
      <c r="U47" s="3834"/>
      <c r="V47" s="3834">
        <f>I47</f>
        <v>16250</v>
      </c>
      <c r="W47" s="3834"/>
      <c r="X47" s="688"/>
      <c r="Y47" s="710"/>
      <c r="Z47" s="688"/>
      <c r="AA47" s="688"/>
      <c r="AB47" s="688"/>
      <c r="AC47" s="688"/>
    </row>
    <row r="48" spans="1:29" ht="15.75" thickBot="1">
      <c r="A48" s="437" t="s">
        <v>1707</v>
      </c>
      <c r="B48" s="438"/>
      <c r="C48" s="1158">
        <f>R49</f>
        <v>12385</v>
      </c>
      <c r="D48" s="2315" t="s">
        <v>2134</v>
      </c>
      <c r="E48" s="1159">
        <f>R48</f>
        <v>11366</v>
      </c>
      <c r="F48" s="2316"/>
      <c r="G48" s="1158">
        <f>T48</f>
        <v>11794</v>
      </c>
      <c r="H48" s="2316"/>
      <c r="I48" s="1159">
        <f>V48</f>
        <v>13994</v>
      </c>
      <c r="J48" s="2316"/>
      <c r="K48" s="2318">
        <f>F48+H48+J48</f>
        <v>0</v>
      </c>
      <c r="L48" s="2717"/>
      <c r="M48" s="2718"/>
      <c r="N48" s="2709"/>
      <c r="O48" s="2718"/>
      <c r="P48" s="3803" t="str">
        <f>A48</f>
        <v>比较价值（元/平方米）</v>
      </c>
      <c r="Q48" s="3803"/>
      <c r="R48" s="3804">
        <f>IF(F1="售价",ROUND(PRODUCT(R47,AA7:AA46),0),ROUND(PRODUCT(R47,AA7:AA46),1))</f>
        <v>11366</v>
      </c>
      <c r="S48" s="3804"/>
      <c r="T48" s="3804">
        <f>IF(F1="售价",ROUND(PRODUCT(T47,AB7:AB46),0),ROUND(PRODUCT(T47,AB7:AB46),1))</f>
        <v>11794</v>
      </c>
      <c r="U48" s="3804"/>
      <c r="V48" s="3804">
        <f>IF(F1="售价",ROUND(PRODUCT(V47,AC7:AC46),0),ROUND(PRODUCT(V47,AC7:AC46),1))</f>
        <v>13994</v>
      </c>
      <c r="W48" s="3804"/>
      <c r="X48" s="688"/>
      <c r="Y48" s="688"/>
      <c r="Z48" s="688"/>
      <c r="AA48" s="688"/>
      <c r="AB48" s="688"/>
      <c r="AC48" s="688"/>
    </row>
    <row r="49" spans="1:29" ht="15.75" thickBot="1">
      <c r="A49" s="441" t="s">
        <v>1708</v>
      </c>
      <c r="B49" s="442"/>
      <c r="C49" s="1161">
        <f>R49</f>
        <v>12385</v>
      </c>
      <c r="D49" s="1161"/>
      <c r="E49" s="1161"/>
      <c r="F49" s="1161"/>
      <c r="G49" s="1161"/>
      <c r="H49" s="1161"/>
      <c r="I49" s="1161"/>
      <c r="J49" s="1161"/>
      <c r="K49" s="713"/>
      <c r="L49" s="2717"/>
      <c r="M49" s="2718"/>
      <c r="N49" s="2709"/>
      <c r="O49" s="2718"/>
      <c r="P49" s="3800" t="str">
        <f>A49</f>
        <v>估价对象XX用房的比较价值（楼面单价，元/平方米）</v>
      </c>
      <c r="Q49" s="3801"/>
      <c r="R49" s="3802">
        <f>IF(F1="售价",ROUND(IF(D48="简单平均",AVERAGE(R48:V48),R48*F48+T48*H48+V48*J48),0),ROUND(IF(D48="简单平均",AVERAGE(R48:V48),R48*F48+T48*H48+V48*J48),1))</f>
        <v>12385</v>
      </c>
      <c r="S49" s="3802"/>
      <c r="T49" s="3802"/>
      <c r="U49" s="3802"/>
      <c r="V49" s="3802"/>
      <c r="W49" s="380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1709</v>
      </c>
      <c r="D52" s="447"/>
      <c r="E52" s="448">
        <f>IF(E47&lt;E48,E48/E47-1,E47/E48-1)</f>
        <v>0.16496568713707549</v>
      </c>
      <c r="F52" s="449" t="str">
        <f>IF(OR(E52&gt;=0.3,E52&lt;=-0.3),"超过30%","")</f>
        <v/>
      </c>
      <c r="G52" s="448">
        <f>IF(G47&lt;G48,G48/G47-1,G47/G48-1)</f>
        <v>0.15601153128709511</v>
      </c>
      <c r="H52" s="449" t="str">
        <f>IF(OR(G52&gt;=0.3,G52&lt;=-0.3),"超过30%","")</f>
        <v/>
      </c>
      <c r="I52" s="448">
        <f>IF(I47&lt;I48,I48/I47-1,I47/I48-1)</f>
        <v>0.16121194797770477</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1710</v>
      </c>
      <c r="D53" s="450"/>
      <c r="E53" s="448">
        <f>IF(E48&lt;G48,G48/E48-1,E48/G48-1)</f>
        <v>3.7656167517156502E-2</v>
      </c>
      <c r="F53" s="449" t="str">
        <f>IF(OR(E53&gt;=0.2,E53&lt;=-0.2),"超过20%","")</f>
        <v/>
      </c>
      <c r="G53" s="448">
        <f>IF(G48&lt;I48,I48/G48-1,G48/I48-1)</f>
        <v>0.18653552653891814</v>
      </c>
      <c r="H53" s="449" t="str">
        <f>IF(OR(G53&gt;=0.2,G53&lt;=-0.2),"超过20%","")</f>
        <v/>
      </c>
      <c r="I53" s="448">
        <f>IF(I48&lt;E48,E48/I48-1,I48/E48-1)</f>
        <v>0.23121590709132511</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1711</v>
      </c>
      <c r="D54" s="450"/>
      <c r="E54" s="448">
        <f>IF(E47&lt;G47,G47/E47-1,E47/G47-1)</f>
        <v>2.96805377237368E-2</v>
      </c>
      <c r="F54" s="449" t="str">
        <f>IF(OR(E54&gt;=0.3,E54&lt;=-0.3),"超过30%","")</f>
        <v/>
      </c>
      <c r="G54" s="448">
        <f>IF(G47&lt;I47,I47/G47-1,G47/I47-1)</f>
        <v>0.19187325803139221</v>
      </c>
      <c r="H54" s="449" t="str">
        <f>IF(OR(G54&gt;=0.3,G54&lt;=-0.3),"超过30%","")</f>
        <v/>
      </c>
      <c r="I54" s="448">
        <f>IF(I47&lt;E47,E47/I47-1,I47/E47-1)</f>
        <v>0.2272486972283061</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1712</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1677</v>
      </c>
      <c r="B58" s="455"/>
      <c r="C58" s="1182" t="str">
        <f>YEAR(C7)&amp;"-"&amp;MONTH(C7)</f>
        <v>2023-2</v>
      </c>
      <c r="D58" s="1183">
        <f>EDATE(C58,-1)</f>
        <v>44927</v>
      </c>
      <c r="E58" s="1183">
        <f t="shared" ref="E58:N58" si="16">EDATE(D58,-1)</f>
        <v>44896</v>
      </c>
      <c r="F58" s="1183">
        <f t="shared" si="16"/>
        <v>44866</v>
      </c>
      <c r="G58" s="1183">
        <f t="shared" si="16"/>
        <v>44835</v>
      </c>
      <c r="H58" s="1183">
        <f t="shared" si="16"/>
        <v>44805</v>
      </c>
      <c r="I58" s="1183">
        <f t="shared" si="16"/>
        <v>44774</v>
      </c>
      <c r="J58" s="1183">
        <f t="shared" si="16"/>
        <v>44743</v>
      </c>
      <c r="K58" s="1183">
        <f t="shared" si="16"/>
        <v>44713</v>
      </c>
      <c r="L58" s="1183">
        <f t="shared" si="16"/>
        <v>44682</v>
      </c>
      <c r="M58" s="1183">
        <f t="shared" si="16"/>
        <v>44652</v>
      </c>
      <c r="N58" s="1183">
        <f t="shared" si="16"/>
        <v>44621</v>
      </c>
      <c r="O58" s="1183">
        <f>EDATE(N58,-1)</f>
        <v>44593</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v>100</v>
      </c>
      <c r="E59" s="461">
        <f>100-0.2</f>
        <v>99.8</v>
      </c>
      <c r="F59" s="461">
        <f>E59</f>
        <v>99.8</v>
      </c>
      <c r="G59" s="461">
        <f t="shared" ref="G59:M59" si="17">F59</f>
        <v>99.8</v>
      </c>
      <c r="H59" s="461">
        <f t="shared" si="17"/>
        <v>99.8</v>
      </c>
      <c r="I59" s="461">
        <f t="shared" si="17"/>
        <v>99.8</v>
      </c>
      <c r="J59" s="461">
        <f t="shared" si="17"/>
        <v>99.8</v>
      </c>
      <c r="K59" s="461">
        <f t="shared" si="17"/>
        <v>99.8</v>
      </c>
      <c r="L59" s="461">
        <f t="shared" si="17"/>
        <v>99.8</v>
      </c>
      <c r="M59" s="461">
        <f t="shared" si="17"/>
        <v>99.8</v>
      </c>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1679</v>
      </c>
      <c r="B61" s="459"/>
      <c r="C61" s="471" t="s">
        <v>1716</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0（含）-1</v>
      </c>
      <c r="D67" s="496" t="str">
        <f t="shared" ref="D67:L67" si="18">D68&amp;"（含）"&amp;"-"&amp;E68</f>
        <v>1（含）-2</v>
      </c>
      <c r="E67" s="496" t="str">
        <f t="shared" si="18"/>
        <v>2（含）-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97</v>
      </c>
      <c r="E79" s="493">
        <f>D79-$K17</f>
        <v>94</v>
      </c>
      <c r="F79" s="493">
        <f>E79-$K17</f>
        <v>91</v>
      </c>
      <c r="G79" s="493">
        <f>F79-$K17</f>
        <v>88</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44" t="s">
        <v>3615</v>
      </c>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4" t="s">
        <v>3445</v>
      </c>
      <c r="D88" s="503" t="s">
        <v>3396</v>
      </c>
      <c r="E88" s="503" t="s">
        <v>3616</v>
      </c>
      <c r="F88" s="503" t="s">
        <v>3617</v>
      </c>
      <c r="G88" s="503" t="s">
        <v>3618</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 t="shared" ref="E89:G89" si="22">D89-2</f>
        <v>96</v>
      </c>
      <c r="F89" s="485">
        <f t="shared" si="22"/>
        <v>94</v>
      </c>
      <c r="G89" s="485">
        <f t="shared" si="22"/>
        <v>92</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3444" t="s">
        <v>3445</v>
      </c>
      <c r="D90" s="503" t="s">
        <v>3396</v>
      </c>
      <c r="E90" s="503" t="s">
        <v>3616</v>
      </c>
      <c r="F90" s="503" t="s">
        <v>3617</v>
      </c>
      <c r="G90" s="503" t="s">
        <v>3618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3532" t="s">
        <v>3638</v>
      </c>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77</v>
      </c>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529" t="s">
        <v>3620</v>
      </c>
      <c r="D100" s="3529" t="s">
        <v>3619</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44" t="s">
        <v>3621</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44" t="s">
        <v>3622</v>
      </c>
      <c r="D107" s="3444" t="s">
        <v>3623</v>
      </c>
      <c r="E107" s="3444" t="s">
        <v>3624</v>
      </c>
      <c r="F107" s="3530" t="s">
        <v>3625</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9">D111+$K36</f>
        <v>100</v>
      </c>
      <c r="F111" s="493">
        <f t="shared" si="29"/>
        <v>100</v>
      </c>
      <c r="G111" s="493">
        <f t="shared" si="29"/>
        <v>100</v>
      </c>
      <c r="H111" s="493">
        <f t="shared" si="29"/>
        <v>100</v>
      </c>
      <c r="I111" s="493">
        <f t="shared" si="29"/>
        <v>100</v>
      </c>
      <c r="J111" s="493">
        <f t="shared" si="29"/>
        <v>100</v>
      </c>
      <c r="K111" s="493">
        <f t="shared" si="29"/>
        <v>100</v>
      </c>
      <c r="L111" s="493">
        <f t="shared" si="29"/>
        <v>100</v>
      </c>
      <c r="M111" s="493">
        <f t="shared" si="29"/>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3444" t="s">
        <v>3626</v>
      </c>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44" t="s">
        <v>3630</v>
      </c>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1">C115-$K38</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4">
        <f t="shared" si="31"/>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44" t="s">
        <v>3628</v>
      </c>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3444" t="s">
        <v>3622</v>
      </c>
      <c r="D122" s="3444" t="s">
        <v>3623</v>
      </c>
      <c r="E122" s="3444" t="s">
        <v>3624</v>
      </c>
      <c r="F122" s="3530" t="s">
        <v>3625</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5" priority="20"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view="pageBreakPreview" topLeftCell="A22" zoomScaleNormal="100" workbookViewId="0">
      <selection activeCell="G66" sqref="G66"/>
    </sheetView>
  </sheetViews>
  <sheetFormatPr defaultColWidth="9" defaultRowHeight="13.5"/>
  <cols>
    <col min="1" max="1" width="6.375" style="3465" customWidth="1"/>
    <col min="2" max="2" width="19.375" style="3520" customWidth="1"/>
    <col min="3" max="3" width="6.125" style="3521" customWidth="1"/>
    <col min="4" max="4" width="6.375" style="3521" customWidth="1"/>
    <col min="5" max="5" width="7.375" style="3521" customWidth="1"/>
    <col min="6" max="6" width="16" style="3521" customWidth="1"/>
    <col min="7" max="7" width="19.375" style="3522" customWidth="1"/>
    <col min="8" max="8" width="19.5" style="3465" customWidth="1"/>
    <col min="9" max="9" width="8.625" style="3465" customWidth="1"/>
    <col min="10" max="10" width="10.5" style="3464" customWidth="1"/>
    <col min="11" max="11" width="10.625" style="3487" customWidth="1"/>
    <col min="12" max="12" width="14.875" style="3487" customWidth="1"/>
    <col min="13" max="16" width="8.125" style="3465" customWidth="1"/>
    <col min="17" max="16384" width="9" style="3465"/>
  </cols>
  <sheetData>
    <row r="1" spans="1:16">
      <c r="A1" s="3890" t="s">
        <v>3465</v>
      </c>
      <c r="B1" s="3890"/>
      <c r="C1" s="3890"/>
      <c r="D1" s="3890"/>
      <c r="E1" s="3890"/>
      <c r="F1" s="3890"/>
      <c r="G1" s="3890"/>
      <c r="H1" s="3890"/>
      <c r="I1" s="3890"/>
      <c r="K1" s="3891" t="s">
        <v>3466</v>
      </c>
      <c r="L1" s="3991" t="s">
        <v>3467</v>
      </c>
      <c r="M1" s="3992">
        <v>0</v>
      </c>
      <c r="N1" s="3993"/>
      <c r="O1" s="3993"/>
    </row>
    <row r="2" spans="1:16" ht="15.75" customHeight="1">
      <c r="A2" s="3466" t="s">
        <v>3468</v>
      </c>
      <c r="B2" s="3467" t="s">
        <v>3469</v>
      </c>
      <c r="C2" s="3857" t="s">
        <v>3470</v>
      </c>
      <c r="D2" s="3858"/>
      <c r="E2" s="3858"/>
      <c r="F2" s="3859"/>
      <c r="G2" s="3582" t="s">
        <v>3471</v>
      </c>
      <c r="H2" s="3868" t="s">
        <v>3472</v>
      </c>
      <c r="I2" s="3868"/>
      <c r="K2" s="3891"/>
      <c r="L2" s="3991" t="s">
        <v>3473</v>
      </c>
      <c r="M2" s="3994" t="s">
        <v>3474</v>
      </c>
      <c r="N2" s="3469"/>
      <c r="O2" s="3469"/>
    </row>
    <row r="3" spans="1:16" ht="24">
      <c r="A3" s="3583" t="s">
        <v>3475</v>
      </c>
      <c r="B3" s="3584" t="s">
        <v>3459</v>
      </c>
      <c r="C3" s="3892">
        <f>'比较法-商业售价'!C48</f>
        <v>12385</v>
      </c>
      <c r="D3" s="3893"/>
      <c r="E3" s="3893"/>
      <c r="F3" s="3894"/>
      <c r="G3" s="3583" t="s">
        <v>3476</v>
      </c>
      <c r="H3" s="3472" t="s">
        <v>3477</v>
      </c>
      <c r="I3" s="3473">
        <f>1</f>
        <v>1</v>
      </c>
      <c r="K3" s="3891"/>
      <c r="L3" s="3991" t="s">
        <v>3478</v>
      </c>
      <c r="M3" s="3994" t="s">
        <v>3479</v>
      </c>
      <c r="N3" s="3469"/>
      <c r="O3" s="3474"/>
    </row>
    <row r="4" spans="1:16">
      <c r="A4" s="3860" t="s">
        <v>3480</v>
      </c>
      <c r="B4" s="3861" t="s">
        <v>3481</v>
      </c>
      <c r="C4" s="3895">
        <f>ROUND(C3*(I4-I6)/(1-((1+I6)/(1+I4))^I5),0)</f>
        <v>585</v>
      </c>
      <c r="D4" s="3896"/>
      <c r="E4" s="3896"/>
      <c r="F4" s="3897"/>
      <c r="G4" s="3860" t="s">
        <v>3686</v>
      </c>
      <c r="H4" s="3475" t="s">
        <v>3482</v>
      </c>
      <c r="I4" s="3995">
        <v>5.5E-2</v>
      </c>
      <c r="K4" s="3891"/>
      <c r="L4" s="3991" t="s">
        <v>3483</v>
      </c>
      <c r="M4" s="3996">
        <f>ROUND(1-(1-M1)*M2/M3,2)</f>
        <v>0.55000000000000004</v>
      </c>
      <c r="N4" s="3469"/>
      <c r="O4" s="3469"/>
    </row>
    <row r="5" spans="1:16" s="3477" customFormat="1" ht="18" customHeight="1">
      <c r="A5" s="3860"/>
      <c r="B5" s="3861"/>
      <c r="C5" s="3898"/>
      <c r="D5" s="3899"/>
      <c r="E5" s="3899"/>
      <c r="F5" s="3900"/>
      <c r="G5" s="3860"/>
      <c r="H5" s="3584" t="s">
        <v>3484</v>
      </c>
      <c r="I5" s="3997">
        <v>40</v>
      </c>
      <c r="J5" s="3476"/>
      <c r="K5" s="3891"/>
      <c r="L5" s="3991" t="s">
        <v>3485</v>
      </c>
      <c r="M5" s="3998">
        <v>0.5</v>
      </c>
      <c r="N5" s="3469"/>
      <c r="O5" s="3469"/>
    </row>
    <row r="6" spans="1:16" s="3477" customFormat="1" ht="18" customHeight="1">
      <c r="A6" s="3860"/>
      <c r="B6" s="3861"/>
      <c r="C6" s="3901"/>
      <c r="D6" s="3902"/>
      <c r="E6" s="3902"/>
      <c r="F6" s="3903"/>
      <c r="G6" s="3860"/>
      <c r="H6" s="3584" t="s">
        <v>3486</v>
      </c>
      <c r="I6" s="3995">
        <v>0.02</v>
      </c>
      <c r="J6" s="3478"/>
      <c r="K6" s="3904" t="s">
        <v>3487</v>
      </c>
      <c r="L6" s="3479" t="s">
        <v>3488</v>
      </c>
      <c r="M6" s="3480" t="s">
        <v>3489</v>
      </c>
      <c r="N6" s="3480" t="s">
        <v>3490</v>
      </c>
      <c r="O6" s="3480" t="s">
        <v>3491</v>
      </c>
      <c r="P6" s="3480" t="s">
        <v>3485</v>
      </c>
    </row>
    <row r="7" spans="1:16" s="3477" customFormat="1" ht="17.25" customHeight="1">
      <c r="A7" s="3583" t="s">
        <v>3492</v>
      </c>
      <c r="B7" s="3584" t="s">
        <v>3493</v>
      </c>
      <c r="C7" s="3857">
        <f>ROUND(C23*I7,0)</f>
        <v>2083</v>
      </c>
      <c r="D7" s="3858"/>
      <c r="E7" s="3858"/>
      <c r="F7" s="3859"/>
      <c r="G7" s="3582" t="s">
        <v>3494</v>
      </c>
      <c r="H7" s="3584" t="s">
        <v>3495</v>
      </c>
      <c r="I7" s="3999">
        <v>0.6</v>
      </c>
      <c r="K7" s="3904"/>
      <c r="L7" s="3479" t="s">
        <v>3496</v>
      </c>
      <c r="M7" s="3480">
        <v>100</v>
      </c>
      <c r="N7" s="3480" t="s">
        <v>3497</v>
      </c>
      <c r="O7" s="3480">
        <v>80</v>
      </c>
      <c r="P7" s="3481">
        <v>0.3</v>
      </c>
    </row>
    <row r="8" spans="1:16" s="3477" customFormat="1" ht="18" customHeight="1">
      <c r="A8" s="3466" t="s">
        <v>3498</v>
      </c>
      <c r="B8" s="3584" t="s">
        <v>3499</v>
      </c>
      <c r="C8" s="3857">
        <f>ROUND(I8*I3,0)</f>
        <v>2500</v>
      </c>
      <c r="D8" s="3858"/>
      <c r="E8" s="3858"/>
      <c r="F8" s="3859"/>
      <c r="G8" s="3582" t="s">
        <v>3500</v>
      </c>
      <c r="H8" s="3584" t="s">
        <v>3501</v>
      </c>
      <c r="I8" s="3582">
        <v>2500</v>
      </c>
      <c r="J8" s="3482">
        <f>D36</f>
        <v>7.4</v>
      </c>
      <c r="K8" s="3904"/>
      <c r="L8" s="3479" t="s">
        <v>3502</v>
      </c>
      <c r="M8" s="3480">
        <v>100</v>
      </c>
      <c r="N8" s="3480" t="s">
        <v>3497</v>
      </c>
      <c r="O8" s="3480">
        <v>80</v>
      </c>
      <c r="P8" s="3481">
        <v>0.5</v>
      </c>
    </row>
    <row r="9" spans="1:16" s="3477" customFormat="1" ht="18" customHeight="1">
      <c r="A9" s="3466" t="s">
        <v>3503</v>
      </c>
      <c r="B9" s="3584" t="s">
        <v>3504</v>
      </c>
      <c r="C9" s="3857">
        <f>ROUND(C8*H9,0)</f>
        <v>75</v>
      </c>
      <c r="D9" s="3858"/>
      <c r="E9" s="3858"/>
      <c r="F9" s="3859"/>
      <c r="G9" s="3582" t="s">
        <v>3505</v>
      </c>
      <c r="H9" s="3887">
        <v>0.03</v>
      </c>
      <c r="I9" s="3887"/>
      <c r="J9" s="3482">
        <f>D37</f>
        <v>2.4500000000000002</v>
      </c>
      <c r="K9" s="3904"/>
      <c r="L9" s="3479" t="s">
        <v>3506</v>
      </c>
      <c r="M9" s="3480">
        <v>100</v>
      </c>
      <c r="N9" s="3480" t="s">
        <v>3497</v>
      </c>
      <c r="O9" s="3480">
        <v>80</v>
      </c>
      <c r="P9" s="3481">
        <f>1-P7-P8</f>
        <v>0.19999999999999996</v>
      </c>
    </row>
    <row r="10" spans="1:16" s="3477" customFormat="1" ht="18" customHeight="1">
      <c r="A10" s="3466" t="s">
        <v>3507</v>
      </c>
      <c r="B10" s="3584" t="s">
        <v>3508</v>
      </c>
      <c r="C10" s="3857">
        <f>ROUND(C8*H10,0)</f>
        <v>0</v>
      </c>
      <c r="D10" s="3858"/>
      <c r="E10" s="3858"/>
      <c r="F10" s="3859"/>
      <c r="G10" s="3582" t="s">
        <v>3505</v>
      </c>
      <c r="H10" s="3887">
        <v>0</v>
      </c>
      <c r="I10" s="3887"/>
      <c r="J10" s="3482">
        <f>D38</f>
        <v>4.93</v>
      </c>
      <c r="K10" s="3904"/>
      <c r="L10" s="3483" t="s">
        <v>3485</v>
      </c>
      <c r="M10" s="3484">
        <f>1-M5</f>
        <v>0.5</v>
      </c>
      <c r="N10" s="3480" t="s">
        <v>3483</v>
      </c>
      <c r="O10" s="3485">
        <f>ROUND((O7*P7+O8*P8+O9*P9)/100,2)</f>
        <v>0.8</v>
      </c>
      <c r="P10" s="3486"/>
    </row>
    <row r="11" spans="1:16" s="3477" customFormat="1" ht="29.25" customHeight="1">
      <c r="A11" s="3466" t="s">
        <v>3509</v>
      </c>
      <c r="B11" s="3584" t="s">
        <v>3510</v>
      </c>
      <c r="C11" s="3857">
        <f>ROUND(I11*I3,0)</f>
        <v>200</v>
      </c>
      <c r="D11" s="3858"/>
      <c r="E11" s="3858"/>
      <c r="F11" s="3859"/>
      <c r="G11" s="3582" t="s">
        <v>3511</v>
      </c>
      <c r="H11" s="3584" t="s">
        <v>3512</v>
      </c>
      <c r="I11" s="3582">
        <v>200</v>
      </c>
      <c r="J11" s="3476"/>
      <c r="K11" s="3487"/>
      <c r="L11" s="3487"/>
    </row>
    <row r="12" spans="1:16" s="3477" customFormat="1" ht="18" customHeight="1">
      <c r="A12" s="3466" t="s">
        <v>3513</v>
      </c>
      <c r="B12" s="3584" t="s">
        <v>3514</v>
      </c>
      <c r="C12" s="3857">
        <f>ROUND(C8*H12,0)</f>
        <v>38</v>
      </c>
      <c r="D12" s="3858"/>
      <c r="E12" s="3858"/>
      <c r="F12" s="3859"/>
      <c r="G12" s="3582" t="s">
        <v>3505</v>
      </c>
      <c r="H12" s="3887">
        <v>1.4999999999999999E-2</v>
      </c>
      <c r="I12" s="3887"/>
      <c r="J12" s="3488" t="s">
        <v>3515</v>
      </c>
      <c r="L12" s="3489"/>
    </row>
    <row r="13" spans="1:16" s="3477" customFormat="1" ht="18" customHeight="1">
      <c r="A13" s="3466" t="s">
        <v>3516</v>
      </c>
      <c r="B13" s="3584" t="s">
        <v>3517</v>
      </c>
      <c r="C13" s="3857">
        <f>SUM(C8:F12)</f>
        <v>2813</v>
      </c>
      <c r="D13" s="3858"/>
      <c r="E13" s="3858"/>
      <c r="F13" s="3859"/>
      <c r="G13" s="3868" t="s">
        <v>3518</v>
      </c>
      <c r="H13" s="3868"/>
      <c r="I13" s="3868"/>
      <c r="J13" s="3488" t="s">
        <v>3519</v>
      </c>
      <c r="L13" s="3489"/>
    </row>
    <row r="14" spans="1:16" s="3477" customFormat="1" ht="18" customHeight="1">
      <c r="A14" s="3466" t="s">
        <v>3520</v>
      </c>
      <c r="B14" s="3584" t="s">
        <v>3521</v>
      </c>
      <c r="C14" s="3857">
        <f>ROUND(C13*H14,0)</f>
        <v>56</v>
      </c>
      <c r="D14" s="3858"/>
      <c r="E14" s="3858"/>
      <c r="F14" s="3859"/>
      <c r="G14" s="3582" t="s">
        <v>3522</v>
      </c>
      <c r="H14" s="4000">
        <v>0.02</v>
      </c>
      <c r="I14" s="4000"/>
      <c r="J14" s="3476"/>
      <c r="L14" s="3489"/>
    </row>
    <row r="15" spans="1:16" s="3477" customFormat="1" ht="18" customHeight="1">
      <c r="A15" s="3466" t="s">
        <v>3523</v>
      </c>
      <c r="B15" s="3584" t="s">
        <v>3524</v>
      </c>
      <c r="C15" s="3871">
        <f>H15</f>
        <v>0.02</v>
      </c>
      <c r="D15" s="3872"/>
      <c r="E15" s="3885" t="str">
        <f>E18</f>
        <v>V</v>
      </c>
      <c r="F15" s="3886"/>
      <c r="G15" s="3582" t="s">
        <v>3525</v>
      </c>
      <c r="H15" s="4000">
        <v>0.02</v>
      </c>
      <c r="I15" s="4000"/>
      <c r="J15" s="3490"/>
      <c r="K15" s="3491"/>
    </row>
    <row r="16" spans="1:16" s="3477" customFormat="1" ht="18" customHeight="1">
      <c r="A16" s="3492" t="s">
        <v>3526</v>
      </c>
      <c r="B16" s="3493" t="s">
        <v>3527</v>
      </c>
      <c r="C16" s="3580">
        <f>C17</f>
        <v>52</v>
      </c>
      <c r="D16" s="3581" t="s">
        <v>3528</v>
      </c>
      <c r="E16" s="3496">
        <f>C18</f>
        <v>3.6499999999999998E-4</v>
      </c>
      <c r="F16" s="3585" t="str">
        <f>E18</f>
        <v>V</v>
      </c>
      <c r="G16" s="3857" t="s">
        <v>3529</v>
      </c>
      <c r="H16" s="3858"/>
      <c r="I16" s="3859"/>
      <c r="J16" s="3476"/>
      <c r="K16" s="3487"/>
    </row>
    <row r="17" spans="1:12" s="3477" customFormat="1" ht="18" customHeight="1">
      <c r="A17" s="3466" t="s">
        <v>3530</v>
      </c>
      <c r="B17" s="3584" t="s">
        <v>3531</v>
      </c>
      <c r="C17" s="3857">
        <f>ROUND((C13+C14)*I18*(I17/2),0)</f>
        <v>52</v>
      </c>
      <c r="D17" s="3858"/>
      <c r="E17" s="3858"/>
      <c r="F17" s="3859"/>
      <c r="G17" s="3580" t="s">
        <v>3532</v>
      </c>
      <c r="H17" s="3584" t="s">
        <v>3533</v>
      </c>
      <c r="I17" s="4001">
        <v>1</v>
      </c>
      <c r="J17" s="3488" t="s">
        <v>3534</v>
      </c>
      <c r="K17" s="3487"/>
      <c r="L17" s="3487"/>
    </row>
    <row r="18" spans="1:12" s="3477" customFormat="1" ht="18" customHeight="1">
      <c r="A18" s="3466" t="s">
        <v>3535</v>
      </c>
      <c r="B18" s="3584" t="s">
        <v>3536</v>
      </c>
      <c r="C18" s="3888">
        <f>H15*I18*I17/2</f>
        <v>3.6499999999999998E-4</v>
      </c>
      <c r="D18" s="3889"/>
      <c r="E18" s="3885" t="s">
        <v>3537</v>
      </c>
      <c r="F18" s="3886"/>
      <c r="G18" s="3580" t="s">
        <v>3538</v>
      </c>
      <c r="H18" s="3584" t="s">
        <v>3539</v>
      </c>
      <c r="I18" s="3498">
        <v>3.6499999999999998E-2</v>
      </c>
      <c r="J18" s="3488" t="s">
        <v>3540</v>
      </c>
      <c r="K18" s="3487"/>
      <c r="L18" s="3487"/>
    </row>
    <row r="19" spans="1:12" s="3477" customFormat="1" ht="27" customHeight="1">
      <c r="A19" s="3466" t="s">
        <v>3541</v>
      </c>
      <c r="B19" s="3584" t="s">
        <v>3542</v>
      </c>
      <c r="C19" s="3580">
        <f>C20</f>
        <v>287</v>
      </c>
      <c r="D19" s="3581" t="s">
        <v>3528</v>
      </c>
      <c r="E19" s="3581">
        <f>C21</f>
        <v>2E-3</v>
      </c>
      <c r="F19" s="3585" t="str">
        <f>E21</f>
        <v>V</v>
      </c>
      <c r="G19" s="3857" t="s">
        <v>3543</v>
      </c>
      <c r="H19" s="3858"/>
      <c r="I19" s="3859"/>
      <c r="J19" s="3476"/>
      <c r="K19" s="3487"/>
      <c r="L19" s="3487"/>
    </row>
    <row r="20" spans="1:12" s="3477" customFormat="1" ht="26.25" customHeight="1">
      <c r="A20" s="3466" t="s">
        <v>3544</v>
      </c>
      <c r="B20" s="3584" t="s">
        <v>3545</v>
      </c>
      <c r="C20" s="3857">
        <f>ROUND((C13+C14)*I20,0)</f>
        <v>287</v>
      </c>
      <c r="D20" s="3858"/>
      <c r="E20" s="3858"/>
      <c r="F20" s="3859"/>
      <c r="G20" s="3582" t="s">
        <v>3546</v>
      </c>
      <c r="H20" s="3880" t="s">
        <v>3547</v>
      </c>
      <c r="I20" s="3882">
        <v>0.1</v>
      </c>
      <c r="J20" s="3488" t="s">
        <v>3548</v>
      </c>
      <c r="K20" s="3487"/>
      <c r="L20" s="3487"/>
    </row>
    <row r="21" spans="1:12" s="3477" customFormat="1" ht="27" customHeight="1">
      <c r="A21" s="3466" t="s">
        <v>3544</v>
      </c>
      <c r="B21" s="3584" t="s">
        <v>3549</v>
      </c>
      <c r="C21" s="3883">
        <f>H15*I20</f>
        <v>2E-3</v>
      </c>
      <c r="D21" s="3884"/>
      <c r="E21" s="3885" t="s">
        <v>3537</v>
      </c>
      <c r="F21" s="3886"/>
      <c r="G21" s="3582" t="s">
        <v>3550</v>
      </c>
      <c r="H21" s="3881"/>
      <c r="I21" s="3882"/>
      <c r="J21" s="3476"/>
      <c r="K21" s="3487"/>
      <c r="L21" s="3487"/>
    </row>
    <row r="22" spans="1:12" s="3477" customFormat="1" ht="18" customHeight="1">
      <c r="A22" s="3466" t="s">
        <v>3551</v>
      </c>
      <c r="B22" s="3584" t="s">
        <v>3552</v>
      </c>
      <c r="C22" s="3883">
        <f>ROUND(H22/1.05,4)</f>
        <v>5.33E-2</v>
      </c>
      <c r="D22" s="3884"/>
      <c r="E22" s="3885" t="s">
        <v>3537</v>
      </c>
      <c r="F22" s="3886"/>
      <c r="G22" s="3582" t="s">
        <v>3553</v>
      </c>
      <c r="H22" s="3887">
        <v>5.6000000000000001E-2</v>
      </c>
      <c r="I22" s="3887"/>
      <c r="J22" s="3499"/>
      <c r="K22" s="3487"/>
      <c r="L22" s="3487"/>
    </row>
    <row r="23" spans="1:12" s="3477" customFormat="1" ht="18" customHeight="1">
      <c r="A23" s="3466" t="s">
        <v>3554</v>
      </c>
      <c r="B23" s="3584" t="s">
        <v>3555</v>
      </c>
      <c r="C23" s="3857">
        <f>ROUND((C13+C14+C17+C20)/(1-H15-C18-C21-C22),0)</f>
        <v>3471</v>
      </c>
      <c r="D23" s="3858"/>
      <c r="E23" s="3858"/>
      <c r="F23" s="3859"/>
      <c r="G23" s="3857" t="s">
        <v>3556</v>
      </c>
      <c r="H23" s="3858"/>
      <c r="I23" s="3859"/>
      <c r="J23" s="3499"/>
      <c r="K23" s="3487"/>
      <c r="L23" s="3487"/>
    </row>
    <row r="24" spans="1:12" s="3477" customFormat="1" ht="18" customHeight="1">
      <c r="A24" s="3466" t="s">
        <v>3557</v>
      </c>
      <c r="B24" s="3584" t="s">
        <v>3558</v>
      </c>
      <c r="C24" s="3586">
        <f>C27+C28</f>
        <v>71</v>
      </c>
      <c r="D24" s="3501" t="s">
        <v>3559</v>
      </c>
      <c r="E24" s="3879">
        <f>H29+E26+H25</f>
        <v>0.186</v>
      </c>
      <c r="F24" s="3874"/>
      <c r="G24" s="3868" t="s">
        <v>3560</v>
      </c>
      <c r="H24" s="3868"/>
      <c r="I24" s="3868"/>
      <c r="J24" s="3499"/>
      <c r="K24" s="3487"/>
      <c r="L24" s="3487"/>
    </row>
    <row r="25" spans="1:12" s="3477" customFormat="1" ht="18" customHeight="1">
      <c r="A25" s="3466" t="s">
        <v>3516</v>
      </c>
      <c r="B25" s="3584" t="s">
        <v>3561</v>
      </c>
      <c r="C25" s="3871" t="s">
        <v>3562</v>
      </c>
      <c r="D25" s="3872"/>
      <c r="E25" s="3875">
        <f>ROUND(H25/1.05,4)</f>
        <v>5.33E-2</v>
      </c>
      <c r="F25" s="3876"/>
      <c r="G25" s="3582" t="s">
        <v>3563</v>
      </c>
      <c r="H25" s="3869">
        <v>5.6000000000000001E-2</v>
      </c>
      <c r="I25" s="3869"/>
      <c r="J25" s="3490"/>
      <c r="K25" s="3487"/>
      <c r="L25" s="3487"/>
    </row>
    <row r="26" spans="1:12" s="3477" customFormat="1" ht="18" customHeight="1">
      <c r="A26" s="3466" t="s">
        <v>3520</v>
      </c>
      <c r="B26" s="3584" t="s">
        <v>3564</v>
      </c>
      <c r="C26" s="3871" t="s">
        <v>3562</v>
      </c>
      <c r="D26" s="3872"/>
      <c r="E26" s="3873">
        <v>0.12</v>
      </c>
      <c r="F26" s="3874"/>
      <c r="G26" s="3582"/>
      <c r="H26" s="3877">
        <v>0.12</v>
      </c>
      <c r="I26" s="3878"/>
      <c r="J26" s="3502"/>
      <c r="K26" s="3487"/>
      <c r="L26" s="3487"/>
    </row>
    <row r="27" spans="1:12" s="3477" customFormat="1" ht="18" customHeight="1">
      <c r="A27" s="3466" t="s">
        <v>3523</v>
      </c>
      <c r="B27" s="3584" t="s">
        <v>3565</v>
      </c>
      <c r="C27" s="3857">
        <f>ROUND(C23*H27,0)</f>
        <v>69</v>
      </c>
      <c r="D27" s="3858"/>
      <c r="E27" s="3858"/>
      <c r="F27" s="3859"/>
      <c r="G27" s="3582" t="s">
        <v>3566</v>
      </c>
      <c r="H27" s="4002">
        <v>0.02</v>
      </c>
      <c r="I27" s="4002"/>
      <c r="J27" s="3503" t="s">
        <v>3687</v>
      </c>
      <c r="K27" s="3487"/>
      <c r="L27" s="3487"/>
    </row>
    <row r="28" spans="1:12" s="3477" customFormat="1" ht="18" customHeight="1">
      <c r="A28" s="3466" t="s">
        <v>3526</v>
      </c>
      <c r="B28" s="3584" t="s">
        <v>3567</v>
      </c>
      <c r="C28" s="3857">
        <f>ROUND(C7*H28,0)</f>
        <v>2</v>
      </c>
      <c r="D28" s="3858"/>
      <c r="E28" s="3858"/>
      <c r="F28" s="3859"/>
      <c r="G28" s="3582" t="s">
        <v>3568</v>
      </c>
      <c r="H28" s="4003">
        <v>1E-3</v>
      </c>
      <c r="I28" s="4003"/>
      <c r="J28" s="3504"/>
      <c r="K28" s="3487"/>
      <c r="L28" s="3487"/>
    </row>
    <row r="29" spans="1:12" s="3477" customFormat="1" ht="18" customHeight="1">
      <c r="A29" s="3466" t="s">
        <v>3541</v>
      </c>
      <c r="B29" s="3584" t="s">
        <v>3521</v>
      </c>
      <c r="C29" s="3871" t="s">
        <v>3562</v>
      </c>
      <c r="D29" s="3872"/>
      <c r="E29" s="3873">
        <f>H29</f>
        <v>0.01</v>
      </c>
      <c r="F29" s="3874"/>
      <c r="G29" s="3582" t="s">
        <v>3569</v>
      </c>
      <c r="H29" s="4002">
        <v>0.01</v>
      </c>
      <c r="I29" s="4002"/>
      <c r="J29" s="3505"/>
      <c r="K29" s="3487"/>
      <c r="L29" s="3487"/>
    </row>
    <row r="30" spans="1:12" s="3477" customFormat="1" ht="18" customHeight="1">
      <c r="A30" s="3583" t="s">
        <v>3570</v>
      </c>
      <c r="B30" s="3584" t="s">
        <v>3571</v>
      </c>
      <c r="C30" s="3857">
        <f>ROUND((C4+C24)/(1-E24),0)</f>
        <v>806</v>
      </c>
      <c r="D30" s="3858"/>
      <c r="E30" s="3858"/>
      <c r="F30" s="3859"/>
      <c r="G30" s="3860" t="s">
        <v>3572</v>
      </c>
      <c r="H30" s="3860"/>
      <c r="I30" s="3860"/>
      <c r="J30" s="3506"/>
      <c r="K30" s="3487"/>
      <c r="L30" s="3487"/>
    </row>
    <row r="31" spans="1:12" s="3477" customFormat="1" ht="18" customHeight="1">
      <c r="A31" s="3860" t="s">
        <v>3573</v>
      </c>
      <c r="B31" s="3861" t="s">
        <v>3688</v>
      </c>
      <c r="C31" s="3862">
        <f>ROUND(C30/I31/I32/I3,2)</f>
        <v>2.4500000000000002</v>
      </c>
      <c r="D31" s="3863"/>
      <c r="E31" s="3863"/>
      <c r="F31" s="3864"/>
      <c r="G31" s="3868" t="s">
        <v>3574</v>
      </c>
      <c r="H31" s="3584" t="s">
        <v>3575</v>
      </c>
      <c r="I31" s="3582">
        <v>365</v>
      </c>
      <c r="J31" s="3476"/>
      <c r="K31" s="3487"/>
      <c r="L31" s="3487"/>
    </row>
    <row r="32" spans="1:12" s="3477" customFormat="1" ht="18" customHeight="1">
      <c r="A32" s="3860"/>
      <c r="B32" s="3861"/>
      <c r="C32" s="3865"/>
      <c r="D32" s="3866"/>
      <c r="E32" s="3866"/>
      <c r="F32" s="3867"/>
      <c r="G32" s="3868"/>
      <c r="H32" s="3584" t="s">
        <v>3576</v>
      </c>
      <c r="I32" s="3587">
        <v>0.9</v>
      </c>
      <c r="J32" s="3499"/>
      <c r="K32" s="3465"/>
      <c r="L32" s="3465"/>
    </row>
    <row r="33" spans="1:15" s="3477" customFormat="1" ht="18" customHeight="1">
      <c r="A33" s="3465"/>
      <c r="B33" s="4004"/>
      <c r="C33" s="4005"/>
      <c r="D33" s="4005"/>
      <c r="E33" s="4005"/>
      <c r="F33" s="4005"/>
      <c r="G33" s="4006"/>
      <c r="H33" s="4007"/>
      <c r="I33" s="3465"/>
      <c r="J33" s="3464"/>
      <c r="K33" s="3465"/>
      <c r="L33" s="3465"/>
    </row>
    <row r="34" spans="1:15" s="3477" customFormat="1" ht="18" hidden="1" customHeight="1">
      <c r="A34" s="3465"/>
      <c r="B34" s="4008" t="s">
        <v>3689</v>
      </c>
      <c r="C34" s="4008"/>
      <c r="D34" s="4008"/>
      <c r="E34" s="4008"/>
      <c r="F34" s="4008"/>
      <c r="G34" s="3508"/>
      <c r="H34" s="3509"/>
      <c r="I34" s="3465"/>
      <c r="J34" s="4009">
        <f>C31*0.5</f>
        <v>1.2250000000000001</v>
      </c>
      <c r="K34" s="3465"/>
      <c r="L34" s="3465"/>
      <c r="M34" s="3465"/>
    </row>
    <row r="35" spans="1:15" s="3477" customFormat="1" ht="18" hidden="1" customHeight="1">
      <c r="A35" s="3465"/>
      <c r="B35" s="4010" t="s">
        <v>3577</v>
      </c>
      <c r="C35" s="4011" t="s">
        <v>3485</v>
      </c>
      <c r="D35" s="4012" t="s">
        <v>3578</v>
      </c>
      <c r="E35" s="4012"/>
      <c r="F35" s="4012"/>
      <c r="G35" s="3508"/>
      <c r="H35" s="3510" t="s">
        <v>3579</v>
      </c>
      <c r="I35" s="3511"/>
      <c r="J35" s="4009">
        <f>C31*0.4</f>
        <v>0.98000000000000009</v>
      </c>
      <c r="K35" s="3465"/>
      <c r="L35" s="3465"/>
      <c r="M35" s="3465"/>
    </row>
    <row r="36" spans="1:15" hidden="1">
      <c r="B36" s="4010" t="s">
        <v>3580</v>
      </c>
      <c r="C36" s="4013">
        <v>0.5</v>
      </c>
      <c r="D36" s="4014">
        <f>'[6]比较法-商业出租'!C48</f>
        <v>7.4</v>
      </c>
      <c r="E36" s="4014"/>
      <c r="F36" s="4014"/>
      <c r="G36" s="3508">
        <f>(D36-D37)/D37</f>
        <v>2.0204081632653059</v>
      </c>
      <c r="H36" s="3510" t="s">
        <v>3581</v>
      </c>
      <c r="I36" s="3512"/>
      <c r="J36" s="3465"/>
      <c r="K36" s="3465"/>
      <c r="L36" s="3465"/>
    </row>
    <row r="37" spans="1:15" ht="20.100000000000001" hidden="1" customHeight="1">
      <c r="B37" s="4010" t="s">
        <v>3465</v>
      </c>
      <c r="C37" s="4013">
        <f>1-C36</f>
        <v>0.5</v>
      </c>
      <c r="D37" s="4014">
        <f>C31</f>
        <v>2.4500000000000002</v>
      </c>
      <c r="E37" s="4014"/>
      <c r="F37" s="4014"/>
      <c r="G37" s="3508"/>
      <c r="H37" s="3509"/>
      <c r="J37" s="3465"/>
      <c r="K37" s="3465"/>
      <c r="L37" s="3465"/>
    </row>
    <row r="38" spans="1:15" ht="22.5" hidden="1" customHeight="1">
      <c r="B38" s="4015" t="s">
        <v>3582</v>
      </c>
      <c r="C38" s="4015"/>
      <c r="D38" s="4014">
        <f>ROUND(C36*D36+C37*D37,2)</f>
        <v>4.93</v>
      </c>
      <c r="E38" s="4014"/>
      <c r="F38" s="4014"/>
      <c r="G38" s="3508"/>
      <c r="H38" s="3509"/>
      <c r="J38" s="3465"/>
    </row>
    <row r="39" spans="1:15" ht="22.5" hidden="1" customHeight="1">
      <c r="B39" s="4010" t="s">
        <v>3583</v>
      </c>
      <c r="C39" s="4010">
        <f>ROUND(D38*0.9,1)</f>
        <v>4.4000000000000004</v>
      </c>
      <c r="D39" s="4016" t="s">
        <v>3584</v>
      </c>
      <c r="E39" s="4017">
        <f>ROUND(D38*1.1,1)</f>
        <v>5.4</v>
      </c>
      <c r="F39" s="4017"/>
      <c r="G39" s="3508" t="s">
        <v>3585</v>
      </c>
      <c r="H39" s="4018">
        <v>11.48</v>
      </c>
      <c r="J39" s="3465"/>
    </row>
    <row r="40" spans="1:15" ht="18" hidden="1" customHeight="1">
      <c r="B40" s="4010" t="s">
        <v>3586</v>
      </c>
      <c r="C40" s="4010">
        <f>ROUND(C39+H40,1)</f>
        <v>4.4000000000000004</v>
      </c>
      <c r="D40" s="4016" t="s">
        <v>3584</v>
      </c>
      <c r="E40" s="4017">
        <f>ROUND(E39+H40,1)</f>
        <v>5.4</v>
      </c>
      <c r="F40" s="4017"/>
      <c r="G40" s="3588" t="s">
        <v>3587</v>
      </c>
      <c r="H40" s="3588"/>
    </row>
    <row r="41" spans="1:15" ht="18" hidden="1" customHeight="1">
      <c r="B41" s="3514"/>
      <c r="C41" s="3515"/>
      <c r="D41" s="3516"/>
      <c r="E41" s="3516"/>
      <c r="F41" s="3516"/>
      <c r="G41" s="3508"/>
      <c r="H41" s="3509"/>
      <c r="K41" s="3517" t="s">
        <v>3588</v>
      </c>
      <c r="L41" s="3517" t="s">
        <v>3589</v>
      </c>
      <c r="M41" s="3579" t="s">
        <v>3590</v>
      </c>
      <c r="N41" s="3579" t="s">
        <v>3591</v>
      </c>
      <c r="O41" s="3579" t="s">
        <v>2134</v>
      </c>
    </row>
    <row r="42" spans="1:15" ht="18" hidden="1" customHeight="1">
      <c r="B42" s="3508" t="s">
        <v>3592</v>
      </c>
      <c r="C42" s="3516"/>
      <c r="D42" s="3516"/>
      <c r="E42" s="3508" t="s">
        <v>3593</v>
      </c>
      <c r="F42" s="3516"/>
      <c r="G42" s="3508"/>
      <c r="H42" s="3508" t="s">
        <v>3594</v>
      </c>
      <c r="K42" s="3517">
        <f>C31</f>
        <v>2.4500000000000002</v>
      </c>
      <c r="L42" s="3517">
        <f>'[6]比较法-商业出租'!C49</f>
        <v>7.4</v>
      </c>
      <c r="M42" s="3579">
        <f>K42-L42</f>
        <v>-4.95</v>
      </c>
      <c r="N42" s="3519">
        <f>M42/L42</f>
        <v>-0.66891891891891886</v>
      </c>
      <c r="O42" s="3579">
        <f>ROUND((K42+L42)/2,2)</f>
        <v>4.93</v>
      </c>
    </row>
    <row r="43" spans="1:15" ht="29.25" hidden="1" customHeight="1"/>
    <row r="44" spans="1:15" hidden="1">
      <c r="B44" s="4019" t="s">
        <v>3595</v>
      </c>
      <c r="C44" s="4019"/>
      <c r="D44" s="4019"/>
      <c r="E44" s="4020"/>
      <c r="F44" s="4021" t="s">
        <v>3596</v>
      </c>
      <c r="G44" s="4022"/>
    </row>
    <row r="45" spans="1:15" hidden="1">
      <c r="B45" s="4023" t="s">
        <v>3597</v>
      </c>
      <c r="C45" s="4024" t="s">
        <v>3598</v>
      </c>
      <c r="D45" s="4024" t="s">
        <v>3599</v>
      </c>
      <c r="E45" s="4020" t="s">
        <v>3600</v>
      </c>
      <c r="F45" s="4021"/>
      <c r="G45" s="4022"/>
    </row>
    <row r="46" spans="1:15" hidden="1">
      <c r="B46" s="4024">
        <v>1</v>
      </c>
      <c r="C46" s="4024">
        <v>1</v>
      </c>
      <c r="D46" s="4024">
        <v>1</v>
      </c>
      <c r="E46" s="4020">
        <v>0</v>
      </c>
      <c r="F46" s="4024">
        <f>F47*B46*C46*D46-F47*E46</f>
        <v>31839</v>
      </c>
      <c r="G46" s="4022" t="s">
        <v>3355</v>
      </c>
    </row>
    <row r="47" spans="1:15" hidden="1">
      <c r="B47" s="4022"/>
      <c r="C47" s="4022"/>
      <c r="D47" s="4022"/>
      <c r="E47" s="4025"/>
      <c r="F47" s="4024">
        <f>'[6]比较法-商业出售'!C49</f>
        <v>31839</v>
      </c>
      <c r="G47" s="4026"/>
    </row>
    <row r="48" spans="1:15" hidden="1"/>
    <row r="49" hidden="1"/>
    <row r="50" hidden="1"/>
    <row r="51" hidden="1"/>
    <row r="52" hidden="1"/>
    <row r="53" hidden="1"/>
    <row r="54" hidden="1"/>
    <row r="55" hidden="1"/>
    <row r="56" hidden="1"/>
  </sheetData>
  <mergeCells count="71">
    <mergeCell ref="E39:F39"/>
    <mergeCell ref="E40:F40"/>
    <mergeCell ref="B44:D44"/>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C22:D22"/>
    <mergeCell ref="E22:F22"/>
    <mergeCell ref="H22:I22"/>
    <mergeCell ref="C23:F23"/>
    <mergeCell ref="G23:I23"/>
    <mergeCell ref="E24:F24"/>
    <mergeCell ref="G24:I24"/>
    <mergeCell ref="G19:I19"/>
    <mergeCell ref="C20:F20"/>
    <mergeCell ref="H20:H21"/>
    <mergeCell ref="I20:I21"/>
    <mergeCell ref="C21:D21"/>
    <mergeCell ref="E21:F21"/>
    <mergeCell ref="C15:D15"/>
    <mergeCell ref="E15:F15"/>
    <mergeCell ref="H15:I15"/>
    <mergeCell ref="G16:I16"/>
    <mergeCell ref="C17:F17"/>
    <mergeCell ref="C18:D18"/>
    <mergeCell ref="E18:F18"/>
    <mergeCell ref="C11:F11"/>
    <mergeCell ref="C12:F12"/>
    <mergeCell ref="H12:I12"/>
    <mergeCell ref="C13:F13"/>
    <mergeCell ref="G13:I13"/>
    <mergeCell ref="C14:F14"/>
    <mergeCell ref="H14:I14"/>
    <mergeCell ref="C7:F7"/>
    <mergeCell ref="C8:F8"/>
    <mergeCell ref="C9:F9"/>
    <mergeCell ref="H9:I9"/>
    <mergeCell ref="C10:F10"/>
    <mergeCell ref="H10:I10"/>
    <mergeCell ref="A1:I1"/>
    <mergeCell ref="K1:K5"/>
    <mergeCell ref="C2:F2"/>
    <mergeCell ref="H2:I2"/>
    <mergeCell ref="C3:F3"/>
    <mergeCell ref="A4:A6"/>
    <mergeCell ref="B4:B6"/>
    <mergeCell ref="C4:F6"/>
    <mergeCell ref="G4:G6"/>
    <mergeCell ref="K6:K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5"/>
  <sheetViews>
    <sheetView view="pageBreakPreview" zoomScale="80" zoomScaleNormal="70" zoomScaleSheetLayoutView="80" workbookViewId="0">
      <selection activeCell="G91" sqref="G9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0</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578.16899999999998</v>
      </c>
      <c r="C2" s="1385" t="s">
        <v>879</v>
      </c>
      <c r="D2" s="1469">
        <f ca="1">C40+J29+L46</f>
        <v>5781689.5499999998</v>
      </c>
      <c r="E2" s="1386" t="s">
        <v>880</v>
      </c>
      <c r="F2" s="1387"/>
      <c r="G2" s="2699"/>
      <c r="H2" s="2688"/>
      <c r="I2" s="2688"/>
      <c r="J2" s="2688"/>
      <c r="K2" s="2689"/>
      <c r="L2" s="2688"/>
      <c r="M2" s="2688"/>
    </row>
    <row r="3" spans="1:37" ht="18" customHeight="1" thickBot="1">
      <c r="A3" s="1388" t="s">
        <v>881</v>
      </c>
      <c r="B3" s="1389">
        <f ca="1">IF(ISERROR(D2/F43),0,ROUND(D2/F43,0))</f>
        <v>12385</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231267.58199999999</v>
      </c>
      <c r="D5" s="1362" t="s">
        <v>889</v>
      </c>
      <c r="E5" s="1069"/>
      <c r="F5" s="1070"/>
      <c r="G5" s="1382"/>
      <c r="H5" s="299">
        <v>1</v>
      </c>
      <c r="I5" s="300" t="s">
        <v>888</v>
      </c>
      <c r="J5" s="1068">
        <f ca="1">J6+J10+J12</f>
        <v>0</v>
      </c>
      <c r="K5" s="1362" t="s">
        <v>889</v>
      </c>
      <c r="L5" s="1069"/>
      <c r="M5" s="1070"/>
    </row>
    <row r="6" spans="1:37" ht="18" customHeight="1">
      <c r="A6" s="1067" t="s">
        <v>398</v>
      </c>
      <c r="B6" s="3776" t="s">
        <v>694</v>
      </c>
      <c r="C6" s="1072">
        <f ca="1">C39</f>
        <v>231267.58199999999</v>
      </c>
      <c r="D6" s="155" t="s">
        <v>2102</v>
      </c>
      <c r="E6" s="302" t="s">
        <v>696</v>
      </c>
      <c r="F6" s="303">
        <f ca="1">ROUND(C6/F8/F7/(1-F9),2)</f>
        <v>1.7</v>
      </c>
      <c r="G6" s="1382"/>
      <c r="H6" s="1067" t="s">
        <v>398</v>
      </c>
      <c r="I6" s="3776" t="s">
        <v>694</v>
      </c>
      <c r="J6" s="301">
        <f ca="1">ROUND(M6*M8*M7*(1-M9),0)</f>
        <v>0</v>
      </c>
      <c r="K6" s="1374" t="s">
        <v>2103</v>
      </c>
      <c r="L6" s="302" t="s">
        <v>696</v>
      </c>
      <c r="M6" s="303">
        <f ca="1">INDIRECT("'数据-取费表'!z"&amp;$G$1)</f>
        <v>0</v>
      </c>
    </row>
    <row r="7" spans="1:37" ht="18" customHeight="1">
      <c r="A7" s="1071"/>
      <c r="B7" s="3777"/>
      <c r="C7" s="1073"/>
      <c r="D7" s="307"/>
      <c r="E7" s="1074" t="s">
        <v>697</v>
      </c>
      <c r="F7" s="303">
        <f ca="1">IF(INDIRECT("'数据-取费表'!ah"&amp;$G$1)="",INDIRECT("'数据-取费表'!k"&amp;$G$1),INDIRECT("'数据-取费表'!ah"&amp;$G$1))</f>
        <v>466.83</v>
      </c>
      <c r="G7" s="1382"/>
      <c r="H7" s="304"/>
      <c r="I7" s="3777"/>
      <c r="J7" s="306"/>
      <c r="K7" s="307"/>
      <c r="L7" s="302" t="s">
        <v>697</v>
      </c>
      <c r="M7" s="303">
        <f ca="1">F7</f>
        <v>466.83</v>
      </c>
    </row>
    <row r="8" spans="1:37" ht="18" customHeight="1">
      <c r="A8" s="304"/>
      <c r="B8" s="3777"/>
      <c r="C8" s="306"/>
      <c r="D8" s="307"/>
      <c r="E8" s="302" t="s">
        <v>698</v>
      </c>
      <c r="F8" s="303">
        <f ca="1">INDIRECT("'数据-取费表'!ai"&amp;$G$1)</f>
        <v>365</v>
      </c>
      <c r="G8" s="1382"/>
      <c r="H8" s="304"/>
      <c r="I8" s="3777"/>
      <c r="J8" s="306"/>
      <c r="K8" s="307"/>
      <c r="L8" s="302" t="s">
        <v>698</v>
      </c>
      <c r="M8" s="303">
        <f ca="1">INDIRECT("'数据-取费表'!ai"&amp;$G$1)</f>
        <v>365</v>
      </c>
    </row>
    <row r="9" spans="1:37" ht="18" customHeight="1">
      <c r="A9" s="304"/>
      <c r="B9" s="3778"/>
      <c r="C9" s="306"/>
      <c r="D9" s="307"/>
      <c r="E9" s="302" t="s">
        <v>699</v>
      </c>
      <c r="F9" s="312">
        <v>0.2</v>
      </c>
      <c r="G9" s="1382"/>
      <c r="H9" s="304"/>
      <c r="I9" s="3778"/>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2112</v>
      </c>
      <c r="E10" s="313" t="s">
        <v>701</v>
      </c>
      <c r="F10" s="1114" t="s">
        <v>3649</v>
      </c>
      <c r="G10" s="1382"/>
      <c r="H10" s="1067" t="s">
        <v>402</v>
      </c>
      <c r="I10" s="1363" t="s">
        <v>700</v>
      </c>
      <c r="J10" s="301">
        <f ca="1">ROUND(IF(M10="押一",J6/12*M11,IF(M10="押二",J6/12*2*M11,IF(M10="押三",J6/12*3*M11,J11*M11))),0)</f>
        <v>0</v>
      </c>
      <c r="K10" s="1375" t="s">
        <v>2114</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hidden="1" customHeight="1" thickTop="1">
      <c r="A13" s="1077">
        <v>2</v>
      </c>
      <c r="B13" s="1078" t="s">
        <v>704</v>
      </c>
      <c r="C13" s="310">
        <f ca="1">ROUND(C29*F13,0)</f>
        <v>1007558</v>
      </c>
      <c r="D13" s="1079" t="s">
        <v>705</v>
      </c>
      <c r="E13" s="1079" t="s">
        <v>706</v>
      </c>
      <c r="F13" s="1080">
        <f ca="1">INDIRECT("'数据-取费表'!y"&amp;$G$1)</f>
        <v>0.6</v>
      </c>
      <c r="G13" s="1382"/>
      <c r="H13" s="1077">
        <v>2</v>
      </c>
      <c r="I13" s="1078" t="s">
        <v>704</v>
      </c>
      <c r="J13" s="1066">
        <f ca="1">ROUND(J14*J15,0)</f>
        <v>0</v>
      </c>
      <c r="K13" s="1085" t="s">
        <v>705</v>
      </c>
      <c r="L13" s="1390"/>
      <c r="M13" s="1391"/>
    </row>
    <row r="14" spans="1:37" ht="18" hidden="1" customHeight="1">
      <c r="A14" s="980" t="s">
        <v>397</v>
      </c>
      <c r="B14" s="302" t="s">
        <v>707</v>
      </c>
      <c r="C14" s="318">
        <f ca="1">ROUND(INDIRECT("'数据-取费表'!l"&amp;$G$1)*F43+'数据-取费表'!L14*INDIRECT("'数据-取费表'!S"&amp;$G$1),0)</f>
        <v>1167075</v>
      </c>
      <c r="D14" s="1343" t="s">
        <v>708</v>
      </c>
      <c r="E14" s="1340"/>
      <c r="F14" s="319"/>
      <c r="G14" s="1382"/>
      <c r="H14" s="980" t="s">
        <v>398</v>
      </c>
      <c r="I14" s="302" t="s">
        <v>709</v>
      </c>
      <c r="J14" s="21">
        <f ca="1">C29</f>
        <v>1679264</v>
      </c>
      <c r="K14" s="12"/>
      <c r="L14" s="805"/>
      <c r="M14" s="806"/>
    </row>
    <row r="15" spans="1:37" s="1395" customFormat="1" ht="18" hidden="1" customHeight="1" thickBot="1">
      <c r="A15" s="980" t="s">
        <v>399</v>
      </c>
      <c r="B15" s="302" t="s">
        <v>710</v>
      </c>
      <c r="C15" s="21">
        <f ca="1">ROUND(C14*F15,0)</f>
        <v>35012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hidden="1"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16793</v>
      </c>
      <c r="K16" s="1085" t="s">
        <v>715</v>
      </c>
      <c r="L16" s="1086"/>
      <c r="M16" s="1070"/>
    </row>
    <row r="17" spans="1:37" s="1395" customFormat="1" ht="18" hidden="1" customHeight="1">
      <c r="A17" s="980" t="s">
        <v>681</v>
      </c>
      <c r="B17" s="302" t="s">
        <v>716</v>
      </c>
      <c r="C17" s="21">
        <f ca="1">ROUND(F17*(F43+INDIRECT("'数据-取费表'!S"&amp;$G$1)),0)</f>
        <v>93366</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hidden="1" customHeight="1">
      <c r="A18" s="980" t="s">
        <v>682</v>
      </c>
      <c r="B18" s="302" t="s">
        <v>722</v>
      </c>
      <c r="C18" s="21">
        <f ca="1">ROUND(C14*F18,0)</f>
        <v>17506</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hidden="1" customHeight="1">
      <c r="A19" s="980" t="s">
        <v>398</v>
      </c>
      <c r="B19" s="302" t="s">
        <v>725</v>
      </c>
      <c r="C19" s="21">
        <f ca="1">SUM(C14:C18)</f>
        <v>1312959</v>
      </c>
      <c r="D19" s="131" t="s">
        <v>726</v>
      </c>
      <c r="E19" s="1358"/>
      <c r="F19" s="23"/>
      <c r="G19" s="1382"/>
      <c r="H19" s="980"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hidden="1" customHeight="1">
      <c r="A20" s="980" t="s">
        <v>402</v>
      </c>
      <c r="B20" s="302" t="s">
        <v>728</v>
      </c>
      <c r="C20" s="21">
        <f ca="1">ROUND(C19*F20,0)</f>
        <v>19694</v>
      </c>
      <c r="D20" s="323" t="s">
        <v>729</v>
      </c>
      <c r="E20" s="302" t="s">
        <v>712</v>
      </c>
      <c r="F20" s="322">
        <f>'数据-取费表'!B37</f>
        <v>1.4999999999999999E-2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hidden="1" customHeight="1">
      <c r="A21" s="980" t="s">
        <v>437</v>
      </c>
      <c r="B21" s="302" t="s">
        <v>733</v>
      </c>
      <c r="C21" s="21" t="s">
        <v>0</v>
      </c>
      <c r="D21" s="323" t="s">
        <v>734</v>
      </c>
      <c r="E21" s="302" t="s">
        <v>735</v>
      </c>
      <c r="F21" s="322">
        <f>'数据-取费表'!B38</f>
        <v>1.4999999999999999E-2</v>
      </c>
      <c r="G21" s="1394"/>
      <c r="H21" s="326"/>
      <c r="I21" s="311"/>
      <c r="J21" s="26"/>
      <c r="K21" s="327"/>
      <c r="L21" s="302" t="s">
        <v>736</v>
      </c>
      <c r="M21" s="303">
        <f ca="1">INDIRECT("'数据-取费表'!r"&amp;$G$1)</f>
        <v>202.08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hidden="1" customHeight="1">
      <c r="A22" s="980" t="s">
        <v>683</v>
      </c>
      <c r="B22" s="302" t="s">
        <v>737</v>
      </c>
      <c r="C22" s="21"/>
      <c r="D22" s="131" t="str">
        <f>IF(F23&lt;=1,"单利计息。","复利计息。")&amp;"建造成本、管理费用、销售费用产生的利息。"</f>
        <v>单利计息。建造成本、管理费用、销售费用产生的利息。</v>
      </c>
      <c r="E22" s="1358"/>
      <c r="F22" s="23"/>
      <c r="G22" s="1382"/>
      <c r="H22" s="980" t="s">
        <v>402</v>
      </c>
      <c r="I22" s="302" t="s">
        <v>738</v>
      </c>
      <c r="J22" s="21">
        <f ca="1">ROUND(J14*M22,0)</f>
        <v>16793</v>
      </c>
      <c r="K22" s="1342" t="s">
        <v>739</v>
      </c>
      <c r="L22" s="302" t="s">
        <v>712</v>
      </c>
      <c r="M22" s="328">
        <f ca="1">INDIRECT("'数据-取费表'!Ak"&amp;$G$1)</f>
        <v>0.01</v>
      </c>
    </row>
    <row r="23" spans="1:37" s="1395" customFormat="1" ht="18" hidden="1" customHeight="1">
      <c r="A23" s="980" t="s">
        <v>397</v>
      </c>
      <c r="B23" s="302" t="s">
        <v>740</v>
      </c>
      <c r="C23" s="21">
        <f ca="1">IF('数据-取费表'!B22&lt;=1,ROUND(C19*F24*F23/2,0)+ROUND(C20*F24*F23/2,0),ROUND(C19*(POWER((1+F24),F23/2)-1),0)+ROUND(C20*(POWER((1+F24),F23/2)-1),0))</f>
        <v>27653</v>
      </c>
      <c r="D23" s="329" t="str">
        <f>IF(F23&lt;=1,"(建造成本+管理费用)×利率×(建设周期÷2)","(建造成本+管理费用)×((1+利率)^(建设周期÷2)-1)")</f>
        <v>(建造成本+管理费用)×利率×(建设周期÷2)</v>
      </c>
      <c r="E23" s="302" t="s">
        <v>741</v>
      </c>
      <c r="F23" s="325">
        <f>'数据-取费表'!B20</f>
        <v>1</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hidden="1" customHeight="1" thickBot="1">
      <c r="A24" s="980"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hidden="1" customHeight="1" thickTop="1">
      <c r="A25" s="980" t="s">
        <v>749</v>
      </c>
      <c r="B25" s="302" t="s">
        <v>750</v>
      </c>
      <c r="C25" s="21"/>
      <c r="D25" s="131" t="s">
        <v>751</v>
      </c>
      <c r="E25" s="1358"/>
      <c r="F25" s="23"/>
      <c r="G25" s="1382"/>
      <c r="H25" s="1077" t="s">
        <v>394</v>
      </c>
      <c r="I25" s="1092" t="s">
        <v>752</v>
      </c>
      <c r="J25" s="310">
        <f ca="1">J5-J16</f>
        <v>-16793</v>
      </c>
      <c r="K25" s="1093" t="s">
        <v>753</v>
      </c>
      <c r="L25" s="1094"/>
      <c r="M25" s="1095"/>
    </row>
    <row r="26" spans="1:37" ht="18" hidden="1" customHeight="1">
      <c r="A26" s="980" t="s">
        <v>397</v>
      </c>
      <c r="B26" s="302" t="s">
        <v>754</v>
      </c>
      <c r="C26" s="21">
        <f ca="1">ROUND((C19+C20)*F26,0)</f>
        <v>199898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hidden="1"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hidden="1"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hidden="1" customHeight="1" thickBot="1">
      <c r="A29" s="1087" t="s">
        <v>401</v>
      </c>
      <c r="B29" s="1088" t="s">
        <v>767</v>
      </c>
      <c r="C29" s="1089">
        <f ca="1">ROUND((C19+C20+C23+C26)/(1-F21-C24-C27-C28),0)</f>
        <v>1679264</v>
      </c>
      <c r="D29" s="1090"/>
      <c r="E29" s="1088"/>
      <c r="F29" s="1091"/>
      <c r="G29" s="1394"/>
      <c r="H29" s="334" t="s">
        <v>396</v>
      </c>
      <c r="I29" s="335" t="s">
        <v>768</v>
      </c>
      <c r="J29" s="336">
        <f ca="1">ROUND(J26/(1+F40)^F41,0)</f>
        <v>0</v>
      </c>
      <c r="K29" s="337" t="s">
        <v>769</v>
      </c>
      <c r="L29" s="338"/>
      <c r="M29" s="339">
        <f ca="1">INDIRECT("'数据-取费表'!k"&amp;$G$1)</f>
        <v>466.83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hidden="1" customHeight="1" thickTop="1">
      <c r="A30" s="1077" t="s">
        <v>393</v>
      </c>
      <c r="B30" s="1078" t="s">
        <v>714</v>
      </c>
      <c r="C30" s="310">
        <v>0</v>
      </c>
      <c r="D30" s="1085" t="s">
        <v>715</v>
      </c>
      <c r="E30" s="1086"/>
      <c r="F30" s="1070"/>
      <c r="G30" s="1382"/>
      <c r="H30" s="2690"/>
      <c r="I30" s="1396"/>
      <c r="J30" s="1397"/>
      <c r="K30" s="2470"/>
      <c r="L30" s="2691"/>
      <c r="M30" s="2692"/>
    </row>
    <row r="31" spans="1:37" ht="18" hidden="1" customHeight="1">
      <c r="A31" s="980" t="s">
        <v>398</v>
      </c>
      <c r="B31" s="302" t="s">
        <v>719</v>
      </c>
      <c r="C31" s="2314">
        <f ca="1">ROUND(IF(AND(项目基本情况!B11="自然人",项目基本情况!B10="北京市"),C6*F31/(1+'数据-取费表'!C42),C32+C33+C34),0)</f>
        <v>38765</v>
      </c>
      <c r="D31" s="1343" t="s">
        <v>720</v>
      </c>
      <c r="E31" s="1342" t="s">
        <v>770</v>
      </c>
      <c r="F31" s="2313" t="str">
        <f>IF(项目基本情况!B11="企业","——",IF(M47="住宅",IF(F6*F7*F8/12/(1+'数据-取费表'!F30)&gt;100000,4%,2.5%),IF(F6*F7*F8/12/(1+'数据-取费表'!F30)&gt;100000,12%,7%)))</f>
        <v>——</v>
      </c>
      <c r="G31" s="1382"/>
      <c r="H31" s="2801" t="s">
        <v>2302</v>
      </c>
      <c r="I31" s="1396"/>
      <c r="J31" s="1397"/>
      <c r="K31" s="2470"/>
      <c r="L31" s="2691"/>
      <c r="M31" s="2692"/>
    </row>
    <row r="32" spans="1:37" ht="18" hidden="1" customHeight="1">
      <c r="A32" s="980" t="s">
        <v>397</v>
      </c>
      <c r="B32" s="302" t="s">
        <v>723</v>
      </c>
      <c r="C32" s="21">
        <f ca="1">IF(项目基本情况!B11="自然人","——",ROUND(C6*F32/(1+'数据-取费表'!C42),0))</f>
        <v>12334</v>
      </c>
      <c r="D32" s="1342" t="s">
        <v>724</v>
      </c>
      <c r="E32" s="302" t="s">
        <v>712</v>
      </c>
      <c r="F32" s="331">
        <f>'数据-取费表'!B41</f>
        <v>5.6000000000000001E-2</v>
      </c>
      <c r="G32" s="1382"/>
      <c r="H32" s="2690"/>
      <c r="I32" s="1396"/>
      <c r="J32" s="1397"/>
      <c r="K32" s="2470"/>
      <c r="L32" s="2691"/>
      <c r="M32" s="2692"/>
    </row>
    <row r="33" spans="1:18" ht="18" hidden="1" customHeight="1">
      <c r="A33" s="980" t="s">
        <v>399</v>
      </c>
      <c r="B33" s="302" t="s">
        <v>727</v>
      </c>
      <c r="C33" s="21">
        <f ca="1">IF(项目基本情况!B11="自然人","——",IF(D33="按租金收入计税",ROUND(C6*F33/(1+'数据-取费表'!C42),0),IF(D33="按房产原值计税",ROUND(C29*F33*0.7,0),INDIRECT("'数据-取费表'!Aj"&amp;$G$1))))</f>
        <v>26431</v>
      </c>
      <c r="D33" s="1368" t="s">
        <v>3337</v>
      </c>
      <c r="E33" s="302" t="s">
        <v>712</v>
      </c>
      <c r="F33" s="322">
        <f>IF(D33="按票据","——",IF(D33="按租金收入计税",'数据-取费表'!B51,'数据-取费表'!B50))</f>
        <v>0.12</v>
      </c>
      <c r="G33" s="1382"/>
      <c r="H33" s="2693"/>
      <c r="I33" s="1396"/>
      <c r="J33" s="1397"/>
      <c r="K33" s="2694"/>
      <c r="L33" s="2693"/>
      <c r="M33" s="2693"/>
    </row>
    <row r="34" spans="1:18" ht="18" hidden="1" customHeight="1">
      <c r="A34" s="1067" t="s">
        <v>680</v>
      </c>
      <c r="B34" s="155" t="s">
        <v>730</v>
      </c>
      <c r="C34" s="22">
        <f ca="1">IF(项目基本情况!B11="自然人","——",ROUND(F34*F35,0))</f>
        <v>0</v>
      </c>
      <c r="D34" s="324" t="s">
        <v>731</v>
      </c>
      <c r="E34" s="302" t="s">
        <v>732</v>
      </c>
      <c r="F34" s="325">
        <f>'数据-取费表'!B52</f>
        <v>0</v>
      </c>
      <c r="G34" s="1382"/>
      <c r="H34" s="2690"/>
      <c r="I34" s="1396"/>
      <c r="J34" s="1397"/>
      <c r="K34" s="2695"/>
      <c r="L34" s="2696"/>
      <c r="M34" s="2696"/>
    </row>
    <row r="35" spans="1:18" ht="18" hidden="1" customHeight="1">
      <c r="A35" s="1101"/>
      <c r="B35" s="1099"/>
      <c r="C35" s="26"/>
      <c r="D35" s="327"/>
      <c r="E35" s="302" t="s">
        <v>736</v>
      </c>
      <c r="F35" s="303">
        <f ca="1">INDIRECT("'数据-取费表'!r"&amp;$G$1)</f>
        <v>202.08</v>
      </c>
      <c r="G35" s="1382"/>
      <c r="H35" s="2690"/>
      <c r="I35" s="1396"/>
      <c r="J35" s="1397"/>
      <c r="K35" s="2694"/>
      <c r="L35" s="2693"/>
      <c r="M35" s="2693"/>
    </row>
    <row r="36" spans="1:18" ht="18" hidden="1" customHeight="1">
      <c r="A36" s="1100" t="s">
        <v>402</v>
      </c>
      <c r="B36" s="302" t="s">
        <v>738</v>
      </c>
      <c r="C36" s="21">
        <f ca="1">ROUND(C29*F36,0)</f>
        <v>16793</v>
      </c>
      <c r="D36" s="1342" t="s">
        <v>771</v>
      </c>
      <c r="E36" s="302" t="s">
        <v>712</v>
      </c>
      <c r="F36" s="328">
        <f ca="1">INDIRECT("'数据-取费表'!Ak"&amp;$G$1)</f>
        <v>0.01</v>
      </c>
      <c r="G36" s="1382"/>
      <c r="H36" s="2693"/>
      <c r="I36" s="1396"/>
      <c r="J36" s="1397"/>
      <c r="K36" s="2538"/>
      <c r="L36" s="2693"/>
      <c r="M36" s="2693"/>
    </row>
    <row r="37" spans="1:18" ht="18" hidden="1" customHeight="1">
      <c r="A37" s="980" t="s">
        <v>437</v>
      </c>
      <c r="B37" s="302" t="s">
        <v>742</v>
      </c>
      <c r="C37" s="21">
        <f ca="1">ROUND(C13*F37,0)</f>
        <v>1008</v>
      </c>
      <c r="D37" s="1342" t="s">
        <v>743</v>
      </c>
      <c r="E37" s="302" t="s">
        <v>744</v>
      </c>
      <c r="F37" s="330">
        <f ca="1">INDIRECT("'数据-取费表'!Al"&amp;$G$1)</f>
        <v>1E-3</v>
      </c>
      <c r="G37" s="1382"/>
      <c r="H37" s="2693"/>
      <c r="I37" s="1396"/>
      <c r="J37" s="1397"/>
      <c r="K37" s="2538"/>
      <c r="L37" s="2693"/>
      <c r="M37" s="2693"/>
    </row>
    <row r="38" spans="1:18" ht="18" hidden="1" customHeight="1" thickBot="1">
      <c r="A38" s="1087" t="s">
        <v>684</v>
      </c>
      <c r="B38" s="1088" t="s">
        <v>728</v>
      </c>
      <c r="C38" s="1089">
        <f ca="1">ROUND(C5*F38,0)</f>
        <v>2313</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C40*F40</f>
        <v>231267.58199999999</v>
      </c>
      <c r="D39" s="1093" t="s">
        <v>773</v>
      </c>
      <c r="E39" s="1094"/>
      <c r="F39" s="1095"/>
      <c r="G39" s="1382"/>
      <c r="H39" s="2693"/>
      <c r="I39" s="1396"/>
      <c r="J39" s="1397"/>
      <c r="K39" s="2697"/>
      <c r="L39" s="2693"/>
      <c r="M39" s="2693"/>
    </row>
    <row r="40" spans="1:18" ht="18" customHeight="1">
      <c r="A40" s="299" t="s">
        <v>395</v>
      </c>
      <c r="B40" s="300" t="s">
        <v>774</v>
      </c>
      <c r="C40" s="3554">
        <f ca="1">C43*F43</f>
        <v>5781689.5499999998</v>
      </c>
      <c r="D40" s="324" t="s">
        <v>758</v>
      </c>
      <c r="E40" s="302" t="s">
        <v>759</v>
      </c>
      <c r="F40" s="312">
        <v>0.04</v>
      </c>
      <c r="G40" s="1382"/>
      <c r="H40" s="1459"/>
      <c r="I40" s="1396"/>
      <c r="J40" s="1397"/>
      <c r="K40" s="2697"/>
      <c r="L40" s="1459"/>
      <c r="M40" s="1459"/>
    </row>
    <row r="41" spans="1:18" ht="18" customHeight="1">
      <c r="A41" s="304"/>
      <c r="B41" s="305"/>
      <c r="C41" s="306"/>
      <c r="D41" s="332" t="s">
        <v>775</v>
      </c>
      <c r="E41" s="302" t="s">
        <v>763</v>
      </c>
      <c r="F41" s="333"/>
      <c r="G41" s="1382"/>
      <c r="H41" s="1189"/>
      <c r="I41" s="1396"/>
      <c r="J41" s="1397"/>
      <c r="K41" s="2538"/>
      <c r="L41" s="1189"/>
      <c r="M41" s="1189"/>
    </row>
    <row r="42" spans="1:18" ht="18" customHeight="1">
      <c r="A42" s="308"/>
      <c r="B42" s="309"/>
      <c r="C42" s="310"/>
      <c r="D42" s="327"/>
      <c r="E42" s="302" t="s">
        <v>766</v>
      </c>
      <c r="F42" s="312"/>
      <c r="G42" s="1382"/>
      <c r="H42" s="1189"/>
      <c r="I42" s="1396"/>
      <c r="J42" s="1397"/>
      <c r="K42" s="2538"/>
      <c r="L42" s="1189"/>
      <c r="M42" s="1189"/>
    </row>
    <row r="43" spans="1:18" ht="18" customHeight="1" thickBot="1">
      <c r="A43" s="334" t="s">
        <v>396</v>
      </c>
      <c r="B43" s="335" t="s">
        <v>776</v>
      </c>
      <c r="C43" s="3555">
        <f>'比较法-商业售价'!C48</f>
        <v>12385</v>
      </c>
      <c r="D43" s="337" t="s">
        <v>777</v>
      </c>
      <c r="E43" s="338" t="s">
        <v>778</v>
      </c>
      <c r="F43" s="339">
        <f ca="1">INDIRECT("'数据-取费表'!k"&amp;$G$1)</f>
        <v>466.83</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hidden="1" customHeight="1" thickBot="1">
      <c r="A45" s="3426" t="s">
        <v>3353</v>
      </c>
      <c r="B45" s="1398"/>
      <c r="C45" s="1470">
        <f ca="1">ROUND((C68-C40)/10000,4)</f>
        <v>-578.16899999999998</v>
      </c>
      <c r="D45" s="3427" t="s">
        <v>3354</v>
      </c>
      <c r="E45" s="1398"/>
      <c r="F45" s="1398"/>
      <c r="O45" s="1401" t="s">
        <v>808</v>
      </c>
      <c r="P45" s="1459"/>
      <c r="Q45" s="1459"/>
      <c r="R45" s="1459"/>
    </row>
    <row r="46" spans="1:18" s="1382" customFormat="1" ht="13.5" hidden="1" thickBot="1">
      <c r="A46" s="1402" t="s">
        <v>809</v>
      </c>
      <c r="C46" s="1403">
        <f ca="1">ROUND(C45,0)</f>
        <v>-578</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hidden="1" thickBot="1">
      <c r="A47" s="944" t="s">
        <v>687</v>
      </c>
      <c r="B47" s="976" t="s">
        <v>688</v>
      </c>
      <c r="C47" s="976" t="s">
        <v>689</v>
      </c>
      <c r="D47" s="976" t="s">
        <v>690</v>
      </c>
      <c r="E47" s="1056" t="s">
        <v>691</v>
      </c>
      <c r="F47" s="1057"/>
      <c r="G47" s="720"/>
      <c r="I47" s="1412" t="s">
        <v>815</v>
      </c>
      <c r="J47" s="1413" t="s">
        <v>3388</v>
      </c>
      <c r="K47" s="1414" t="s">
        <v>816</v>
      </c>
      <c r="L47" s="1415">
        <f ca="1">INDIRECT("'数据-取费表'!d"&amp;$G$1)</f>
        <v>0</v>
      </c>
      <c r="M47" s="1378" t="str">
        <f>IF(ISNUMBER(FIND("住宅",C1)),"住宅","非住宅")</f>
        <v>非住宅</v>
      </c>
      <c r="O47" s="1416" t="s">
        <v>403</v>
      </c>
      <c r="P47" s="1417" t="s">
        <v>817</v>
      </c>
      <c r="Q47" s="1418">
        <f ca="1">C40+J29</f>
        <v>5781689.5499999998</v>
      </c>
      <c r="R47" s="1418" t="s">
        <v>818</v>
      </c>
    </row>
    <row r="48" spans="1:18" s="1382" customFormat="1" ht="28.5" hidden="1" thickBot="1">
      <c r="A48" s="1108" t="s">
        <v>438</v>
      </c>
      <c r="B48" s="300" t="s">
        <v>692</v>
      </c>
      <c r="C48" s="1357">
        <f ca="1">C49+C53+C55</f>
        <v>0</v>
      </c>
      <c r="D48" s="1110"/>
      <c r="E48" s="1111"/>
      <c r="F48" s="960"/>
      <c r="G48" s="720"/>
      <c r="H48" s="721"/>
      <c r="I48" s="1419" t="s">
        <v>819</v>
      </c>
      <c r="J48" s="1420" t="s">
        <v>3389</v>
      </c>
      <c r="K48" s="1421" t="s">
        <v>820</v>
      </c>
      <c r="L48" s="1422">
        <f ca="1">INDIRECT("'数据-取费表'!f"&amp;$G$1)</f>
        <v>0</v>
      </c>
      <c r="O48" s="1416" t="s">
        <v>404</v>
      </c>
      <c r="P48" s="1417" t="s">
        <v>821</v>
      </c>
      <c r="Q48" s="1418" t="str">
        <f ca="1">J60</f>
        <v>0</v>
      </c>
      <c r="R48" s="1418" t="s">
        <v>822</v>
      </c>
    </row>
    <row r="49" spans="1:18" s="1382" customFormat="1" ht="13.5" hidden="1"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1679264</v>
      </c>
      <c r="R49" s="1418" t="s">
        <v>818</v>
      </c>
    </row>
    <row r="50" spans="1:18" s="1382" customFormat="1" ht="13.5" hidden="1" thickBot="1">
      <c r="A50" s="974"/>
      <c r="B50" s="977"/>
      <c r="C50" s="978"/>
      <c r="D50" s="951"/>
      <c r="E50" s="1054" t="s">
        <v>697</v>
      </c>
      <c r="F50" s="1055">
        <f ca="1">F7</f>
        <v>466.83</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hidden="1"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2737353</v>
      </c>
      <c r="M51" s="1434"/>
      <c r="O51" s="1426" t="s">
        <v>407</v>
      </c>
      <c r="P51" s="1417" t="s">
        <v>831</v>
      </c>
      <c r="Q51" s="1429">
        <f>J52</f>
        <v>0</v>
      </c>
      <c r="R51" s="1418"/>
    </row>
    <row r="52" spans="1:18" s="1382" customFormat="1" ht="13.5" hidden="1"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hidden="1" customHeight="1" thickBot="1">
      <c r="A53" s="1109" t="s">
        <v>440</v>
      </c>
      <c r="B53" s="323"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774" t="s">
        <v>837</v>
      </c>
      <c r="L53" s="3775"/>
      <c r="O53" s="1416" t="s">
        <v>409</v>
      </c>
      <c r="P53" s="1417" t="s">
        <v>838</v>
      </c>
      <c r="Q53" s="1418">
        <f ca="1">Q47+Q48</f>
        <v>5781689.5499999998</v>
      </c>
      <c r="R53" s="1418" t="s">
        <v>410</v>
      </c>
    </row>
    <row r="54" spans="1:18" s="1382" customFormat="1" ht="13.5" hidden="1"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hidden="1"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hidden="1" customHeight="1" thickTop="1" thickBot="1">
      <c r="A56" s="955">
        <v>2</v>
      </c>
      <c r="B56" s="956" t="s">
        <v>704</v>
      </c>
      <c r="C56" s="232">
        <f ca="1">C13</f>
        <v>1007558</v>
      </c>
      <c r="D56" s="1445"/>
      <c r="E56" s="1446"/>
      <c r="F56" s="1438"/>
      <c r="I56" s="1447" t="s">
        <v>842</v>
      </c>
      <c r="J56" s="1448" t="s">
        <v>3380</v>
      </c>
      <c r="K56" s="1419" t="s">
        <v>843</v>
      </c>
      <c r="L56" s="1422" t="str">
        <f ca="1">IF(L48&lt;J51,"——",L48-J51)</f>
        <v>——</v>
      </c>
      <c r="O56" s="1416" t="s">
        <v>403</v>
      </c>
      <c r="P56" s="1417" t="s">
        <v>817</v>
      </c>
      <c r="Q56" s="1418">
        <f ca="1">C40+J29</f>
        <v>5781689.5499999998</v>
      </c>
      <c r="R56" s="1418" t="s">
        <v>818</v>
      </c>
    </row>
    <row r="57" spans="1:18" s="1382" customFormat="1" ht="24.75" hidden="1" thickBot="1">
      <c r="A57" s="1449"/>
      <c r="B57" s="948" t="s">
        <v>767</v>
      </c>
      <c r="C57" s="238">
        <f ca="1">C29</f>
        <v>1679264</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hidden="1" thickBot="1">
      <c r="A58" s="315" t="s">
        <v>393</v>
      </c>
      <c r="B58" s="956" t="s">
        <v>714</v>
      </c>
      <c r="C58" s="316">
        <f ca="1">ROUND(C59+C64+C65+C66,0)</f>
        <v>17801</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hidden="1"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hidden="1"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hidden="1" thickBot="1">
      <c r="A61" s="980" t="s">
        <v>781</v>
      </c>
      <c r="B61" s="948" t="s">
        <v>782</v>
      </c>
      <c r="C61" s="21">
        <f ca="1">IF(项目基本情况!B11="自然人","——",IF(D61="按租金收入计税",ROUND(C49*F61/(1+'数据-取费表'!C42),0),IF(D61="按房产原值计税",ROUND(C57*F61*0.7,0),INDIRECT("'数据-取费表'!Aj"&amp;$G$1))))</f>
        <v>0</v>
      </c>
      <c r="D61" s="1368" t="s">
        <v>3337</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hidden="1"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5781689.5499999998</v>
      </c>
      <c r="R62" s="1418" t="s">
        <v>410</v>
      </c>
    </row>
    <row r="63" spans="1:18" s="1382" customFormat="1" ht="13.5" hidden="1" thickBot="1">
      <c r="A63" s="326"/>
      <c r="B63" s="954"/>
      <c r="C63" s="26"/>
      <c r="D63" s="964"/>
      <c r="E63" s="948" t="s">
        <v>788</v>
      </c>
      <c r="F63" s="303">
        <f t="shared" ca="1" si="0"/>
        <v>202.08</v>
      </c>
      <c r="I63" s="1460" t="s">
        <v>864</v>
      </c>
      <c r="J63" s="1461">
        <v>70</v>
      </c>
      <c r="K63" s="1461">
        <v>50</v>
      </c>
      <c r="L63" s="1461">
        <v>80</v>
      </c>
      <c r="M63" s="1463">
        <v>0.02</v>
      </c>
      <c r="O63" s="1401" t="s">
        <v>865</v>
      </c>
      <c r="P63" s="1379"/>
      <c r="Q63" s="1379"/>
      <c r="R63" s="1379"/>
    </row>
    <row r="64" spans="1:18" s="1382" customFormat="1" ht="13.5" hidden="1" thickBot="1">
      <c r="A64" s="980" t="s">
        <v>789</v>
      </c>
      <c r="B64" s="948" t="s">
        <v>790</v>
      </c>
      <c r="C64" s="21">
        <f ca="1">ROUND(C57*F64,0)</f>
        <v>16793</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hidden="1" thickBot="1">
      <c r="A65" s="980" t="s">
        <v>792</v>
      </c>
      <c r="B65" s="948" t="s">
        <v>742</v>
      </c>
      <c r="C65" s="21">
        <f ca="1">ROUND(C56*F65,0)</f>
        <v>1008</v>
      </c>
      <c r="D65" s="962" t="s">
        <v>743</v>
      </c>
      <c r="E65" s="948" t="s">
        <v>744</v>
      </c>
      <c r="F65" s="330">
        <f t="shared" ca="1" si="0"/>
        <v>1E-3</v>
      </c>
      <c r="I65" s="1460" t="s">
        <v>867</v>
      </c>
      <c r="J65" s="1461">
        <v>40</v>
      </c>
      <c r="K65" s="1461">
        <v>30</v>
      </c>
      <c r="L65" s="1461">
        <v>50</v>
      </c>
      <c r="M65" s="1463">
        <v>0.02</v>
      </c>
      <c r="O65" s="1416" t="s">
        <v>403</v>
      </c>
      <c r="P65" s="1417" t="s">
        <v>868</v>
      </c>
      <c r="Q65" s="1418">
        <f ca="1">C40+J29</f>
        <v>5781689.5499999998</v>
      </c>
      <c r="R65" s="1418" t="s">
        <v>818</v>
      </c>
    </row>
    <row r="66" spans="1:18" s="1382" customFormat="1" ht="16.5" hidden="1"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hidden="1" thickBot="1">
      <c r="A67" s="955" t="s">
        <v>394</v>
      </c>
      <c r="B67" s="965" t="s">
        <v>752</v>
      </c>
      <c r="C67" s="316">
        <f ca="1">C48-C58</f>
        <v>-17801</v>
      </c>
      <c r="D67" s="961" t="s">
        <v>753</v>
      </c>
      <c r="E67" s="966"/>
      <c r="F67" s="967"/>
      <c r="O67" s="1426" t="s">
        <v>405</v>
      </c>
      <c r="P67" s="1417" t="s">
        <v>850</v>
      </c>
      <c r="Q67" s="1464">
        <f ca="1">L51</f>
        <v>2737353</v>
      </c>
      <c r="R67" s="1418" t="s">
        <v>870</v>
      </c>
    </row>
    <row r="68" spans="1:18" s="1382" customFormat="1" ht="16.5" hidden="1" thickBot="1">
      <c r="A68" s="945" t="s">
        <v>395</v>
      </c>
      <c r="B68" s="946" t="s">
        <v>774</v>
      </c>
      <c r="C68" s="301">
        <f ca="1">ROUND(C67*(1-((1+F70)/(1+F68))^F69)/(F68-F70),0)</f>
        <v>0</v>
      </c>
      <c r="D68" s="963" t="s">
        <v>758</v>
      </c>
      <c r="E68" s="948" t="s">
        <v>759</v>
      </c>
      <c r="F68" s="312">
        <f>F40</f>
        <v>0.04</v>
      </c>
      <c r="O68" s="1426" t="s">
        <v>406</v>
      </c>
      <c r="P68" s="1465" t="s">
        <v>871</v>
      </c>
      <c r="Q68" s="1418">
        <f ca="1">ROUND(Q69-Q70*Q71,0)</f>
        <v>150663</v>
      </c>
      <c r="R68" s="1418" t="s">
        <v>414</v>
      </c>
    </row>
    <row r="69" spans="1:18" s="1382" customFormat="1" ht="13.5" hidden="1" thickBot="1">
      <c r="A69" s="949"/>
      <c r="B69" s="950"/>
      <c r="C69" s="306"/>
      <c r="D69" s="968" t="s">
        <v>762</v>
      </c>
      <c r="E69" s="948" t="s">
        <v>763</v>
      </c>
      <c r="F69" s="333">
        <f>F41</f>
        <v>0</v>
      </c>
      <c r="O69" s="1426" t="s">
        <v>411</v>
      </c>
      <c r="P69" s="1465" t="s">
        <v>872</v>
      </c>
      <c r="Q69" s="1418">
        <f ca="1">C39</f>
        <v>231267.58199999999</v>
      </c>
      <c r="R69" s="1418" t="s">
        <v>818</v>
      </c>
    </row>
    <row r="70" spans="1:18" s="1382" customFormat="1" ht="13.5" hidden="1" thickBot="1">
      <c r="A70" s="952"/>
      <c r="B70" s="953"/>
      <c r="C70" s="310"/>
      <c r="D70" s="964"/>
      <c r="E70" s="948" t="s">
        <v>766</v>
      </c>
      <c r="F70" s="1052"/>
      <c r="O70" s="1426" t="s">
        <v>412</v>
      </c>
      <c r="P70" s="1465" t="s">
        <v>873</v>
      </c>
      <c r="Q70" s="1418">
        <f ca="1">C13</f>
        <v>1007558</v>
      </c>
      <c r="R70" s="1418" t="s">
        <v>818</v>
      </c>
    </row>
    <row r="71" spans="1:18" s="1382" customFormat="1" ht="13.5" hidden="1" thickBot="1">
      <c r="A71" s="969" t="s">
        <v>396</v>
      </c>
      <c r="B71" s="970" t="s">
        <v>776</v>
      </c>
      <c r="C71" s="336">
        <f ca="1">ROUND(C68/F71,0)</f>
        <v>0</v>
      </c>
      <c r="D71" s="971" t="s">
        <v>777</v>
      </c>
      <c r="E71" s="972" t="s">
        <v>778</v>
      </c>
      <c r="F71" s="339">
        <f ca="1">F43</f>
        <v>466.83</v>
      </c>
      <c r="O71" s="1426" t="s">
        <v>413</v>
      </c>
      <c r="P71" s="1465" t="s">
        <v>874</v>
      </c>
      <c r="Q71" s="1429">
        <f ca="1">C76</f>
        <v>0.08</v>
      </c>
      <c r="R71" s="1418"/>
    </row>
    <row r="72" spans="1:18" s="1382" customFormat="1" ht="13.5" hidden="1" thickBot="1">
      <c r="B72" s="724"/>
      <c r="C72" s="724"/>
      <c r="O72" s="1426" t="s">
        <v>407</v>
      </c>
      <c r="P72" s="1417" t="s">
        <v>852</v>
      </c>
      <c r="Q72" s="1429">
        <f>L52</f>
        <v>0</v>
      </c>
      <c r="R72" s="1418"/>
    </row>
    <row r="73" spans="1:18" ht="16.5" hidden="1" thickBot="1">
      <c r="A73" s="1382"/>
      <c r="B73" s="724"/>
      <c r="C73" s="724"/>
      <c r="D73" s="1382"/>
      <c r="E73" s="1382"/>
      <c r="F73" s="1382"/>
      <c r="O73" s="1426" t="s">
        <v>408</v>
      </c>
      <c r="P73" s="1417" t="s">
        <v>855</v>
      </c>
      <c r="Q73" s="1418" t="e">
        <f ca="1">L58</f>
        <v>#DIV/0!</v>
      </c>
      <c r="R73" s="1418" t="s">
        <v>856</v>
      </c>
    </row>
    <row r="74" spans="1:18" ht="13.5" hidden="1"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hidden="1" thickBot="1">
      <c r="A75" s="1382"/>
      <c r="B75" s="340" t="s">
        <v>795</v>
      </c>
      <c r="C75" s="341">
        <f ca="1">ROUND(C13*C76,0)</f>
        <v>80605</v>
      </c>
      <c r="D75" s="1382"/>
      <c r="E75" s="1382"/>
      <c r="F75" s="1382"/>
      <c r="K75" s="1400"/>
      <c r="L75" s="1382"/>
      <c r="O75" s="1416" t="s">
        <v>409</v>
      </c>
      <c r="P75" s="1417" t="s">
        <v>838</v>
      </c>
      <c r="Q75" s="1418">
        <f ca="1">Q65+Q66</f>
        <v>5781689.5499999998</v>
      </c>
      <c r="R75" s="1418" t="s">
        <v>410</v>
      </c>
    </row>
    <row r="76" spans="1:18" hidden="1">
      <c r="B76" s="342" t="s">
        <v>796</v>
      </c>
      <c r="C76" s="343">
        <f ca="1">INDIRECT("'数据-取费表'!j"&amp;$G$1)</f>
        <v>0.08</v>
      </c>
      <c r="I76" s="1382"/>
      <c r="J76" s="1382"/>
      <c r="K76" s="1400"/>
      <c r="L76" s="1382"/>
    </row>
    <row r="77" spans="1:18" hidden="1">
      <c r="B77" s="344" t="s">
        <v>797</v>
      </c>
      <c r="C77" s="345"/>
      <c r="I77" s="1382"/>
      <c r="J77" s="1382"/>
      <c r="K77" s="1400"/>
      <c r="L77" s="1382"/>
    </row>
    <row r="78" spans="1:18" hidden="1">
      <c r="B78" s="270" t="s">
        <v>798</v>
      </c>
      <c r="C78" s="346"/>
    </row>
    <row r="79" spans="1:18" hidden="1">
      <c r="B79" s="340" t="s">
        <v>799</v>
      </c>
      <c r="C79" s="274">
        <f ca="1">1-C80</f>
        <v>0.65100000000000002</v>
      </c>
    </row>
    <row r="80" spans="1:18" hidden="1">
      <c r="B80" s="340" t="s">
        <v>800</v>
      </c>
      <c r="C80" s="274">
        <f ca="1">ROUND(C75/C39,3)</f>
        <v>0.34899999999999998</v>
      </c>
    </row>
    <row r="81" spans="2:3" hidden="1">
      <c r="B81" s="270" t="s">
        <v>801</v>
      </c>
      <c r="C81" s="238"/>
    </row>
    <row r="82" spans="2:3" hidden="1">
      <c r="B82" s="273" t="s">
        <v>802</v>
      </c>
      <c r="C82" s="275">
        <f ca="1">1-C83</f>
        <v>0.82600000000000007</v>
      </c>
    </row>
    <row r="83" spans="2:3" hidden="1">
      <c r="B83" s="273" t="s">
        <v>803</v>
      </c>
      <c r="C83" s="274">
        <f ca="1">ROUND(C13/C40,3)</f>
        <v>0.17399999999999999</v>
      </c>
    </row>
    <row r="84" spans="2:3" hidden="1"/>
    <row r="85" spans="2:3" hidden="1"/>
  </sheetData>
  <sheetProtection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2081</v>
      </c>
      <c r="C1" s="3964" t="s">
        <v>2082</v>
      </c>
      <c r="D1" s="3965"/>
      <c r="E1" s="3965"/>
      <c r="F1" s="3965"/>
      <c r="G1" s="3965"/>
      <c r="H1" s="3965"/>
      <c r="I1" s="3965"/>
      <c r="J1" s="3965"/>
      <c r="K1" s="3965"/>
      <c r="L1" s="3965"/>
      <c r="M1" s="3965"/>
      <c r="N1" s="3965"/>
      <c r="O1" s="3965"/>
      <c r="P1" s="3965"/>
      <c r="Q1" s="3965"/>
      <c r="R1" s="3965"/>
      <c r="S1" s="3966"/>
      <c r="T1" s="981" t="s">
        <v>2083</v>
      </c>
    </row>
    <row r="2" spans="1:45" s="655" customFormat="1" ht="38.25">
      <c r="A2" s="982"/>
      <c r="B2" s="651" t="s">
        <v>2084</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3" t="s">
        <v>3450</v>
      </c>
      <c r="C5" s="993" t="s">
        <v>3451</v>
      </c>
      <c r="D5" s="994" t="s">
        <v>3452</v>
      </c>
      <c r="E5" s="994" t="s">
        <v>3453</v>
      </c>
      <c r="F5" s="1310"/>
      <c r="G5" s="1310"/>
      <c r="H5" s="1310"/>
      <c r="I5" s="1310"/>
      <c r="J5" s="1310"/>
      <c r="K5" s="1310"/>
      <c r="L5" s="1311"/>
      <c r="M5" s="1312"/>
      <c r="N5" s="1312"/>
      <c r="O5" s="1310"/>
      <c r="P5" s="1310"/>
      <c r="Q5" s="1310"/>
      <c r="R5" s="1310"/>
      <c r="S5" s="1313"/>
      <c r="T5" s="996">
        <f>'比较法-办公'!K27</f>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95</v>
      </c>
      <c r="E6" s="900">
        <f t="shared" ref="E6:S6" si="7">D6-$T5</f>
        <v>90</v>
      </c>
      <c r="F6" s="1314">
        <f t="shared" si="7"/>
        <v>85</v>
      </c>
      <c r="G6" s="1314">
        <f t="shared" si="7"/>
        <v>80</v>
      </c>
      <c r="H6" s="1314">
        <f t="shared" si="7"/>
        <v>75</v>
      </c>
      <c r="I6" s="1314">
        <f t="shared" si="7"/>
        <v>70</v>
      </c>
      <c r="J6" s="1314">
        <f t="shared" si="7"/>
        <v>65</v>
      </c>
      <c r="K6" s="1314">
        <f t="shared" si="7"/>
        <v>60</v>
      </c>
      <c r="L6" s="1314">
        <f t="shared" si="7"/>
        <v>55</v>
      </c>
      <c r="M6" s="1314">
        <f t="shared" si="7"/>
        <v>50</v>
      </c>
      <c r="N6" s="1314">
        <f t="shared" si="7"/>
        <v>45</v>
      </c>
      <c r="O6" s="1314">
        <f t="shared" si="7"/>
        <v>40</v>
      </c>
      <c r="P6" s="1314">
        <f t="shared" si="7"/>
        <v>35</v>
      </c>
      <c r="Q6" s="1314">
        <f t="shared" si="7"/>
        <v>30</v>
      </c>
      <c r="R6" s="1314">
        <f t="shared" si="7"/>
        <v>25</v>
      </c>
      <c r="S6" s="1314">
        <f t="shared" si="7"/>
        <v>20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2085</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2086</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2090</v>
      </c>
      <c r="B17" s="2147"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2092</v>
      </c>
      <c r="E19" s="1338"/>
      <c r="F19" s="1338"/>
      <c r="G19" s="1338"/>
      <c r="H19" s="1057"/>
      <c r="I19" s="159"/>
      <c r="J19" s="159"/>
      <c r="K19" s="159"/>
      <c r="L19" s="159"/>
      <c r="M19" s="159"/>
      <c r="N19" s="159"/>
      <c r="O19" s="159"/>
      <c r="P19" s="159"/>
      <c r="Q19" s="159"/>
      <c r="R19" s="716"/>
      <c r="S19" s="129"/>
    </row>
    <row r="20" spans="1:45" ht="16.5" thickBot="1">
      <c r="A20" s="660" t="s">
        <v>2093</v>
      </c>
      <c r="B20" s="294" t="e">
        <f ca="1">IF(D20="——",S22,S22-F20)</f>
        <v>#N/A</v>
      </c>
      <c r="C20" s="159"/>
      <c r="D20" s="2149" t="s">
        <v>43</v>
      </c>
      <c r="E20" s="1339"/>
      <c r="F20" s="981" t="e">
        <f ca="1">SUMIF(INDIRECT("'"&amp;H20&amp;"'"&amp;"!A:A"),"承租人权益价值",INDIRECT("'"&amp;H20&amp;"'"&amp;"!c:c"))</f>
        <v>#REF!</v>
      </c>
      <c r="G20" s="981" t="s">
        <v>2094</v>
      </c>
      <c r="H20" s="2150"/>
      <c r="I20" s="159"/>
      <c r="J20" s="159"/>
      <c r="K20" s="159"/>
      <c r="L20" s="159"/>
      <c r="M20" s="159"/>
      <c r="N20" s="159"/>
      <c r="O20" s="159"/>
      <c r="P20" s="159"/>
      <c r="Q20" s="159"/>
      <c r="R20" s="716"/>
      <c r="S20" s="129"/>
    </row>
    <row r="21" spans="1:45" ht="15.75">
      <c r="A21" s="660" t="s">
        <v>2095</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2096</v>
      </c>
      <c r="B22" s="21">
        <f>SUM(B24:B10000)</f>
        <v>466.83</v>
      </c>
      <c r="C22" s="3961" t="s">
        <v>27</v>
      </c>
      <c r="D22" s="3962"/>
      <c r="E22" s="3962"/>
      <c r="F22" s="3962"/>
      <c r="G22" s="3962"/>
      <c r="H22" s="3962"/>
      <c r="I22" s="3962"/>
      <c r="J22" s="3962"/>
      <c r="K22" s="3962"/>
      <c r="L22" s="3962"/>
      <c r="M22" s="3962"/>
      <c r="N22" s="3962"/>
      <c r="O22" s="3962"/>
      <c r="P22" s="3962"/>
      <c r="Q22" s="3963"/>
      <c r="R22" s="661" t="e">
        <f ca="1">ROUND(S22*10000/B22,0)</f>
        <v>#N/A</v>
      </c>
      <c r="S22" s="21" t="e">
        <f ca="1">SUM(S24:S10000)</f>
        <v>#N/A</v>
      </c>
      <c r="T22" s="723">
        <v>6095</v>
      </c>
      <c r="U22" s="723" t="e">
        <f ca="1">T22-S22</f>
        <v>#N/A</v>
      </c>
    </row>
    <row r="23" spans="1:45" s="9" customFormat="1" ht="24">
      <c r="A23" s="8" t="s">
        <v>2097</v>
      </c>
      <c r="B23" s="8" t="s">
        <v>2098</v>
      </c>
      <c r="C23" s="8" t="s">
        <v>2099</v>
      </c>
      <c r="D23" s="8" t="str">
        <f>B5</f>
        <v>楼层</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2"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466.83</v>
      </c>
      <c r="C24" s="2803">
        <v>1</v>
      </c>
      <c r="D24" s="2804" t="s">
        <v>3453</v>
      </c>
      <c r="E24" s="2803">
        <v>1</v>
      </c>
      <c r="F24" s="2804"/>
      <c r="G24" s="2803">
        <v>1</v>
      </c>
      <c r="H24" s="2804"/>
      <c r="I24" s="2803">
        <v>1</v>
      </c>
      <c r="J24" s="2804"/>
      <c r="K24" s="2803">
        <v>1</v>
      </c>
      <c r="L24" s="2804"/>
      <c r="M24" s="2803">
        <v>1</v>
      </c>
      <c r="N24" s="2804"/>
      <c r="O24" s="2803">
        <v>1</v>
      </c>
      <c r="P24" s="2804"/>
      <c r="Q24" s="2803">
        <v>1</v>
      </c>
      <c r="R24" s="666">
        <f ca="1">结果表!G20</f>
        <v>25041</v>
      </c>
      <c r="S24" s="664">
        <f t="shared" ref="S24:S54" ca="1" si="11">ROUND(R24*B24/10000,0)</f>
        <v>1169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3451</v>
      </c>
      <c r="E25" s="21">
        <f>(SUMIF($5:$5,D25,$6:$6)-SUMIF($5:$5,$D$24,$6:$6)+100)/100</f>
        <v>1.1000000000000001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3451</v>
      </c>
      <c r="E26" s="21">
        <f t="shared" ref="E26:E89" si="13">(SUMIF($5:$5,D26,$6:$6)-SUMIF($5:$5,$D$24,$6:$6)+100)/100</f>
        <v>1.1000000000000001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J35" sqref="J35"/>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69" t="s">
        <v>2840</v>
      </c>
      <c r="B1" s="3969"/>
      <c r="C1" s="3969"/>
      <c r="D1" s="3969"/>
      <c r="E1" s="3969"/>
      <c r="F1" s="3969"/>
      <c r="G1" s="3970"/>
      <c r="I1" s="3217" t="s">
        <v>2841</v>
      </c>
      <c r="J1" s="3218" t="s">
        <v>2842</v>
      </c>
      <c r="K1" s="3218" t="s">
        <v>2843</v>
      </c>
      <c r="L1" s="3218" t="s">
        <v>2844</v>
      </c>
      <c r="M1" s="3218" t="s">
        <v>2845</v>
      </c>
      <c r="N1" s="3218" t="s">
        <v>2846</v>
      </c>
      <c r="O1" s="3218" t="s">
        <v>2847</v>
      </c>
      <c r="P1" s="3218" t="s">
        <v>2848</v>
      </c>
      <c r="Q1" s="3218" t="s">
        <v>2849</v>
      </c>
      <c r="R1" s="3218" t="s">
        <v>2850</v>
      </c>
      <c r="S1" s="3218" t="s">
        <v>2851</v>
      </c>
      <c r="T1" s="3219" t="s">
        <v>2852</v>
      </c>
    </row>
    <row r="2" spans="1:20" ht="12" thickBot="1">
      <c r="A2" s="3221" t="s">
        <v>2853</v>
      </c>
      <c r="B2" s="3221"/>
      <c r="C2" s="3221"/>
      <c r="D2" s="3221"/>
      <c r="E2" s="3221"/>
      <c r="F2" s="3221"/>
      <c r="G2" s="3222" t="s">
        <v>2854</v>
      </c>
      <c r="I2" s="3223" t="s">
        <v>2855</v>
      </c>
      <c r="J2" s="3223" t="s">
        <v>2856</v>
      </c>
      <c r="K2" s="3223" t="s">
        <v>2857</v>
      </c>
      <c r="L2" s="3223" t="s">
        <v>2858</v>
      </c>
      <c r="M2" s="3223" t="s">
        <v>2859</v>
      </c>
      <c r="N2" s="3223" t="s">
        <v>2860</v>
      </c>
      <c r="O2" s="3223" t="s">
        <v>2861</v>
      </c>
      <c r="P2" s="3223" t="s">
        <v>2862</v>
      </c>
      <c r="Q2" s="3223" t="s">
        <v>2863</v>
      </c>
      <c r="R2" s="3223" t="s">
        <v>2864</v>
      </c>
      <c r="S2" s="3223" t="s">
        <v>2865</v>
      </c>
      <c r="T2" s="3223" t="s">
        <v>2866</v>
      </c>
    </row>
    <row r="3" spans="1:20" s="3229" customFormat="1">
      <c r="A3" s="3967" t="s">
        <v>2867</v>
      </c>
      <c r="B3" s="3224"/>
      <c r="C3" s="3225" t="s">
        <v>2806</v>
      </c>
      <c r="D3" s="3225" t="s">
        <v>2868</v>
      </c>
      <c r="E3" s="3225" t="s">
        <v>2808</v>
      </c>
      <c r="F3" s="3225" t="s">
        <v>2869</v>
      </c>
      <c r="G3" s="3225" t="s">
        <v>2626</v>
      </c>
      <c r="H3" s="3226"/>
      <c r="I3" s="3227" t="s">
        <v>2870</v>
      </c>
      <c r="J3" s="3228" t="s">
        <v>128</v>
      </c>
      <c r="K3" s="3228" t="s">
        <v>129</v>
      </c>
      <c r="L3" s="3227" t="s">
        <v>130</v>
      </c>
      <c r="M3" s="3227" t="s">
        <v>131</v>
      </c>
      <c r="N3" s="3227" t="s">
        <v>132</v>
      </c>
      <c r="O3" s="3227" t="s">
        <v>133</v>
      </c>
      <c r="P3" s="3227" t="s">
        <v>134</v>
      </c>
      <c r="Q3" s="3227" t="s">
        <v>135</v>
      </c>
      <c r="R3" s="3227" t="s">
        <v>136</v>
      </c>
      <c r="S3" s="3227" t="s">
        <v>2871</v>
      </c>
      <c r="T3" s="3227" t="s">
        <v>2872</v>
      </c>
    </row>
    <row r="4" spans="1:20" s="3229" customFormat="1" ht="12" thickBot="1">
      <c r="A4" s="3968"/>
      <c r="B4" s="3230" t="s">
        <v>2873</v>
      </c>
      <c r="C4" s="3230" t="s">
        <v>2874</v>
      </c>
      <c r="D4" s="3230" t="s">
        <v>2874</v>
      </c>
      <c r="E4" s="3230" t="s">
        <v>2874</v>
      </c>
      <c r="F4" s="3231" t="s">
        <v>2874</v>
      </c>
      <c r="G4" s="3231" t="s">
        <v>2874</v>
      </c>
      <c r="H4" s="3226"/>
      <c r="I4" s="3228" t="s">
        <v>137</v>
      </c>
      <c r="J4" s="3228" t="s">
        <v>111</v>
      </c>
      <c r="K4" s="3228" t="s">
        <v>138</v>
      </c>
      <c r="L4" s="3227" t="s">
        <v>139</v>
      </c>
      <c r="M4" s="3227" t="s">
        <v>140</v>
      </c>
      <c r="N4" s="3227" t="s">
        <v>141</v>
      </c>
      <c r="O4" s="3227" t="s">
        <v>142</v>
      </c>
      <c r="P4" s="3227" t="s">
        <v>143</v>
      </c>
      <c r="Q4" s="3227" t="s">
        <v>2875</v>
      </c>
      <c r="R4" s="3227" t="s">
        <v>2876</v>
      </c>
      <c r="S4" s="3227" t="s">
        <v>2877</v>
      </c>
      <c r="T4" s="3227" t="s">
        <v>2878</v>
      </c>
    </row>
    <row r="5" spans="1:20">
      <c r="A5" s="3232" t="s">
        <v>2841</v>
      </c>
      <c r="B5" s="3223" t="s">
        <v>2855</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2879</v>
      </c>
      <c r="R5" s="3227" t="s">
        <v>2880</v>
      </c>
      <c r="S5" s="3227" t="s">
        <v>153</v>
      </c>
      <c r="T5" s="3227" t="s">
        <v>2881</v>
      </c>
    </row>
    <row r="6" spans="1:20" ht="12" thickBot="1">
      <c r="A6" s="3227" t="s">
        <v>144</v>
      </c>
      <c r="B6" s="3227" t="s">
        <v>2870</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2882</v>
      </c>
      <c r="Q6" s="3227" t="s">
        <v>2883</v>
      </c>
      <c r="R6" s="3227" t="s">
        <v>161</v>
      </c>
      <c r="S6" s="3227" t="s">
        <v>2884</v>
      </c>
      <c r="T6" s="3227" t="s">
        <v>2885</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2886</v>
      </c>
      <c r="Q7" s="3227" t="s">
        <v>2887</v>
      </c>
      <c r="R7" s="3227" t="s">
        <v>2888</v>
      </c>
      <c r="S7" s="3227" t="s">
        <v>2889</v>
      </c>
      <c r="T7" s="3227" t="s">
        <v>2890</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2891</v>
      </c>
      <c r="Q8" s="3227" t="s">
        <v>174</v>
      </c>
      <c r="R8" s="3227" t="s">
        <v>2892</v>
      </c>
      <c r="S8" s="3227" t="s">
        <v>2893</v>
      </c>
      <c r="T8" s="3234" t="s">
        <v>2894</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2895</v>
      </c>
      <c r="Q9" s="3227" t="s">
        <v>182</v>
      </c>
      <c r="R9" s="3227" t="s">
        <v>183</v>
      </c>
      <c r="S9" s="3227" t="s">
        <v>200</v>
      </c>
    </row>
    <row r="10" spans="1:20">
      <c r="A10" s="3232" t="s">
        <v>184</v>
      </c>
      <c r="B10" s="3223" t="s">
        <v>2856</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2896</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2897</v>
      </c>
      <c r="P11" s="3227" t="s">
        <v>191</v>
      </c>
      <c r="Q11" s="3227" t="s">
        <v>199</v>
      </c>
      <c r="R11" s="3227" t="s">
        <v>2898</v>
      </c>
      <c r="S11" s="3227" t="s">
        <v>2899</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2900</v>
      </c>
      <c r="P12" s="3227" t="s">
        <v>2901</v>
      </c>
      <c r="Q12" s="3227" t="s">
        <v>2902</v>
      </c>
      <c r="R12" s="3227" t="s">
        <v>2903</v>
      </c>
      <c r="S12" s="3227" t="s">
        <v>2904</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2905</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2906</v>
      </c>
      <c r="K14" s="3228" t="s">
        <v>215</v>
      </c>
      <c r="L14" s="3227" t="s">
        <v>216</v>
      </c>
      <c r="M14" s="3227" t="s">
        <v>217</v>
      </c>
      <c r="N14" s="3227" t="s">
        <v>218</v>
      </c>
      <c r="O14" s="3227" t="s">
        <v>240</v>
      </c>
      <c r="P14" s="3227" t="s">
        <v>213</v>
      </c>
      <c r="Q14" s="3227" t="s">
        <v>2907</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2908</v>
      </c>
      <c r="P15" s="3227" t="s">
        <v>2909</v>
      </c>
      <c r="Q15" s="3227" t="s">
        <v>242</v>
      </c>
      <c r="R15" s="3227" t="s">
        <v>2910</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2911</v>
      </c>
      <c r="P16" s="3227" t="s">
        <v>227</v>
      </c>
      <c r="Q16" s="3227" t="s">
        <v>250</v>
      </c>
      <c r="R16" s="3227" t="s">
        <v>207</v>
      </c>
      <c r="S16" s="3227" t="s">
        <v>2912</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2913</v>
      </c>
      <c r="P17" s="3227" t="s">
        <v>2914</v>
      </c>
      <c r="Q17" s="3227" t="s">
        <v>256</v>
      </c>
      <c r="R17" s="3227" t="s">
        <v>2915</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2916</v>
      </c>
      <c r="P18" s="3227" t="s">
        <v>241</v>
      </c>
      <c r="Q18" s="3227" t="s">
        <v>2917</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2918</v>
      </c>
      <c r="P19" s="3227" t="s">
        <v>249</v>
      </c>
      <c r="Q19" s="3227" t="s">
        <v>2919</v>
      </c>
      <c r="R19" s="3227" t="s">
        <v>265</v>
      </c>
      <c r="S19" s="3227" t="s">
        <v>2920</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2921</v>
      </c>
      <c r="P20" s="3227" t="s">
        <v>2922</v>
      </c>
      <c r="Q20" s="3227" t="s">
        <v>290</v>
      </c>
      <c r="R20" s="3227" t="s">
        <v>2923</v>
      </c>
      <c r="S20" s="3227" t="s">
        <v>277</v>
      </c>
    </row>
    <row r="21" spans="1:19" ht="14.25" customHeight="1" thickBot="1">
      <c r="A21" s="3227" t="s">
        <v>184</v>
      </c>
      <c r="B21" s="3228" t="s">
        <v>208</v>
      </c>
      <c r="C21" s="3227">
        <v>32370</v>
      </c>
      <c r="D21" s="3227">
        <v>26730</v>
      </c>
      <c r="E21" s="3227">
        <v>26640</v>
      </c>
      <c r="F21" s="3227"/>
      <c r="G21" s="3227">
        <v>19440</v>
      </c>
      <c r="J21" s="3234" t="s">
        <v>2924</v>
      </c>
      <c r="K21" s="3228" t="s">
        <v>267</v>
      </c>
      <c r="L21" s="3227" t="s">
        <v>268</v>
      </c>
      <c r="M21" s="3227" t="s">
        <v>269</v>
      </c>
      <c r="N21" s="3227" t="s">
        <v>270</v>
      </c>
      <c r="O21" s="3227" t="s">
        <v>264</v>
      </c>
      <c r="P21" s="3227" t="s">
        <v>283</v>
      </c>
      <c r="Q21" s="3227" t="s">
        <v>293</v>
      </c>
      <c r="R21" s="3227" t="s">
        <v>2925</v>
      </c>
      <c r="S21" s="3234" t="s">
        <v>2926</v>
      </c>
    </row>
    <row r="22" spans="1:19" ht="14.25" customHeight="1">
      <c r="A22" s="3227" t="s">
        <v>184</v>
      </c>
      <c r="B22" s="3228" t="s">
        <v>2906</v>
      </c>
      <c r="C22" s="3227">
        <v>29830</v>
      </c>
      <c r="D22" s="3227">
        <v>27600</v>
      </c>
      <c r="E22" s="3227">
        <v>28150</v>
      </c>
      <c r="F22" s="3227"/>
      <c r="G22" s="3227">
        <v>20080</v>
      </c>
      <c r="K22" s="3228" t="s">
        <v>2927</v>
      </c>
      <c r="L22" s="3227" t="s">
        <v>272</v>
      </c>
      <c r="M22" s="3227" t="s">
        <v>273</v>
      </c>
      <c r="N22" s="3227" t="s">
        <v>274</v>
      </c>
      <c r="O22" s="3227" t="s">
        <v>2928</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2929</v>
      </c>
      <c r="L23" s="3227" t="s">
        <v>278</v>
      </c>
      <c r="M23" s="3227" t="s">
        <v>279</v>
      </c>
      <c r="N23" s="3227" t="s">
        <v>2930</v>
      </c>
      <c r="O23" s="3227" t="s">
        <v>2931</v>
      </c>
      <c r="P23" s="3227" t="s">
        <v>289</v>
      </c>
      <c r="Q23" s="3227" t="s">
        <v>298</v>
      </c>
      <c r="R23" s="3227" t="s">
        <v>2932</v>
      </c>
    </row>
    <row r="24" spans="1:19" ht="14.25" customHeight="1">
      <c r="A24" s="3227" t="s">
        <v>184</v>
      </c>
      <c r="B24" s="3228" t="s">
        <v>230</v>
      </c>
      <c r="C24" s="3227">
        <v>27930</v>
      </c>
      <c r="D24" s="3227">
        <v>32260</v>
      </c>
      <c r="E24" s="3227">
        <v>32120</v>
      </c>
      <c r="F24" s="3227"/>
      <c r="G24" s="3227">
        <v>23470</v>
      </c>
      <c r="K24" s="3228" t="s">
        <v>2933</v>
      </c>
      <c r="L24" s="3227" t="s">
        <v>281</v>
      </c>
      <c r="M24" s="3227" t="s">
        <v>282</v>
      </c>
      <c r="N24" s="3227" t="s">
        <v>2934</v>
      </c>
      <c r="O24" s="3227" t="s">
        <v>285</v>
      </c>
      <c r="P24" s="3227" t="s">
        <v>2935</v>
      </c>
      <c r="Q24" s="3236" t="s">
        <v>2936</v>
      </c>
      <c r="R24" s="3227" t="s">
        <v>2937</v>
      </c>
    </row>
    <row r="25" spans="1:19" ht="14.25" customHeight="1">
      <c r="A25" s="3227" t="s">
        <v>184</v>
      </c>
      <c r="B25" s="3228" t="s">
        <v>235</v>
      </c>
      <c r="C25" s="3227">
        <v>32230</v>
      </c>
      <c r="D25" s="3227">
        <v>29640</v>
      </c>
      <c r="E25" s="3227">
        <v>29510</v>
      </c>
      <c r="F25" s="3227"/>
      <c r="G25" s="3227">
        <v>21560</v>
      </c>
      <c r="K25" s="3228" t="s">
        <v>2938</v>
      </c>
      <c r="L25" s="3227" t="s">
        <v>2939</v>
      </c>
      <c r="M25" s="3227" t="s">
        <v>284</v>
      </c>
      <c r="N25" s="3227" t="s">
        <v>292</v>
      </c>
      <c r="O25" s="3227" t="s">
        <v>288</v>
      </c>
      <c r="P25" s="3227" t="s">
        <v>275</v>
      </c>
      <c r="Q25" s="3236" t="s">
        <v>271</v>
      </c>
      <c r="R25" s="3227" t="s">
        <v>2940</v>
      </c>
    </row>
    <row r="26" spans="1:19" ht="14.25" customHeight="1" thickBot="1">
      <c r="A26" s="3227" t="s">
        <v>184</v>
      </c>
      <c r="B26" s="3228" t="s">
        <v>244</v>
      </c>
      <c r="C26" s="3227">
        <v>31690</v>
      </c>
      <c r="D26" s="3227">
        <v>27650</v>
      </c>
      <c r="E26" s="3227">
        <v>28200</v>
      </c>
      <c r="F26" s="3227"/>
      <c r="G26" s="3227">
        <v>20110</v>
      </c>
      <c r="K26" s="3233" t="s">
        <v>2941</v>
      </c>
      <c r="L26" s="3227" t="s">
        <v>2942</v>
      </c>
      <c r="M26" s="3227" t="s">
        <v>287</v>
      </c>
      <c r="N26" s="3227" t="s">
        <v>294</v>
      </c>
      <c r="O26" s="3227" t="s">
        <v>2943</v>
      </c>
      <c r="P26" s="3227" t="s">
        <v>2944</v>
      </c>
      <c r="Q26" s="3236" t="s">
        <v>276</v>
      </c>
      <c r="R26" s="3227" t="s">
        <v>2945</v>
      </c>
    </row>
    <row r="27" spans="1:19" ht="14.25" customHeight="1">
      <c r="A27" s="3227" t="s">
        <v>184</v>
      </c>
      <c r="B27" s="3228" t="s">
        <v>251</v>
      </c>
      <c r="C27" s="3227">
        <v>29610</v>
      </c>
      <c r="D27" s="3227">
        <v>27770</v>
      </c>
      <c r="E27" s="3227">
        <v>28300</v>
      </c>
      <c r="F27" s="3227"/>
      <c r="G27" s="3227">
        <v>20210</v>
      </c>
      <c r="L27" s="3227" t="s">
        <v>2946</v>
      </c>
      <c r="M27" s="3227" t="s">
        <v>291</v>
      </c>
      <c r="N27" s="3227" t="s">
        <v>297</v>
      </c>
      <c r="O27" s="3227" t="s">
        <v>2947</v>
      </c>
      <c r="P27" s="3227" t="s">
        <v>2948</v>
      </c>
      <c r="Q27" s="3227" t="s">
        <v>2949</v>
      </c>
      <c r="R27" s="3227" t="s">
        <v>2950</v>
      </c>
    </row>
    <row r="28" spans="1:19" ht="14.25" customHeight="1">
      <c r="A28" s="3227" t="s">
        <v>184</v>
      </c>
      <c r="B28" s="3228" t="s">
        <v>259</v>
      </c>
      <c r="C28" s="3227"/>
      <c r="D28" s="3227">
        <v>31520</v>
      </c>
      <c r="E28" s="3227">
        <v>31410</v>
      </c>
      <c r="F28" s="3227"/>
      <c r="G28" s="3227">
        <v>22940</v>
      </c>
      <c r="L28" s="3227" t="s">
        <v>2951</v>
      </c>
      <c r="M28" s="3227" t="s">
        <v>2952</v>
      </c>
      <c r="N28" s="3227" t="s">
        <v>2953</v>
      </c>
      <c r="O28" s="3227" t="s">
        <v>2954</v>
      </c>
      <c r="P28" s="3227" t="s">
        <v>2955</v>
      </c>
      <c r="Q28" s="3227" t="s">
        <v>2956</v>
      </c>
      <c r="R28" s="3227" t="s">
        <v>2957</v>
      </c>
    </row>
    <row r="29" spans="1:19" ht="14.25" customHeight="1" thickBot="1">
      <c r="A29" s="3235" t="s">
        <v>184</v>
      </c>
      <c r="B29" s="3237" t="s">
        <v>2924</v>
      </c>
      <c r="C29" s="3238"/>
      <c r="D29" s="3238">
        <v>29460</v>
      </c>
      <c r="E29" s="3238">
        <v>28640</v>
      </c>
      <c r="F29" s="3238"/>
      <c r="G29" s="3238">
        <v>21430</v>
      </c>
      <c r="L29" s="3227" t="s">
        <v>2958</v>
      </c>
      <c r="M29" s="3227" t="s">
        <v>2959</v>
      </c>
      <c r="N29" s="3227" t="s">
        <v>2960</v>
      </c>
      <c r="O29" s="3227" t="s">
        <v>2961</v>
      </c>
      <c r="P29" s="3227" t="s">
        <v>2962</v>
      </c>
      <c r="Q29" s="3227" t="s">
        <v>2963</v>
      </c>
      <c r="R29" s="3227" t="s">
        <v>280</v>
      </c>
    </row>
    <row r="30" spans="1:19" ht="14.25" customHeight="1">
      <c r="A30" s="3232" t="s">
        <v>296</v>
      </c>
      <c r="B30" s="3223" t="s">
        <v>2857</v>
      </c>
      <c r="C30" s="3223">
        <v>26890</v>
      </c>
      <c r="D30" s="3223">
        <v>26770</v>
      </c>
      <c r="E30" s="3223">
        <v>25700</v>
      </c>
      <c r="F30" s="3223">
        <v>8180</v>
      </c>
      <c r="G30" s="3239">
        <v>18740</v>
      </c>
      <c r="L30" s="3227" t="s">
        <v>2964</v>
      </c>
      <c r="M30" s="3227" t="s">
        <v>2965</v>
      </c>
      <c r="N30" s="3227" t="s">
        <v>2966</v>
      </c>
      <c r="O30" s="3227" t="s">
        <v>2967</v>
      </c>
      <c r="P30" s="3227" t="s">
        <v>2968</v>
      </c>
      <c r="Q30" s="3227" t="s">
        <v>2969</v>
      </c>
      <c r="R30" s="3227" t="s">
        <v>2970</v>
      </c>
    </row>
    <row r="31" spans="1:19" ht="14.25" customHeight="1">
      <c r="A31" s="3227" t="s">
        <v>296</v>
      </c>
      <c r="B31" s="3228" t="s">
        <v>129</v>
      </c>
      <c r="C31" s="3227">
        <v>24550</v>
      </c>
      <c r="D31" s="3227">
        <v>23990</v>
      </c>
      <c r="E31" s="3227">
        <v>22930</v>
      </c>
      <c r="F31" s="3227">
        <v>7470</v>
      </c>
      <c r="G31" s="3240">
        <v>16790</v>
      </c>
      <c r="L31" s="3227" t="s">
        <v>2971</v>
      </c>
      <c r="M31" s="3227" t="s">
        <v>2972</v>
      </c>
      <c r="N31" s="3227" t="s">
        <v>2973</v>
      </c>
      <c r="O31" s="3227" t="s">
        <v>2974</v>
      </c>
      <c r="P31" s="3227" t="s">
        <v>2975</v>
      </c>
      <c r="Q31" s="3227" t="s">
        <v>2976</v>
      </c>
      <c r="R31" s="3227" t="s">
        <v>2977</v>
      </c>
    </row>
    <row r="32" spans="1:19" ht="14.25" customHeight="1" thickBot="1">
      <c r="A32" s="3227" t="s">
        <v>296</v>
      </c>
      <c r="B32" s="3228" t="s">
        <v>138</v>
      </c>
      <c r="C32" s="3227">
        <v>27210</v>
      </c>
      <c r="D32" s="3227">
        <v>23240</v>
      </c>
      <c r="E32" s="3227">
        <v>23260</v>
      </c>
      <c r="F32" s="3227">
        <v>7130</v>
      </c>
      <c r="G32" s="3240">
        <v>16270</v>
      </c>
      <c r="L32" s="3227" t="s">
        <v>2978</v>
      </c>
      <c r="M32" s="3227" t="s">
        <v>2979</v>
      </c>
      <c r="N32" s="3227" t="s">
        <v>300</v>
      </c>
      <c r="O32" s="3227" t="s">
        <v>2980</v>
      </c>
      <c r="P32" s="3227" t="s">
        <v>299</v>
      </c>
      <c r="Q32" s="3227" t="s">
        <v>2981</v>
      </c>
      <c r="R32" s="3234" t="s">
        <v>2982</v>
      </c>
    </row>
    <row r="33" spans="1:17" ht="14.25" customHeight="1" thickBot="1">
      <c r="A33" s="3227" t="s">
        <v>296</v>
      </c>
      <c r="B33" s="3228" t="s">
        <v>147</v>
      </c>
      <c r="C33" s="3227">
        <v>27300</v>
      </c>
      <c r="D33" s="3227">
        <v>22980</v>
      </c>
      <c r="E33" s="3227">
        <v>24260</v>
      </c>
      <c r="F33" s="3227">
        <v>5860</v>
      </c>
      <c r="G33" s="3240">
        <v>16090</v>
      </c>
      <c r="L33" s="3234" t="s">
        <v>2983</v>
      </c>
      <c r="M33" s="3227" t="s">
        <v>2984</v>
      </c>
      <c r="N33" s="3227" t="s">
        <v>301</v>
      </c>
      <c r="O33" s="3227" t="s">
        <v>2985</v>
      </c>
      <c r="P33" s="3227" t="s">
        <v>2986</v>
      </c>
      <c r="Q33" s="3227" t="s">
        <v>2987</v>
      </c>
    </row>
    <row r="34" spans="1:17" ht="14.25" customHeight="1">
      <c r="A34" s="3227" t="s">
        <v>296</v>
      </c>
      <c r="B34" s="3228" t="s">
        <v>156</v>
      </c>
      <c r="C34" s="3227">
        <v>23090</v>
      </c>
      <c r="D34" s="3227">
        <v>23390</v>
      </c>
      <c r="E34" s="3227">
        <v>23510</v>
      </c>
      <c r="F34" s="3227">
        <v>6700</v>
      </c>
      <c r="G34" s="3240">
        <v>16370</v>
      </c>
      <c r="M34" s="3227" t="s">
        <v>2988</v>
      </c>
      <c r="N34" s="3227" t="s">
        <v>302</v>
      </c>
      <c r="O34" s="3227" t="s">
        <v>2989</v>
      </c>
      <c r="P34" s="3227" t="s">
        <v>2990</v>
      </c>
      <c r="Q34" s="3227" t="s">
        <v>2991</v>
      </c>
    </row>
    <row r="35" spans="1:17" ht="14.25" customHeight="1">
      <c r="A35" s="3227" t="s">
        <v>296</v>
      </c>
      <c r="B35" s="3228" t="s">
        <v>163</v>
      </c>
      <c r="C35" s="3227">
        <v>27270</v>
      </c>
      <c r="D35" s="3227">
        <v>24270</v>
      </c>
      <c r="E35" s="3227">
        <v>24950</v>
      </c>
      <c r="F35" s="3227">
        <v>6600</v>
      </c>
      <c r="G35" s="3240">
        <v>16990</v>
      </c>
      <c r="M35" s="3227" t="s">
        <v>2992</v>
      </c>
      <c r="N35" s="3227" t="s">
        <v>2993</v>
      </c>
      <c r="O35" s="3227" t="s">
        <v>2994</v>
      </c>
      <c r="P35" s="3227" t="s">
        <v>2995</v>
      </c>
      <c r="Q35" s="3227" t="s">
        <v>2996</v>
      </c>
    </row>
    <row r="36" spans="1:17" ht="14.25" customHeight="1">
      <c r="A36" s="3227" t="s">
        <v>296</v>
      </c>
      <c r="B36" s="3228" t="s">
        <v>169</v>
      </c>
      <c r="C36" s="3227">
        <v>23490</v>
      </c>
      <c r="D36" s="3227">
        <v>23020</v>
      </c>
      <c r="E36" s="3227">
        <v>25230</v>
      </c>
      <c r="F36" s="3227">
        <v>6780</v>
      </c>
      <c r="G36" s="3240">
        <v>16120</v>
      </c>
      <c r="M36" s="3227" t="s">
        <v>2997</v>
      </c>
      <c r="N36" s="3227" t="s">
        <v>2998</v>
      </c>
      <c r="O36" s="3227" t="s">
        <v>2999</v>
      </c>
      <c r="P36" s="3227" t="s">
        <v>3000</v>
      </c>
      <c r="Q36" s="3227" t="s">
        <v>3001</v>
      </c>
    </row>
    <row r="37" spans="1:17" ht="14.25" customHeight="1">
      <c r="A37" s="3227" t="s">
        <v>296</v>
      </c>
      <c r="B37" s="3228" t="s">
        <v>176</v>
      </c>
      <c r="C37" s="3227">
        <v>24380</v>
      </c>
      <c r="D37" s="3227">
        <v>22240</v>
      </c>
      <c r="E37" s="3227">
        <v>25980</v>
      </c>
      <c r="F37" s="3227">
        <v>8160</v>
      </c>
      <c r="G37" s="3240">
        <v>15570</v>
      </c>
      <c r="M37" s="3227" t="s">
        <v>3002</v>
      </c>
      <c r="N37" s="3227" t="s">
        <v>3003</v>
      </c>
      <c r="O37" s="3227" t="s">
        <v>3004</v>
      </c>
      <c r="P37" s="3227" t="s">
        <v>3005</v>
      </c>
      <c r="Q37" s="3227" t="s">
        <v>3006</v>
      </c>
    </row>
    <row r="38" spans="1:17" ht="14.25" customHeight="1">
      <c r="A38" s="3227" t="s">
        <v>296</v>
      </c>
      <c r="B38" s="3228" t="s">
        <v>186</v>
      </c>
      <c r="C38" s="3227">
        <v>23120</v>
      </c>
      <c r="D38" s="3227">
        <v>24630</v>
      </c>
      <c r="E38" s="3227">
        <v>25030</v>
      </c>
      <c r="F38" s="3227">
        <v>7710</v>
      </c>
      <c r="G38" s="3240">
        <v>17240</v>
      </c>
      <c r="M38" s="3227" t="s">
        <v>3007</v>
      </c>
      <c r="N38" s="3227" t="s">
        <v>3008</v>
      </c>
      <c r="O38" s="3227" t="s">
        <v>3009</v>
      </c>
      <c r="P38" s="3227" t="s">
        <v>3010</v>
      </c>
      <c r="Q38" s="3227" t="s">
        <v>3011</v>
      </c>
    </row>
    <row r="39" spans="1:17" ht="14.25" customHeight="1">
      <c r="A39" s="3227" t="s">
        <v>296</v>
      </c>
      <c r="B39" s="3228" t="s">
        <v>195</v>
      </c>
      <c r="C39" s="3227">
        <v>22330</v>
      </c>
      <c r="D39" s="3227">
        <v>21140</v>
      </c>
      <c r="E39" s="3227">
        <v>23970</v>
      </c>
      <c r="F39" s="3227">
        <v>7940</v>
      </c>
      <c r="G39" s="3240">
        <v>14790</v>
      </c>
      <c r="M39" s="3227" t="s">
        <v>3012</v>
      </c>
      <c r="N39" s="3227" t="s">
        <v>3013</v>
      </c>
      <c r="O39" s="3227" t="s">
        <v>3014</v>
      </c>
      <c r="P39" s="3227" t="s">
        <v>3015</v>
      </c>
      <c r="Q39" s="3227" t="s">
        <v>3016</v>
      </c>
    </row>
    <row r="40" spans="1:17" ht="14.25" customHeight="1">
      <c r="A40" s="3227" t="s">
        <v>296</v>
      </c>
      <c r="B40" s="3228" t="s">
        <v>202</v>
      </c>
      <c r="C40" s="3227">
        <v>24740</v>
      </c>
      <c r="D40" s="3227">
        <v>24690</v>
      </c>
      <c r="E40" s="3227">
        <v>22610</v>
      </c>
      <c r="F40" s="3227"/>
      <c r="G40" s="3240">
        <v>17280</v>
      </c>
      <c r="M40" s="3227" t="s">
        <v>3017</v>
      </c>
      <c r="N40" s="3227" t="s">
        <v>3018</v>
      </c>
      <c r="O40" s="3227" t="s">
        <v>3019</v>
      </c>
      <c r="P40" s="3227" t="s">
        <v>3020</v>
      </c>
      <c r="Q40" s="3227" t="s">
        <v>3021</v>
      </c>
    </row>
    <row r="41" spans="1:17" ht="14.25" customHeight="1" thickBot="1">
      <c r="A41" s="3227" t="s">
        <v>296</v>
      </c>
      <c r="B41" s="3228" t="s">
        <v>209</v>
      </c>
      <c r="C41" s="3227">
        <v>21220</v>
      </c>
      <c r="D41" s="3227">
        <v>21120</v>
      </c>
      <c r="E41" s="3227">
        <v>22590</v>
      </c>
      <c r="F41" s="3227"/>
      <c r="G41" s="3240">
        <v>14780</v>
      </c>
      <c r="M41" s="3234" t="s">
        <v>3022</v>
      </c>
      <c r="N41" s="3227" t="s">
        <v>3023</v>
      </c>
      <c r="O41" s="3227" t="s">
        <v>3024</v>
      </c>
      <c r="P41" s="3227" t="s">
        <v>3025</v>
      </c>
      <c r="Q41" s="3227" t="s">
        <v>3026</v>
      </c>
    </row>
    <row r="42" spans="1:17" ht="14.25" customHeight="1">
      <c r="A42" s="3227" t="s">
        <v>296</v>
      </c>
      <c r="B42" s="3228" t="s">
        <v>215</v>
      </c>
      <c r="C42" s="3227">
        <v>24800</v>
      </c>
      <c r="D42" s="3227">
        <v>22280</v>
      </c>
      <c r="E42" s="3227">
        <v>24350</v>
      </c>
      <c r="F42" s="3227"/>
      <c r="G42" s="3240">
        <v>15590</v>
      </c>
      <c r="N42" s="3227" t="s">
        <v>3027</v>
      </c>
      <c r="O42" s="3227" t="s">
        <v>3028</v>
      </c>
      <c r="P42" s="3227" t="s">
        <v>3029</v>
      </c>
      <c r="Q42" s="3227" t="s">
        <v>3030</v>
      </c>
    </row>
    <row r="43" spans="1:17" ht="14.25" customHeight="1">
      <c r="A43" s="3227" t="s">
        <v>3031</v>
      </c>
      <c r="B43" s="3228" t="s">
        <v>223</v>
      </c>
      <c r="C43" s="3227">
        <v>21210</v>
      </c>
      <c r="D43" s="3227">
        <v>21160</v>
      </c>
      <c r="E43" s="3227">
        <v>22650</v>
      </c>
      <c r="F43" s="3227"/>
      <c r="G43" s="3240">
        <v>14800</v>
      </c>
      <c r="N43" s="3227" t="s">
        <v>3032</v>
      </c>
      <c r="O43" s="3227" t="s">
        <v>3033</v>
      </c>
      <c r="P43" s="3227" t="s">
        <v>3034</v>
      </c>
      <c r="Q43" s="3227" t="s">
        <v>3035</v>
      </c>
    </row>
    <row r="44" spans="1:17" ht="14.25" customHeight="1" thickBot="1">
      <c r="A44" s="3227" t="s">
        <v>296</v>
      </c>
      <c r="B44" s="3228" t="s">
        <v>231</v>
      </c>
      <c r="C44" s="3227">
        <v>22370</v>
      </c>
      <c r="D44" s="3227">
        <v>23140</v>
      </c>
      <c r="E44" s="3227">
        <v>25090</v>
      </c>
      <c r="F44" s="3227"/>
      <c r="G44" s="3240">
        <v>16190</v>
      </c>
      <c r="N44" s="3227" t="s">
        <v>3036</v>
      </c>
      <c r="O44" s="3227" t="s">
        <v>3037</v>
      </c>
      <c r="P44" s="3234" t="s">
        <v>3038</v>
      </c>
      <c r="Q44" s="3227" t="s">
        <v>3039</v>
      </c>
    </row>
    <row r="45" spans="1:17" ht="14.25" customHeight="1" thickBot="1">
      <c r="A45" s="3227" t="s">
        <v>296</v>
      </c>
      <c r="B45" s="3228" t="s">
        <v>236</v>
      </c>
      <c r="C45" s="3227">
        <v>21240</v>
      </c>
      <c r="D45" s="3227">
        <v>27050</v>
      </c>
      <c r="E45" s="3227">
        <v>28000</v>
      </c>
      <c r="F45" s="3227"/>
      <c r="G45" s="3240">
        <v>18940</v>
      </c>
      <c r="N45" s="3227" t="s">
        <v>3040</v>
      </c>
      <c r="O45" s="3234" t="s">
        <v>3041</v>
      </c>
      <c r="Q45" s="3227" t="s">
        <v>3042</v>
      </c>
    </row>
    <row r="46" spans="1:17" ht="14.25" customHeight="1">
      <c r="A46" s="3227" t="s">
        <v>296</v>
      </c>
      <c r="B46" s="3228" t="s">
        <v>245</v>
      </c>
      <c r="C46" s="3227">
        <v>23240</v>
      </c>
      <c r="D46" s="3227">
        <v>23000</v>
      </c>
      <c r="E46" s="3227">
        <v>24980</v>
      </c>
      <c r="F46" s="3227"/>
      <c r="G46" s="3240">
        <v>16100</v>
      </c>
      <c r="N46" s="3227" t="s">
        <v>3043</v>
      </c>
      <c r="Q46" s="3227" t="s">
        <v>3044</v>
      </c>
    </row>
    <row r="47" spans="1:17" ht="14.25" customHeight="1">
      <c r="A47" s="3227" t="s">
        <v>296</v>
      </c>
      <c r="B47" s="3228" t="s">
        <v>252</v>
      </c>
      <c r="C47" s="3227">
        <v>27150</v>
      </c>
      <c r="D47" s="3227">
        <v>23310</v>
      </c>
      <c r="E47" s="3227">
        <v>25150</v>
      </c>
      <c r="F47" s="3227"/>
      <c r="G47" s="3240">
        <v>16310</v>
      </c>
      <c r="N47" s="3227" t="s">
        <v>3045</v>
      </c>
      <c r="Q47" s="3227" t="s">
        <v>3046</v>
      </c>
    </row>
    <row r="48" spans="1:17" ht="14.25" customHeight="1">
      <c r="A48" s="3227" t="s">
        <v>296</v>
      </c>
      <c r="B48" s="3228" t="s">
        <v>260</v>
      </c>
      <c r="C48" s="3227">
        <v>23100</v>
      </c>
      <c r="D48" s="3227">
        <v>21110</v>
      </c>
      <c r="E48" s="3227">
        <v>23080</v>
      </c>
      <c r="F48" s="3227"/>
      <c r="G48" s="3240">
        <v>14780</v>
      </c>
      <c r="N48" s="3227" t="s">
        <v>3047</v>
      </c>
      <c r="Q48" s="3227" t="s">
        <v>3048</v>
      </c>
    </row>
    <row r="49" spans="1:17" ht="14.25" customHeight="1">
      <c r="A49" s="3227" t="s">
        <v>296</v>
      </c>
      <c r="B49" s="3228" t="s">
        <v>267</v>
      </c>
      <c r="C49" s="3227">
        <v>23400</v>
      </c>
      <c r="D49" s="3227">
        <v>22920</v>
      </c>
      <c r="E49" s="3227">
        <v>24900</v>
      </c>
      <c r="F49" s="3227"/>
      <c r="G49" s="3240">
        <v>16040</v>
      </c>
      <c r="N49" s="3227" t="s">
        <v>3049</v>
      </c>
      <c r="Q49" s="3227" t="s">
        <v>3050</v>
      </c>
    </row>
    <row r="50" spans="1:17" ht="14.25" customHeight="1">
      <c r="A50" s="3227" t="s">
        <v>296</v>
      </c>
      <c r="B50" s="3228" t="s">
        <v>2927</v>
      </c>
      <c r="C50" s="3227">
        <v>21200</v>
      </c>
      <c r="D50" s="3227">
        <v>26540</v>
      </c>
      <c r="E50" s="3227">
        <v>23200</v>
      </c>
      <c r="F50" s="3227"/>
      <c r="G50" s="3240">
        <v>18580</v>
      </c>
      <c r="N50" s="3227" t="s">
        <v>3051</v>
      </c>
      <c r="Q50" s="3228" t="s">
        <v>3052</v>
      </c>
    </row>
    <row r="51" spans="1:17" ht="14.25" customHeight="1" thickBot="1">
      <c r="A51" s="3227" t="s">
        <v>296</v>
      </c>
      <c r="B51" s="3228" t="s">
        <v>2929</v>
      </c>
      <c r="C51" s="3227">
        <v>23000</v>
      </c>
      <c r="D51" s="3227">
        <v>23460</v>
      </c>
      <c r="E51" s="3227">
        <v>25290</v>
      </c>
      <c r="F51" s="3227"/>
      <c r="G51" s="3240">
        <v>16420</v>
      </c>
      <c r="N51" s="3227" t="s">
        <v>3053</v>
      </c>
      <c r="Q51" s="3234" t="s">
        <v>3054</v>
      </c>
    </row>
    <row r="52" spans="1:17" ht="14.25" customHeight="1">
      <c r="A52" s="3227" t="s">
        <v>296</v>
      </c>
      <c r="B52" s="3228" t="s">
        <v>2933</v>
      </c>
      <c r="C52" s="3227">
        <v>26660</v>
      </c>
      <c r="D52" s="3227">
        <v>22350</v>
      </c>
      <c r="E52" s="3227">
        <v>22920</v>
      </c>
      <c r="F52" s="3227"/>
      <c r="G52" s="3240">
        <v>15640</v>
      </c>
      <c r="N52" s="3227" t="s">
        <v>3055</v>
      </c>
    </row>
    <row r="53" spans="1:17" ht="14.25" customHeight="1">
      <c r="A53" s="3227" t="s">
        <v>296</v>
      </c>
      <c r="B53" s="3228" t="s">
        <v>2938</v>
      </c>
      <c r="C53" s="3227">
        <v>23580</v>
      </c>
      <c r="D53" s="3227"/>
      <c r="E53" s="3227">
        <v>24280</v>
      </c>
      <c r="F53" s="3227"/>
      <c r="G53" s="3240"/>
      <c r="N53" s="3227" t="s">
        <v>3056</v>
      </c>
    </row>
    <row r="54" spans="1:17" ht="14.25" customHeight="1" thickBot="1">
      <c r="A54" s="3241" t="s">
        <v>296</v>
      </c>
      <c r="B54" s="3233" t="s">
        <v>2941</v>
      </c>
      <c r="C54" s="3234">
        <v>22460</v>
      </c>
      <c r="D54" s="3234"/>
      <c r="E54" s="3234"/>
      <c r="F54" s="3234"/>
      <c r="G54" s="3242"/>
      <c r="N54" s="3227" t="s">
        <v>3057</v>
      </c>
    </row>
    <row r="55" spans="1:17" ht="14.25" customHeight="1">
      <c r="A55" s="3232" t="s">
        <v>110</v>
      </c>
      <c r="B55" s="3223" t="s">
        <v>3058</v>
      </c>
      <c r="C55" s="3227">
        <v>21970</v>
      </c>
      <c r="D55" s="3227">
        <v>20370</v>
      </c>
      <c r="E55" s="3227">
        <v>20180</v>
      </c>
      <c r="F55" s="3227">
        <v>5730</v>
      </c>
      <c r="G55" s="3227">
        <v>13820</v>
      </c>
      <c r="N55" s="3227" t="s">
        <v>3059</v>
      </c>
    </row>
    <row r="56" spans="1:17" ht="14.25" customHeight="1">
      <c r="A56" s="3227" t="s">
        <v>110</v>
      </c>
      <c r="B56" s="3227" t="s">
        <v>130</v>
      </c>
      <c r="C56" s="3227">
        <v>20470</v>
      </c>
      <c r="D56" s="3227">
        <v>20700</v>
      </c>
      <c r="E56" s="3227">
        <v>20380</v>
      </c>
      <c r="F56" s="3227">
        <v>4760</v>
      </c>
      <c r="G56" s="3227">
        <v>14050</v>
      </c>
      <c r="N56" s="3227" t="s">
        <v>3060</v>
      </c>
    </row>
    <row r="57" spans="1:17" ht="14.25" customHeight="1">
      <c r="A57" s="3227" t="s">
        <v>110</v>
      </c>
      <c r="B57" s="3227" t="s">
        <v>139</v>
      </c>
      <c r="C57" s="3227">
        <v>20790</v>
      </c>
      <c r="D57" s="3227">
        <v>21370</v>
      </c>
      <c r="E57" s="3227">
        <v>20890</v>
      </c>
      <c r="F57" s="3227">
        <v>4910</v>
      </c>
      <c r="G57" s="3227">
        <v>14510</v>
      </c>
      <c r="N57" s="3227" t="s">
        <v>3061</v>
      </c>
    </row>
    <row r="58" spans="1:17" ht="14.25" customHeight="1">
      <c r="A58" s="3227" t="s">
        <v>110</v>
      </c>
      <c r="B58" s="3227" t="s">
        <v>148</v>
      </c>
      <c r="C58" s="3227">
        <v>21460</v>
      </c>
      <c r="D58" s="3227">
        <v>20920</v>
      </c>
      <c r="E58" s="3227">
        <v>23410</v>
      </c>
      <c r="F58" s="3227">
        <v>5100</v>
      </c>
      <c r="G58" s="3227">
        <v>14200</v>
      </c>
      <c r="N58" s="3227" t="s">
        <v>3062</v>
      </c>
    </row>
    <row r="59" spans="1:17" ht="14.25" customHeight="1">
      <c r="A59" s="3227" t="s">
        <v>110</v>
      </c>
      <c r="B59" s="3227" t="s">
        <v>157</v>
      </c>
      <c r="C59" s="3227">
        <v>21000</v>
      </c>
      <c r="D59" s="3227">
        <v>21550</v>
      </c>
      <c r="E59" s="3227">
        <v>21150</v>
      </c>
      <c r="F59" s="3227">
        <v>5250</v>
      </c>
      <c r="G59" s="3227">
        <v>14630</v>
      </c>
      <c r="N59" s="3227" t="s">
        <v>3063</v>
      </c>
    </row>
    <row r="60" spans="1:17" ht="14.25" customHeight="1">
      <c r="A60" s="3227" t="s">
        <v>110</v>
      </c>
      <c r="B60" s="3227" t="s">
        <v>164</v>
      </c>
      <c r="C60" s="3227">
        <v>21640</v>
      </c>
      <c r="D60" s="3227">
        <v>21260</v>
      </c>
      <c r="E60" s="3227">
        <v>24040</v>
      </c>
      <c r="F60" s="3227">
        <v>4470</v>
      </c>
      <c r="G60" s="3227">
        <v>14430</v>
      </c>
      <c r="N60" s="3227" t="s">
        <v>3064</v>
      </c>
    </row>
    <row r="61" spans="1:17" ht="14.25" customHeight="1">
      <c r="A61" s="3227" t="s">
        <v>110</v>
      </c>
      <c r="B61" s="3227" t="s">
        <v>170</v>
      </c>
      <c r="C61" s="3227">
        <v>21330</v>
      </c>
      <c r="D61" s="3227">
        <v>18640</v>
      </c>
      <c r="E61" s="3227">
        <v>21190</v>
      </c>
      <c r="F61" s="3227">
        <v>4180</v>
      </c>
      <c r="G61" s="3227">
        <v>12650</v>
      </c>
      <c r="N61" s="3227" t="s">
        <v>3065</v>
      </c>
    </row>
    <row r="62" spans="1:17" ht="14.25" customHeight="1">
      <c r="A62" s="3227" t="s">
        <v>110</v>
      </c>
      <c r="B62" s="3227" t="s">
        <v>177</v>
      </c>
      <c r="C62" s="3227">
        <v>18710</v>
      </c>
      <c r="D62" s="3227">
        <v>19400</v>
      </c>
      <c r="E62" s="3227">
        <v>23750</v>
      </c>
      <c r="F62" s="3227">
        <v>4860</v>
      </c>
      <c r="G62" s="3227">
        <v>13170</v>
      </c>
      <c r="N62" s="3227" t="s">
        <v>3066</v>
      </c>
    </row>
    <row r="63" spans="1:17" ht="14.25" customHeight="1">
      <c r="A63" s="3227" t="s">
        <v>110</v>
      </c>
      <c r="B63" s="3227" t="s">
        <v>187</v>
      </c>
      <c r="C63" s="3227">
        <v>19480</v>
      </c>
      <c r="D63" s="3227">
        <v>16830</v>
      </c>
      <c r="E63" s="3227">
        <v>21590</v>
      </c>
      <c r="F63" s="3227">
        <v>4560</v>
      </c>
      <c r="G63" s="3227">
        <v>11420</v>
      </c>
      <c r="N63" s="3227" t="s">
        <v>3067</v>
      </c>
    </row>
    <row r="64" spans="1:17" ht="14.25" customHeight="1" thickBot="1">
      <c r="A64" s="3227" t="s">
        <v>110</v>
      </c>
      <c r="B64" s="3227" t="s">
        <v>196</v>
      </c>
      <c r="C64" s="3227">
        <v>16920</v>
      </c>
      <c r="D64" s="3227">
        <v>19190</v>
      </c>
      <c r="E64" s="3227">
        <v>22200</v>
      </c>
      <c r="F64" s="3227">
        <v>4390</v>
      </c>
      <c r="G64" s="3227">
        <v>13030</v>
      </c>
      <c r="N64" s="3234" t="s">
        <v>3068</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2939</v>
      </c>
      <c r="C78" s="3227">
        <v>19820</v>
      </c>
      <c r="D78" s="3227">
        <v>19780</v>
      </c>
      <c r="E78" s="3227">
        <v>18560</v>
      </c>
      <c r="F78" s="3227"/>
      <c r="G78" s="3227">
        <v>13430</v>
      </c>
    </row>
    <row r="79" spans="1:7" s="3216" customFormat="1" ht="14.25" customHeight="1">
      <c r="A79" s="3227" t="s">
        <v>110</v>
      </c>
      <c r="B79" s="3227" t="s">
        <v>2942</v>
      </c>
      <c r="C79" s="3227">
        <v>21660</v>
      </c>
      <c r="D79" s="3227">
        <v>18000</v>
      </c>
      <c r="E79" s="3227">
        <v>22570</v>
      </c>
      <c r="F79" s="3227"/>
      <c r="G79" s="3227">
        <v>12220</v>
      </c>
    </row>
    <row r="80" spans="1:7" s="3216" customFormat="1" ht="14.25" customHeight="1">
      <c r="A80" s="3227" t="s">
        <v>110</v>
      </c>
      <c r="B80" s="3227" t="s">
        <v>2946</v>
      </c>
      <c r="C80" s="3227">
        <v>19850</v>
      </c>
      <c r="D80" s="3227"/>
      <c r="E80" s="3227">
        <v>21700</v>
      </c>
      <c r="F80" s="3227"/>
      <c r="G80" s="3227"/>
    </row>
    <row r="81" spans="1:7" s="3216" customFormat="1" ht="14.25" customHeight="1">
      <c r="A81" s="3227" t="s">
        <v>110</v>
      </c>
      <c r="B81" s="3227" t="s">
        <v>2951</v>
      </c>
      <c r="C81" s="3227">
        <v>18080</v>
      </c>
      <c r="D81" s="3227"/>
      <c r="E81" s="3227">
        <v>20900</v>
      </c>
      <c r="F81" s="3227"/>
      <c r="G81" s="3227"/>
    </row>
    <row r="82" spans="1:7" s="3216" customFormat="1" ht="14.25" customHeight="1">
      <c r="A82" s="3227" t="s">
        <v>110</v>
      </c>
      <c r="B82" s="3227" t="s">
        <v>2958</v>
      </c>
      <c r="C82" s="3227"/>
      <c r="D82" s="3227"/>
      <c r="E82" s="3227">
        <v>20840</v>
      </c>
      <c r="F82" s="3227"/>
      <c r="G82" s="3227"/>
    </row>
    <row r="83" spans="1:7" s="3216" customFormat="1" ht="14.25" customHeight="1">
      <c r="A83" s="3227" t="s">
        <v>110</v>
      </c>
      <c r="B83" s="3227" t="s">
        <v>3069</v>
      </c>
      <c r="C83" s="3227"/>
      <c r="D83" s="3227"/>
      <c r="E83" s="3227"/>
      <c r="F83" s="3227">
        <v>4770</v>
      </c>
      <c r="G83" s="3227"/>
    </row>
    <row r="84" spans="1:7" s="3216" customFormat="1" ht="14.25" customHeight="1">
      <c r="A84" s="3227" t="s">
        <v>110</v>
      </c>
      <c r="B84" s="3227" t="s">
        <v>3070</v>
      </c>
      <c r="C84" s="3227"/>
      <c r="D84" s="3227"/>
      <c r="E84" s="3227"/>
      <c r="F84" s="3227">
        <v>4600</v>
      </c>
      <c r="G84" s="3227"/>
    </row>
    <row r="85" spans="1:7" s="3216" customFormat="1" ht="14.25" customHeight="1">
      <c r="A85" s="3227" t="s">
        <v>110</v>
      </c>
      <c r="B85" s="3227" t="s">
        <v>3071</v>
      </c>
      <c r="C85" s="3227"/>
      <c r="D85" s="3227"/>
      <c r="E85" s="3227"/>
      <c r="F85" s="3227">
        <v>4680</v>
      </c>
      <c r="G85" s="3227"/>
    </row>
    <row r="86" spans="1:7" s="3216" customFormat="1" ht="14.25" customHeight="1" thickBot="1">
      <c r="A86" s="3235" t="s">
        <v>110</v>
      </c>
      <c r="B86" s="3237" t="s">
        <v>3072</v>
      </c>
      <c r="C86" s="3238">
        <v>16610</v>
      </c>
      <c r="D86" s="3238">
        <v>16540</v>
      </c>
      <c r="E86" s="3238">
        <v>18850</v>
      </c>
      <c r="F86" s="3238"/>
      <c r="G86" s="3238">
        <v>11220</v>
      </c>
    </row>
    <row r="87" spans="1:7" s="3216" customFormat="1" ht="14.25" customHeight="1">
      <c r="A87" s="3232" t="s">
        <v>303</v>
      </c>
      <c r="B87" s="3223" t="s">
        <v>3073</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2952</v>
      </c>
      <c r="C113" s="3227">
        <v>15520</v>
      </c>
      <c r="D113" s="3227">
        <v>15450</v>
      </c>
      <c r="E113" s="3227"/>
      <c r="F113" s="3227"/>
      <c r="G113" s="3240">
        <v>10210</v>
      </c>
    </row>
    <row r="114" spans="1:7" s="3216" customFormat="1" ht="14.25" customHeight="1">
      <c r="A114" s="3227" t="s">
        <v>303</v>
      </c>
      <c r="B114" s="3227" t="s">
        <v>2959</v>
      </c>
      <c r="C114" s="3227">
        <v>13110</v>
      </c>
      <c r="D114" s="3227">
        <v>13050</v>
      </c>
      <c r="E114" s="3227"/>
      <c r="F114" s="3227"/>
      <c r="G114" s="3240">
        <v>8620</v>
      </c>
    </row>
    <row r="115" spans="1:7" s="3216" customFormat="1" ht="14.25" customHeight="1">
      <c r="A115" s="3227" t="s">
        <v>303</v>
      </c>
      <c r="B115" s="3227" t="s">
        <v>2965</v>
      </c>
      <c r="C115" s="3227">
        <v>12460</v>
      </c>
      <c r="D115" s="3227">
        <v>12390</v>
      </c>
      <c r="E115" s="3227"/>
      <c r="F115" s="3227"/>
      <c r="G115" s="3240">
        <v>8190</v>
      </c>
    </row>
    <row r="116" spans="1:7" s="3216" customFormat="1" ht="14.25" customHeight="1">
      <c r="A116" s="3227" t="s">
        <v>303</v>
      </c>
      <c r="B116" s="3227" t="s">
        <v>2972</v>
      </c>
      <c r="C116" s="3227">
        <v>13580</v>
      </c>
      <c r="D116" s="3227">
        <v>13520</v>
      </c>
      <c r="E116" s="3227"/>
      <c r="F116" s="3227"/>
      <c r="G116" s="3240">
        <v>8930</v>
      </c>
    </row>
    <row r="117" spans="1:7" s="3216" customFormat="1" ht="14.25" customHeight="1">
      <c r="A117" s="3227" t="s">
        <v>303</v>
      </c>
      <c r="B117" s="3227" t="s">
        <v>2979</v>
      </c>
      <c r="C117" s="3227">
        <v>17120</v>
      </c>
      <c r="D117" s="3227">
        <v>17040</v>
      </c>
      <c r="E117" s="3227"/>
      <c r="F117" s="3227"/>
      <c r="G117" s="3240">
        <v>11260</v>
      </c>
    </row>
    <row r="118" spans="1:7" s="3216" customFormat="1" ht="14.25" customHeight="1">
      <c r="A118" s="3227" t="s">
        <v>303</v>
      </c>
      <c r="B118" s="3227" t="s">
        <v>2984</v>
      </c>
      <c r="C118" s="3227">
        <v>14860</v>
      </c>
      <c r="D118" s="3227">
        <v>14790</v>
      </c>
      <c r="E118" s="3227"/>
      <c r="F118" s="3227"/>
      <c r="G118" s="3240">
        <v>9780</v>
      </c>
    </row>
    <row r="119" spans="1:7" s="3216" customFormat="1" ht="14.25" customHeight="1">
      <c r="A119" s="3227" t="s">
        <v>303</v>
      </c>
      <c r="B119" s="3227" t="s">
        <v>2988</v>
      </c>
      <c r="C119" s="3227">
        <v>16470</v>
      </c>
      <c r="D119" s="3227">
        <v>16400</v>
      </c>
      <c r="E119" s="3227"/>
      <c r="F119" s="3227"/>
      <c r="G119" s="3240">
        <v>10840</v>
      </c>
    </row>
    <row r="120" spans="1:7" s="3216" customFormat="1" ht="14.25" customHeight="1">
      <c r="A120" s="3227" t="s">
        <v>303</v>
      </c>
      <c r="B120" s="3227" t="s">
        <v>3074</v>
      </c>
      <c r="C120" s="3227"/>
      <c r="D120" s="3227"/>
      <c r="E120" s="3227"/>
      <c r="F120" s="3227">
        <v>4160</v>
      </c>
      <c r="G120" s="3240"/>
    </row>
    <row r="121" spans="1:7" s="3216" customFormat="1" ht="14.25" customHeight="1">
      <c r="A121" s="3227" t="s">
        <v>303</v>
      </c>
      <c r="B121" s="3227" t="s">
        <v>3075</v>
      </c>
      <c r="C121" s="3227"/>
      <c r="D121" s="3227"/>
      <c r="E121" s="3227"/>
      <c r="F121" s="3227">
        <v>3880</v>
      </c>
      <c r="G121" s="3240"/>
    </row>
    <row r="122" spans="1:7" s="3216" customFormat="1" ht="14.25" customHeight="1">
      <c r="A122" s="3227" t="s">
        <v>303</v>
      </c>
      <c r="B122" s="3227" t="s">
        <v>3076</v>
      </c>
      <c r="C122" s="3227">
        <v>13750</v>
      </c>
      <c r="D122" s="3227">
        <v>13680</v>
      </c>
      <c r="E122" s="3227">
        <v>16460</v>
      </c>
      <c r="F122" s="3227">
        <v>2880</v>
      </c>
      <c r="G122" s="3240">
        <v>9040</v>
      </c>
    </row>
    <row r="123" spans="1:7" s="3216" customFormat="1" ht="14.25" customHeight="1">
      <c r="A123" s="3227" t="s">
        <v>303</v>
      </c>
      <c r="B123" s="3227" t="s">
        <v>3007</v>
      </c>
      <c r="C123" s="3227">
        <v>13590</v>
      </c>
      <c r="D123" s="3227">
        <v>13520</v>
      </c>
      <c r="E123" s="3227">
        <v>16290</v>
      </c>
      <c r="F123" s="3227">
        <v>2790</v>
      </c>
      <c r="G123" s="3240">
        <v>8930</v>
      </c>
    </row>
    <row r="124" spans="1:7" s="3216" customFormat="1" ht="14.25" customHeight="1">
      <c r="A124" s="3227" t="s">
        <v>303</v>
      </c>
      <c r="B124" s="3227" t="s">
        <v>3012</v>
      </c>
      <c r="C124" s="3227">
        <v>13400</v>
      </c>
      <c r="D124" s="3227">
        <v>13320</v>
      </c>
      <c r="E124" s="3227">
        <v>16100</v>
      </c>
      <c r="F124" s="3227">
        <v>2320</v>
      </c>
      <c r="G124" s="3240">
        <v>8800</v>
      </c>
    </row>
    <row r="125" spans="1:7" s="3216" customFormat="1" ht="14.25" customHeight="1">
      <c r="A125" s="3227" t="s">
        <v>303</v>
      </c>
      <c r="B125" s="3227" t="s">
        <v>3017</v>
      </c>
      <c r="C125" s="3227">
        <v>12860</v>
      </c>
      <c r="D125" s="3227">
        <v>12790</v>
      </c>
      <c r="E125" s="3227">
        <v>15370</v>
      </c>
      <c r="F125" s="3227">
        <v>2280</v>
      </c>
      <c r="G125" s="3240">
        <v>8450</v>
      </c>
    </row>
    <row r="126" spans="1:7" s="3216" customFormat="1" ht="14.25" customHeight="1" thickBot="1">
      <c r="A126" s="3241" t="s">
        <v>303</v>
      </c>
      <c r="B126" s="3234" t="s">
        <v>3022</v>
      </c>
      <c r="C126" s="3234">
        <v>12960</v>
      </c>
      <c r="D126" s="3234">
        <v>12890</v>
      </c>
      <c r="E126" s="3234">
        <v>15530</v>
      </c>
      <c r="F126" s="3234">
        <v>2910</v>
      </c>
      <c r="G126" s="3242">
        <v>8520</v>
      </c>
    </row>
    <row r="127" spans="1:7" s="3216" customFormat="1" ht="14.25" customHeight="1">
      <c r="A127" s="3232" t="s">
        <v>29</v>
      </c>
      <c r="B127" s="3223" t="s">
        <v>3077</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3078</v>
      </c>
      <c r="C148" s="3227">
        <v>10370</v>
      </c>
      <c r="D148" s="3227">
        <v>10310</v>
      </c>
      <c r="E148" s="3227">
        <v>12970</v>
      </c>
      <c r="F148" s="3227"/>
      <c r="G148" s="3227">
        <v>6630</v>
      </c>
    </row>
    <row r="149" spans="1:7" s="3216" customFormat="1" ht="14.25" customHeight="1">
      <c r="A149" s="3227" t="s">
        <v>29</v>
      </c>
      <c r="B149" s="3227" t="s">
        <v>3079</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2953</v>
      </c>
      <c r="C153" s="3227">
        <v>10880</v>
      </c>
      <c r="D153" s="3227">
        <v>10820</v>
      </c>
      <c r="E153" s="3227">
        <v>13660</v>
      </c>
      <c r="F153" s="3227">
        <v>2260</v>
      </c>
      <c r="G153" s="3227">
        <v>6970</v>
      </c>
    </row>
    <row r="154" spans="1:7" s="3216" customFormat="1" ht="14.25" customHeight="1">
      <c r="A154" s="3227" t="s">
        <v>29</v>
      </c>
      <c r="B154" s="3227" t="s">
        <v>3080</v>
      </c>
      <c r="C154" s="3227">
        <v>11220</v>
      </c>
      <c r="D154" s="3227">
        <v>11160</v>
      </c>
      <c r="E154" s="3227">
        <v>14130</v>
      </c>
      <c r="F154" s="3227">
        <v>2230</v>
      </c>
      <c r="G154" s="3227">
        <v>7180</v>
      </c>
    </row>
    <row r="155" spans="1:7" s="3216" customFormat="1" ht="14.25" customHeight="1">
      <c r="A155" s="3227" t="s">
        <v>29</v>
      </c>
      <c r="B155" s="3227" t="s">
        <v>2966</v>
      </c>
      <c r="C155" s="3227">
        <v>10430</v>
      </c>
      <c r="D155" s="3227">
        <v>10380</v>
      </c>
      <c r="E155" s="3227">
        <v>13140</v>
      </c>
      <c r="F155" s="3227">
        <v>2080</v>
      </c>
      <c r="G155" s="3227">
        <v>6650</v>
      </c>
    </row>
    <row r="156" spans="1:7" s="3216" customFormat="1" ht="14.25" customHeight="1">
      <c r="A156" s="3227" t="s">
        <v>29</v>
      </c>
      <c r="B156" s="3227" t="s">
        <v>3081</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3082</v>
      </c>
      <c r="C160" s="3227">
        <v>11180</v>
      </c>
      <c r="D160" s="3227">
        <v>11140</v>
      </c>
      <c r="E160" s="3227">
        <v>14050</v>
      </c>
      <c r="F160" s="3227">
        <v>2270</v>
      </c>
      <c r="G160" s="3227">
        <v>7170</v>
      </c>
    </row>
    <row r="161" spans="1:7" s="3216" customFormat="1" ht="14.25" customHeight="1">
      <c r="A161" s="3227" t="s">
        <v>29</v>
      </c>
      <c r="B161" s="3227" t="s">
        <v>2998</v>
      </c>
      <c r="C161" s="3227">
        <v>11160</v>
      </c>
      <c r="D161" s="3227">
        <v>11120</v>
      </c>
      <c r="E161" s="3227">
        <v>14020</v>
      </c>
      <c r="F161" s="3227">
        <v>2150</v>
      </c>
      <c r="G161" s="3227">
        <v>7160</v>
      </c>
    </row>
    <row r="162" spans="1:7" s="3216" customFormat="1" ht="14.25" customHeight="1">
      <c r="A162" s="3227" t="s">
        <v>29</v>
      </c>
      <c r="B162" s="3227" t="s">
        <v>3003</v>
      </c>
      <c r="C162" s="3227">
        <v>9620</v>
      </c>
      <c r="D162" s="3227">
        <v>9570</v>
      </c>
      <c r="E162" s="3227">
        <v>12320</v>
      </c>
      <c r="F162" s="3227">
        <v>2010</v>
      </c>
      <c r="G162" s="3227">
        <v>6160</v>
      </c>
    </row>
    <row r="163" spans="1:7" s="3216" customFormat="1" ht="14.25" customHeight="1">
      <c r="A163" s="3227" t="s">
        <v>29</v>
      </c>
      <c r="B163" s="3227" t="s">
        <v>3008</v>
      </c>
      <c r="C163" s="3227">
        <v>9320</v>
      </c>
      <c r="D163" s="3227">
        <v>9270</v>
      </c>
      <c r="E163" s="3227">
        <v>11790</v>
      </c>
      <c r="F163" s="3227">
        <v>1920</v>
      </c>
      <c r="G163" s="3227">
        <v>5960</v>
      </c>
    </row>
    <row r="164" spans="1:7" s="3216" customFormat="1" ht="14.25" customHeight="1">
      <c r="A164" s="3227" t="s">
        <v>29</v>
      </c>
      <c r="B164" s="3227" t="s">
        <v>3013</v>
      </c>
      <c r="C164" s="3227"/>
      <c r="D164" s="3227"/>
      <c r="E164" s="3227"/>
      <c r="F164" s="3227">
        <v>1980</v>
      </c>
      <c r="G164" s="3227"/>
    </row>
    <row r="165" spans="1:7" s="3216" customFormat="1" ht="14.25" customHeight="1">
      <c r="A165" s="3227" t="s">
        <v>29</v>
      </c>
      <c r="B165" s="3227" t="s">
        <v>3083</v>
      </c>
      <c r="C165" s="3227">
        <v>11060</v>
      </c>
      <c r="D165" s="3227">
        <v>11030</v>
      </c>
      <c r="E165" s="3227">
        <v>13850</v>
      </c>
      <c r="F165" s="3227">
        <v>2170</v>
      </c>
      <c r="G165" s="3227">
        <v>7090</v>
      </c>
    </row>
    <row r="166" spans="1:7" s="3216" customFormat="1" ht="14.25" customHeight="1">
      <c r="A166" s="3227" t="s">
        <v>29</v>
      </c>
      <c r="B166" s="3227" t="s">
        <v>3023</v>
      </c>
      <c r="C166" s="3227">
        <v>11050</v>
      </c>
      <c r="D166" s="3227">
        <v>11010</v>
      </c>
      <c r="E166" s="3227">
        <v>13920</v>
      </c>
      <c r="F166" s="3227">
        <v>2140</v>
      </c>
      <c r="G166" s="3227">
        <v>7080</v>
      </c>
    </row>
    <row r="167" spans="1:7" s="3216" customFormat="1" ht="14.25" customHeight="1">
      <c r="A167" s="3227" t="s">
        <v>29</v>
      </c>
      <c r="B167" s="3227" t="s">
        <v>3027</v>
      </c>
      <c r="C167" s="3227">
        <v>10930</v>
      </c>
      <c r="D167" s="3227">
        <v>10890</v>
      </c>
      <c r="E167" s="3227">
        <v>13790</v>
      </c>
      <c r="F167" s="3227">
        <v>2010</v>
      </c>
      <c r="G167" s="3227">
        <v>7000</v>
      </c>
    </row>
    <row r="168" spans="1:7" s="3216" customFormat="1" ht="14.25" customHeight="1">
      <c r="A168" s="3227" t="s">
        <v>29</v>
      </c>
      <c r="B168" s="3227" t="s">
        <v>3032</v>
      </c>
      <c r="C168" s="3227">
        <v>9420</v>
      </c>
      <c r="D168" s="3227">
        <v>9380</v>
      </c>
      <c r="E168" s="3227">
        <v>11970</v>
      </c>
      <c r="F168" s="3227"/>
      <c r="G168" s="3227">
        <v>6040</v>
      </c>
    </row>
    <row r="169" spans="1:7" s="3216" customFormat="1" ht="14.25" customHeight="1">
      <c r="A169" s="3227" t="s">
        <v>29</v>
      </c>
      <c r="B169" s="3227" t="s">
        <v>3084</v>
      </c>
      <c r="C169" s="3227"/>
      <c r="D169" s="3227"/>
      <c r="E169" s="3227"/>
      <c r="F169" s="3227">
        <v>2880</v>
      </c>
      <c r="G169" s="3227"/>
    </row>
    <row r="170" spans="1:7" s="3216" customFormat="1" ht="14.25" customHeight="1">
      <c r="A170" s="3227" t="s">
        <v>29</v>
      </c>
      <c r="B170" s="3227" t="s">
        <v>3040</v>
      </c>
      <c r="C170" s="3227"/>
      <c r="D170" s="3227"/>
      <c r="E170" s="3227"/>
      <c r="F170" s="3227">
        <v>2880</v>
      </c>
      <c r="G170" s="3227"/>
    </row>
    <row r="171" spans="1:7" s="3216" customFormat="1" ht="14.25" customHeight="1">
      <c r="A171" s="3227" t="s">
        <v>29</v>
      </c>
      <c r="B171" s="3227" t="s">
        <v>3043</v>
      </c>
      <c r="C171" s="3227"/>
      <c r="D171" s="3227"/>
      <c r="E171" s="3227"/>
      <c r="F171" s="3227">
        <v>2880</v>
      </c>
      <c r="G171" s="3227"/>
    </row>
    <row r="172" spans="1:7" s="3216" customFormat="1" ht="14.25" customHeight="1">
      <c r="A172" s="3227" t="s">
        <v>29</v>
      </c>
      <c r="B172" s="3227" t="s">
        <v>3045</v>
      </c>
      <c r="C172" s="3227"/>
      <c r="D172" s="3227"/>
      <c r="E172" s="3227"/>
      <c r="F172" s="3227">
        <v>2880</v>
      </c>
      <c r="G172" s="3227"/>
    </row>
    <row r="173" spans="1:7" s="3216" customFormat="1" ht="14.25" customHeight="1">
      <c r="A173" s="3227" t="s">
        <v>29</v>
      </c>
      <c r="B173" s="3227" t="s">
        <v>3047</v>
      </c>
      <c r="C173" s="3227"/>
      <c r="D173" s="3227"/>
      <c r="E173" s="3227"/>
      <c r="F173" s="3227">
        <v>2150</v>
      </c>
      <c r="G173" s="3227"/>
    </row>
    <row r="174" spans="1:7" s="3216" customFormat="1" ht="14.25" customHeight="1">
      <c r="A174" s="3227" t="s">
        <v>29</v>
      </c>
      <c r="B174" s="3227" t="s">
        <v>3049</v>
      </c>
      <c r="C174" s="3227"/>
      <c r="D174" s="3227"/>
      <c r="E174" s="3227"/>
      <c r="F174" s="3227">
        <v>2030</v>
      </c>
      <c r="G174" s="3227"/>
    </row>
    <row r="175" spans="1:7" s="3216" customFormat="1" ht="14.25" customHeight="1">
      <c r="A175" s="3227" t="s">
        <v>29</v>
      </c>
      <c r="B175" s="3227" t="s">
        <v>3051</v>
      </c>
      <c r="C175" s="3227"/>
      <c r="D175" s="3227"/>
      <c r="E175" s="3227"/>
      <c r="F175" s="3227">
        <v>2780</v>
      </c>
      <c r="G175" s="3227"/>
    </row>
    <row r="176" spans="1:7" s="3216" customFormat="1" ht="14.25" customHeight="1">
      <c r="A176" s="3227" t="s">
        <v>29</v>
      </c>
      <c r="B176" s="3227" t="s">
        <v>3053</v>
      </c>
      <c r="C176" s="3227"/>
      <c r="D176" s="3227"/>
      <c r="E176" s="3227"/>
      <c r="F176" s="3227">
        <v>2780</v>
      </c>
      <c r="G176" s="3227"/>
    </row>
    <row r="177" spans="1:7" s="3216" customFormat="1" ht="14.25" customHeight="1">
      <c r="A177" s="3227" t="s">
        <v>29</v>
      </c>
      <c r="B177" s="3227" t="s">
        <v>3085</v>
      </c>
      <c r="C177" s="3227"/>
      <c r="D177" s="3227"/>
      <c r="E177" s="3227"/>
      <c r="F177" s="3227">
        <v>2780</v>
      </c>
      <c r="G177" s="3227"/>
    </row>
    <row r="178" spans="1:7" s="3216" customFormat="1" ht="14.25" customHeight="1">
      <c r="A178" s="3227" t="s">
        <v>29</v>
      </c>
      <c r="B178" s="3227" t="s">
        <v>3086</v>
      </c>
      <c r="C178" s="3227"/>
      <c r="D178" s="3227"/>
      <c r="E178" s="3227"/>
      <c r="F178" s="3227">
        <v>2060</v>
      </c>
      <c r="G178" s="3227"/>
    </row>
    <row r="179" spans="1:7" s="3216" customFormat="1" ht="14.25" customHeight="1">
      <c r="A179" s="3227" t="s">
        <v>29</v>
      </c>
      <c r="B179" s="3227" t="s">
        <v>3087</v>
      </c>
      <c r="C179" s="3227"/>
      <c r="D179" s="3227"/>
      <c r="E179" s="3227"/>
      <c r="F179" s="3227">
        <v>2120</v>
      </c>
      <c r="G179" s="3227"/>
    </row>
    <row r="180" spans="1:7" s="3216" customFormat="1" ht="14.25" customHeight="1">
      <c r="A180" s="3227" t="s">
        <v>29</v>
      </c>
      <c r="B180" s="3227" t="s">
        <v>3059</v>
      </c>
      <c r="C180" s="3227"/>
      <c r="D180" s="3227"/>
      <c r="E180" s="3227"/>
      <c r="F180" s="3227">
        <v>2340</v>
      </c>
      <c r="G180" s="3227"/>
    </row>
    <row r="181" spans="1:7" s="3216" customFormat="1" ht="14.25" customHeight="1">
      <c r="A181" s="3227" t="s">
        <v>29</v>
      </c>
      <c r="B181" s="3227" t="s">
        <v>3060</v>
      </c>
      <c r="C181" s="3227"/>
      <c r="D181" s="3227"/>
      <c r="E181" s="3227"/>
      <c r="F181" s="3227">
        <v>2340</v>
      </c>
      <c r="G181" s="3227"/>
    </row>
    <row r="182" spans="1:7" s="3216" customFormat="1" ht="14.25" customHeight="1">
      <c r="A182" s="3227" t="s">
        <v>29</v>
      </c>
      <c r="B182" s="3227" t="s">
        <v>3061</v>
      </c>
      <c r="C182" s="3227"/>
      <c r="D182" s="3227"/>
      <c r="E182" s="3227"/>
      <c r="F182" s="3227">
        <v>2340</v>
      </c>
      <c r="G182" s="3227"/>
    </row>
    <row r="183" spans="1:7" s="3216" customFormat="1" ht="14.25" customHeight="1">
      <c r="A183" s="3227" t="s">
        <v>29</v>
      </c>
      <c r="B183" s="3227" t="s">
        <v>3062</v>
      </c>
      <c r="C183" s="3227"/>
      <c r="D183" s="3227"/>
      <c r="E183" s="3227"/>
      <c r="F183" s="3227">
        <v>2340</v>
      </c>
      <c r="G183" s="3227"/>
    </row>
    <row r="184" spans="1:7" s="3216" customFormat="1" ht="14.25" customHeight="1">
      <c r="A184" s="3227" t="s">
        <v>29</v>
      </c>
      <c r="B184" s="3227" t="s">
        <v>3063</v>
      </c>
      <c r="C184" s="3227"/>
      <c r="D184" s="3227"/>
      <c r="E184" s="3227"/>
      <c r="F184" s="3227">
        <v>2340</v>
      </c>
      <c r="G184" s="3227"/>
    </row>
    <row r="185" spans="1:7" s="3216" customFormat="1" ht="14.25" customHeight="1">
      <c r="A185" s="3227" t="s">
        <v>29</v>
      </c>
      <c r="B185" s="3227" t="s">
        <v>3064</v>
      </c>
      <c r="C185" s="3227"/>
      <c r="D185" s="3227"/>
      <c r="E185" s="3227"/>
      <c r="F185" s="3227">
        <v>2530</v>
      </c>
      <c r="G185" s="3227"/>
    </row>
    <row r="186" spans="1:7" s="3216" customFormat="1" ht="14.25" customHeight="1">
      <c r="A186" s="3227" t="s">
        <v>29</v>
      </c>
      <c r="B186" s="3227" t="s">
        <v>3065</v>
      </c>
      <c r="C186" s="3227"/>
      <c r="D186" s="3227"/>
      <c r="E186" s="3227"/>
      <c r="F186" s="3227">
        <v>2550</v>
      </c>
      <c r="G186" s="3227"/>
    </row>
    <row r="187" spans="1:7" s="3216" customFormat="1" ht="14.25" customHeight="1">
      <c r="A187" s="3227" t="s">
        <v>29</v>
      </c>
      <c r="B187" s="3227" t="s">
        <v>3066</v>
      </c>
      <c r="C187" s="3227"/>
      <c r="D187" s="3227"/>
      <c r="E187" s="3227"/>
      <c r="F187" s="3227">
        <v>2070</v>
      </c>
      <c r="G187" s="3227"/>
    </row>
    <row r="188" spans="1:7" s="3216" customFormat="1" ht="14.25" customHeight="1">
      <c r="A188" s="3227" t="s">
        <v>29</v>
      </c>
      <c r="B188" s="3227" t="s">
        <v>3067</v>
      </c>
      <c r="C188" s="3227"/>
      <c r="D188" s="3227"/>
      <c r="E188" s="3227"/>
      <c r="F188" s="3227">
        <v>2340</v>
      </c>
      <c r="G188" s="3227"/>
    </row>
    <row r="189" spans="1:7" s="3216" customFormat="1" ht="14.25" customHeight="1" thickBot="1">
      <c r="A189" s="3235" t="s">
        <v>29</v>
      </c>
      <c r="B189" s="3238" t="s">
        <v>3068</v>
      </c>
      <c r="C189" s="3238"/>
      <c r="D189" s="3238"/>
      <c r="E189" s="3238"/>
      <c r="F189" s="3238">
        <v>2050</v>
      </c>
      <c r="G189" s="3238"/>
    </row>
    <row r="190" spans="1:7" s="3216" customFormat="1" ht="14.25" customHeight="1">
      <c r="A190" s="3232" t="s">
        <v>304</v>
      </c>
      <c r="B190" s="3223" t="s">
        <v>3088</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3089</v>
      </c>
      <c r="C199" s="3227">
        <v>8690</v>
      </c>
      <c r="D199" s="3227">
        <v>8630</v>
      </c>
      <c r="E199" s="3227">
        <v>11350</v>
      </c>
      <c r="F199" s="3227">
        <v>1600</v>
      </c>
      <c r="G199" s="3240">
        <v>5450</v>
      </c>
    </row>
    <row r="200" spans="1:7" s="3216" customFormat="1" ht="14.25" customHeight="1">
      <c r="A200" s="3227" t="s">
        <v>304</v>
      </c>
      <c r="B200" s="3227" t="s">
        <v>2900</v>
      </c>
      <c r="C200" s="3227"/>
      <c r="D200" s="3227"/>
      <c r="E200" s="3227"/>
      <c r="F200" s="3227">
        <v>1510</v>
      </c>
      <c r="G200" s="3240"/>
    </row>
    <row r="201" spans="1:7" s="3216" customFormat="1" ht="14.25" customHeight="1">
      <c r="A201" s="3227" t="s">
        <v>304</v>
      </c>
      <c r="B201" s="3227" t="s">
        <v>3090</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3091</v>
      </c>
      <c r="C203" s="3227">
        <v>8130</v>
      </c>
      <c r="D203" s="3227">
        <v>8070</v>
      </c>
      <c r="E203" s="3227">
        <v>10820</v>
      </c>
      <c r="F203" s="3227">
        <v>1690</v>
      </c>
      <c r="G203" s="3240">
        <v>5100</v>
      </c>
    </row>
    <row r="204" spans="1:7" s="3216" customFormat="1" ht="14.25" customHeight="1">
      <c r="A204" s="3227" t="s">
        <v>304</v>
      </c>
      <c r="B204" s="3227" t="s">
        <v>2911</v>
      </c>
      <c r="C204" s="3227">
        <v>8350</v>
      </c>
      <c r="D204" s="3227">
        <v>8290</v>
      </c>
      <c r="E204" s="3227">
        <v>11080</v>
      </c>
      <c r="F204" s="3227">
        <v>1450</v>
      </c>
      <c r="G204" s="3240">
        <v>5240</v>
      </c>
    </row>
    <row r="205" spans="1:7" s="3216" customFormat="1" ht="14.25" customHeight="1">
      <c r="A205" s="3227" t="s">
        <v>304</v>
      </c>
      <c r="B205" s="3227" t="s">
        <v>2913</v>
      </c>
      <c r="C205" s="3227">
        <v>7190</v>
      </c>
      <c r="D205" s="3227">
        <v>7130</v>
      </c>
      <c r="E205" s="3227">
        <v>9490</v>
      </c>
      <c r="F205" s="3227">
        <v>1470</v>
      </c>
      <c r="G205" s="3240">
        <v>4510</v>
      </c>
    </row>
    <row r="206" spans="1:7" s="3216" customFormat="1" ht="14.25" customHeight="1">
      <c r="A206" s="3227" t="s">
        <v>304</v>
      </c>
      <c r="B206" s="3227" t="s">
        <v>2916</v>
      </c>
      <c r="C206" s="3227">
        <v>7000</v>
      </c>
      <c r="D206" s="3227">
        <v>6950</v>
      </c>
      <c r="E206" s="3227">
        <v>9170</v>
      </c>
      <c r="F206" s="3227">
        <v>1400</v>
      </c>
      <c r="G206" s="3240">
        <v>4380</v>
      </c>
    </row>
    <row r="207" spans="1:7" s="3216" customFormat="1" ht="14.25" customHeight="1">
      <c r="A207" s="3227" t="s">
        <v>304</v>
      </c>
      <c r="B207" s="3227" t="s">
        <v>2918</v>
      </c>
      <c r="C207" s="3227">
        <v>6950</v>
      </c>
      <c r="D207" s="3227">
        <v>6900</v>
      </c>
      <c r="E207" s="3227">
        <v>9110</v>
      </c>
      <c r="F207" s="3227">
        <v>1790</v>
      </c>
      <c r="G207" s="3240">
        <v>4360</v>
      </c>
    </row>
    <row r="208" spans="1:7" s="3216" customFormat="1" ht="14.25" customHeight="1">
      <c r="A208" s="3227" t="s">
        <v>304</v>
      </c>
      <c r="B208" s="3227" t="s">
        <v>3092</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2928</v>
      </c>
      <c r="C210" s="3227">
        <v>8710</v>
      </c>
      <c r="D210" s="3227">
        <v>8660</v>
      </c>
      <c r="E210" s="3227">
        <v>11440</v>
      </c>
      <c r="F210" s="3227">
        <v>1740</v>
      </c>
      <c r="G210" s="3240">
        <v>5470</v>
      </c>
    </row>
    <row r="211" spans="1:7" s="3216" customFormat="1" ht="14.25" customHeight="1">
      <c r="A211" s="3227" t="s">
        <v>304</v>
      </c>
      <c r="B211" s="3227" t="s">
        <v>3093</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3094</v>
      </c>
      <c r="C214" s="3227">
        <v>8090</v>
      </c>
      <c r="D214" s="3227">
        <v>8030</v>
      </c>
      <c r="E214" s="3227">
        <v>10780</v>
      </c>
      <c r="F214" s="3227">
        <v>1570</v>
      </c>
      <c r="G214" s="3240">
        <v>5070</v>
      </c>
    </row>
    <row r="215" spans="1:7" s="3216" customFormat="1" ht="14.25" customHeight="1">
      <c r="A215" s="3227" t="s">
        <v>304</v>
      </c>
      <c r="B215" s="3227" t="s">
        <v>3095</v>
      </c>
      <c r="C215" s="3227">
        <v>7950</v>
      </c>
      <c r="D215" s="3227">
        <v>7900</v>
      </c>
      <c r="E215" s="3227">
        <v>10560</v>
      </c>
      <c r="F215" s="3227">
        <v>1630</v>
      </c>
      <c r="G215" s="3240">
        <v>4990</v>
      </c>
    </row>
    <row r="216" spans="1:7" s="3216" customFormat="1" ht="14.25" customHeight="1">
      <c r="A216" s="3227" t="s">
        <v>304</v>
      </c>
      <c r="B216" s="3227" t="s">
        <v>3096</v>
      </c>
      <c r="C216" s="3227">
        <v>8490</v>
      </c>
      <c r="D216" s="3227">
        <v>8440</v>
      </c>
      <c r="E216" s="3227">
        <v>11260</v>
      </c>
      <c r="F216" s="3227">
        <v>1690</v>
      </c>
      <c r="G216" s="3240">
        <v>5330</v>
      </c>
    </row>
    <row r="217" spans="1:7" s="3216" customFormat="1" ht="14.25" customHeight="1">
      <c r="A217" s="3227" t="s">
        <v>304</v>
      </c>
      <c r="B217" s="3227" t="s">
        <v>2961</v>
      </c>
      <c r="C217" s="3227">
        <v>8200</v>
      </c>
      <c r="D217" s="3227">
        <v>8150</v>
      </c>
      <c r="E217" s="3227">
        <v>10910</v>
      </c>
      <c r="F217" s="3227">
        <v>1670</v>
      </c>
      <c r="G217" s="3240">
        <v>5150</v>
      </c>
    </row>
    <row r="218" spans="1:7" s="3216" customFormat="1" ht="14.25" customHeight="1">
      <c r="A218" s="3227" t="s">
        <v>304</v>
      </c>
      <c r="B218" s="3227" t="s">
        <v>3097</v>
      </c>
      <c r="C218" s="3227"/>
      <c r="D218" s="3227"/>
      <c r="E218" s="3227"/>
      <c r="F218" s="3227">
        <v>2040</v>
      </c>
      <c r="G218" s="3240"/>
    </row>
    <row r="219" spans="1:7" s="3216" customFormat="1" ht="14.25" customHeight="1">
      <c r="A219" s="3227" t="s">
        <v>304</v>
      </c>
      <c r="B219" s="3227" t="s">
        <v>3098</v>
      </c>
      <c r="C219" s="3227"/>
      <c r="D219" s="3227"/>
      <c r="E219" s="3227"/>
      <c r="F219" s="3227">
        <v>2040</v>
      </c>
      <c r="G219" s="3240"/>
    </row>
    <row r="220" spans="1:7" s="3216" customFormat="1" ht="14.25" customHeight="1">
      <c r="A220" s="3227" t="s">
        <v>304</v>
      </c>
      <c r="B220" s="3227" t="s">
        <v>3099</v>
      </c>
      <c r="C220" s="3227"/>
      <c r="D220" s="3227"/>
      <c r="E220" s="3227"/>
      <c r="F220" s="3227">
        <v>2040</v>
      </c>
      <c r="G220" s="3240"/>
    </row>
    <row r="221" spans="1:7" s="3216" customFormat="1" ht="14.25" customHeight="1">
      <c r="A221" s="3227" t="s">
        <v>304</v>
      </c>
      <c r="B221" s="3227" t="s">
        <v>3100</v>
      </c>
      <c r="C221" s="3227"/>
      <c r="D221" s="3227"/>
      <c r="E221" s="3227"/>
      <c r="F221" s="3227">
        <v>2040</v>
      </c>
      <c r="G221" s="3240"/>
    </row>
    <row r="222" spans="1:7" s="3216" customFormat="1" ht="14.25" customHeight="1">
      <c r="A222" s="3227" t="s">
        <v>304</v>
      </c>
      <c r="B222" s="3227" t="s">
        <v>3101</v>
      </c>
      <c r="C222" s="3227"/>
      <c r="D222" s="3227"/>
      <c r="E222" s="3227"/>
      <c r="F222" s="3227">
        <v>2040</v>
      </c>
      <c r="G222" s="3240"/>
    </row>
    <row r="223" spans="1:7" s="3216" customFormat="1" ht="14.25" customHeight="1">
      <c r="A223" s="3227" t="s">
        <v>304</v>
      </c>
      <c r="B223" s="3227" t="s">
        <v>3102</v>
      </c>
      <c r="C223" s="3227"/>
      <c r="D223" s="3227"/>
      <c r="E223" s="3227"/>
      <c r="F223" s="3227">
        <v>1930</v>
      </c>
      <c r="G223" s="3240"/>
    </row>
    <row r="224" spans="1:7" s="3216" customFormat="1" ht="14.25" customHeight="1">
      <c r="A224" s="3227" t="s">
        <v>304</v>
      </c>
      <c r="B224" s="3227" t="s">
        <v>3103</v>
      </c>
      <c r="C224" s="3227"/>
      <c r="D224" s="3227"/>
      <c r="E224" s="3227"/>
      <c r="F224" s="3227">
        <v>1930</v>
      </c>
      <c r="G224" s="3240"/>
    </row>
    <row r="225" spans="1:7" s="3216" customFormat="1" ht="14.25" customHeight="1">
      <c r="A225" s="3227" t="s">
        <v>304</v>
      </c>
      <c r="B225" s="3227" t="s">
        <v>3104</v>
      </c>
      <c r="C225" s="3227"/>
      <c r="D225" s="3227"/>
      <c r="E225" s="3227"/>
      <c r="F225" s="3227">
        <v>1930</v>
      </c>
      <c r="G225" s="3240"/>
    </row>
    <row r="226" spans="1:7" s="3216" customFormat="1" ht="14.25" customHeight="1">
      <c r="A226" s="3227" t="s">
        <v>304</v>
      </c>
      <c r="B226" s="3227" t="s">
        <v>3105</v>
      </c>
      <c r="C226" s="3227"/>
      <c r="D226" s="3227"/>
      <c r="E226" s="3227"/>
      <c r="F226" s="3227">
        <v>1700</v>
      </c>
      <c r="G226" s="3240"/>
    </row>
    <row r="227" spans="1:7" s="3216" customFormat="1" ht="14.25" customHeight="1">
      <c r="A227" s="3227" t="s">
        <v>304</v>
      </c>
      <c r="B227" s="3227" t="s">
        <v>3106</v>
      </c>
      <c r="C227" s="3227"/>
      <c r="D227" s="3227"/>
      <c r="E227" s="3227"/>
      <c r="F227" s="3227">
        <v>1520</v>
      </c>
      <c r="G227" s="3240"/>
    </row>
    <row r="228" spans="1:7" s="3216" customFormat="1" ht="14.25" customHeight="1">
      <c r="A228" s="3227" t="s">
        <v>304</v>
      </c>
      <c r="B228" s="3227" t="s">
        <v>3107</v>
      </c>
      <c r="C228" s="3227"/>
      <c r="D228" s="3227"/>
      <c r="E228" s="3227"/>
      <c r="F228" s="3227">
        <v>1520</v>
      </c>
      <c r="G228" s="3240"/>
    </row>
    <row r="229" spans="1:7" s="3216" customFormat="1" ht="14.25" customHeight="1">
      <c r="A229" s="3227" t="s">
        <v>304</v>
      </c>
      <c r="B229" s="3227" t="s">
        <v>3024</v>
      </c>
      <c r="C229" s="3227"/>
      <c r="D229" s="3227"/>
      <c r="E229" s="3227"/>
      <c r="F229" s="3227">
        <v>1520</v>
      </c>
      <c r="G229" s="3240"/>
    </row>
    <row r="230" spans="1:7" s="3216" customFormat="1" ht="14.25" customHeight="1">
      <c r="A230" s="3227" t="s">
        <v>304</v>
      </c>
      <c r="B230" s="3227" t="s">
        <v>3108</v>
      </c>
      <c r="C230" s="3227"/>
      <c r="D230" s="3227"/>
      <c r="E230" s="3227"/>
      <c r="F230" s="3227">
        <v>1820</v>
      </c>
      <c r="G230" s="3240"/>
    </row>
    <row r="231" spans="1:7" s="3216" customFormat="1" ht="14.25" customHeight="1">
      <c r="A231" s="3227" t="s">
        <v>304</v>
      </c>
      <c r="B231" s="3227" t="s">
        <v>3109</v>
      </c>
      <c r="C231" s="3227"/>
      <c r="D231" s="3227"/>
      <c r="E231" s="3227"/>
      <c r="F231" s="3227">
        <v>1760</v>
      </c>
      <c r="G231" s="3240"/>
    </row>
    <row r="232" spans="1:7" s="3216" customFormat="1" ht="14.25" customHeight="1">
      <c r="A232" s="3227" t="s">
        <v>304</v>
      </c>
      <c r="B232" s="3227" t="s">
        <v>3110</v>
      </c>
      <c r="C232" s="3227"/>
      <c r="D232" s="3227"/>
      <c r="E232" s="3227"/>
      <c r="F232" s="3227">
        <v>1840</v>
      </c>
      <c r="G232" s="3240"/>
    </row>
    <row r="233" spans="1:7" s="3216" customFormat="1" ht="14.25" customHeight="1" thickBot="1">
      <c r="A233" s="3241" t="s">
        <v>304</v>
      </c>
      <c r="B233" s="3234" t="s">
        <v>3041</v>
      </c>
      <c r="C233" s="3234"/>
      <c r="D233" s="3234"/>
      <c r="E233" s="3234"/>
      <c r="F233" s="3234">
        <v>1770</v>
      </c>
      <c r="G233" s="3242"/>
    </row>
    <row r="234" spans="1:7" s="3216" customFormat="1" ht="14.25" customHeight="1">
      <c r="A234" s="3232" t="s">
        <v>305</v>
      </c>
      <c r="B234" s="3223" t="s">
        <v>3111</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2882</v>
      </c>
      <c r="C238" s="3227">
        <v>6920</v>
      </c>
      <c r="D238" s="3227">
        <v>6890</v>
      </c>
      <c r="E238" s="3227">
        <v>8640</v>
      </c>
      <c r="F238" s="3227">
        <v>1310</v>
      </c>
      <c r="G238" s="3227">
        <v>4230</v>
      </c>
    </row>
    <row r="239" spans="1:7" s="3216" customFormat="1" ht="14.25" customHeight="1">
      <c r="A239" s="3227" t="s">
        <v>305</v>
      </c>
      <c r="B239" s="3227" t="s">
        <v>3112</v>
      </c>
      <c r="C239" s="3227">
        <v>6780</v>
      </c>
      <c r="D239" s="3227">
        <v>6750</v>
      </c>
      <c r="E239" s="3227">
        <v>8440</v>
      </c>
      <c r="F239" s="3227">
        <v>1160</v>
      </c>
      <c r="G239" s="3227">
        <v>4140</v>
      </c>
    </row>
    <row r="240" spans="1:7" s="3216" customFormat="1" ht="14.25" customHeight="1">
      <c r="A240" s="3227" t="s">
        <v>305</v>
      </c>
      <c r="B240" s="3227" t="s">
        <v>3113</v>
      </c>
      <c r="C240" s="3227">
        <v>5420</v>
      </c>
      <c r="D240" s="3227">
        <v>5380</v>
      </c>
      <c r="E240" s="3227">
        <v>6640</v>
      </c>
      <c r="F240" s="3227">
        <v>1020</v>
      </c>
      <c r="G240" s="3227">
        <v>3300</v>
      </c>
    </row>
    <row r="241" spans="1:7" s="3216" customFormat="1" ht="14.25" customHeight="1">
      <c r="A241" s="3227" t="s">
        <v>305</v>
      </c>
      <c r="B241" s="3227" t="s">
        <v>3114</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3115</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3116</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3117</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3118</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3119</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2944</v>
      </c>
      <c r="C258" s="3227">
        <v>6190</v>
      </c>
      <c r="D258" s="3227">
        <v>6160</v>
      </c>
      <c r="E258" s="3227">
        <v>7680</v>
      </c>
      <c r="F258" s="3227">
        <v>1170</v>
      </c>
      <c r="G258" s="3227">
        <v>3780</v>
      </c>
    </row>
    <row r="259" spans="1:7" s="3216" customFormat="1" ht="14.25" customHeight="1">
      <c r="A259" s="3227" t="s">
        <v>305</v>
      </c>
      <c r="B259" s="3227" t="s">
        <v>3120</v>
      </c>
      <c r="C259" s="3227">
        <v>7610</v>
      </c>
      <c r="D259" s="3227">
        <v>7570</v>
      </c>
      <c r="E259" s="3227">
        <v>9350</v>
      </c>
      <c r="F259" s="3227">
        <v>1350</v>
      </c>
      <c r="G259" s="3227">
        <v>4650</v>
      </c>
    </row>
    <row r="260" spans="1:7" s="3216" customFormat="1" ht="14.25" customHeight="1">
      <c r="A260" s="3227" t="s">
        <v>305</v>
      </c>
      <c r="B260" s="3227" t="s">
        <v>3121</v>
      </c>
      <c r="C260" s="3227">
        <v>6920</v>
      </c>
      <c r="D260" s="3227">
        <v>6880</v>
      </c>
      <c r="E260" s="3227">
        <v>8380</v>
      </c>
      <c r="F260" s="3227">
        <v>1160</v>
      </c>
      <c r="G260" s="3227">
        <v>4220</v>
      </c>
    </row>
    <row r="261" spans="1:7" s="3216" customFormat="1" ht="14.25" customHeight="1">
      <c r="A261" s="3227" t="s">
        <v>305</v>
      </c>
      <c r="B261" s="3227" t="s">
        <v>3122</v>
      </c>
      <c r="C261" s="3227">
        <v>6850</v>
      </c>
      <c r="D261" s="3227">
        <v>6810</v>
      </c>
      <c r="E261" s="3227">
        <v>8290</v>
      </c>
      <c r="F261" s="3227">
        <v>1130</v>
      </c>
      <c r="G261" s="3227">
        <v>4180</v>
      </c>
    </row>
    <row r="262" spans="1:7" s="3216" customFormat="1" ht="14.25" customHeight="1">
      <c r="A262" s="3227" t="s">
        <v>305</v>
      </c>
      <c r="B262" s="3227" t="s">
        <v>3123</v>
      </c>
      <c r="C262" s="3227">
        <v>5860</v>
      </c>
      <c r="D262" s="3227">
        <v>5820</v>
      </c>
      <c r="E262" s="3227">
        <v>7640</v>
      </c>
      <c r="F262" s="3227">
        <v>1070</v>
      </c>
      <c r="G262" s="3227">
        <v>3570</v>
      </c>
    </row>
    <row r="263" spans="1:7" s="3216" customFormat="1" ht="14.25" customHeight="1">
      <c r="A263" s="3227" t="s">
        <v>305</v>
      </c>
      <c r="B263" s="3227" t="s">
        <v>3124</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3125</v>
      </c>
      <c r="C265" s="3227"/>
      <c r="D265" s="3227"/>
      <c r="E265" s="3227"/>
      <c r="F265" s="3227">
        <v>1500</v>
      </c>
      <c r="G265" s="3227"/>
    </row>
    <row r="266" spans="1:7" s="3216" customFormat="1" ht="14.25" customHeight="1">
      <c r="A266" s="3227" t="s">
        <v>305</v>
      </c>
      <c r="B266" s="3227" t="s">
        <v>3126</v>
      </c>
      <c r="C266" s="3227"/>
      <c r="D266" s="3227"/>
      <c r="E266" s="3227"/>
      <c r="F266" s="3227">
        <v>1500</v>
      </c>
      <c r="G266" s="3227"/>
    </row>
    <row r="267" spans="1:7" s="3216" customFormat="1" ht="14.25" customHeight="1">
      <c r="A267" s="3227" t="s">
        <v>305</v>
      </c>
      <c r="B267" s="3227" t="s">
        <v>3127</v>
      </c>
      <c r="C267" s="3227"/>
      <c r="D267" s="3227"/>
      <c r="E267" s="3227"/>
      <c r="F267" s="3227">
        <v>1500</v>
      </c>
      <c r="G267" s="3227"/>
    </row>
    <row r="268" spans="1:7" s="3216" customFormat="1" ht="14.25" customHeight="1">
      <c r="A268" s="3227" t="s">
        <v>305</v>
      </c>
      <c r="B268" s="3227" t="s">
        <v>3128</v>
      </c>
      <c r="C268" s="3227"/>
      <c r="D268" s="3227"/>
      <c r="E268" s="3227"/>
      <c r="F268" s="3227">
        <v>1290</v>
      </c>
      <c r="G268" s="3227"/>
    </row>
    <row r="269" spans="1:7" s="3216" customFormat="1" ht="14.25" customHeight="1">
      <c r="A269" s="3227" t="s">
        <v>305</v>
      </c>
      <c r="B269" s="3227" t="s">
        <v>3129</v>
      </c>
      <c r="C269" s="3227"/>
      <c r="D269" s="3227"/>
      <c r="E269" s="3227"/>
      <c r="F269" s="3227">
        <v>1150</v>
      </c>
      <c r="G269" s="3227"/>
    </row>
    <row r="270" spans="1:7" s="3216" customFormat="1" ht="14.25" customHeight="1">
      <c r="A270" s="3227" t="s">
        <v>305</v>
      </c>
      <c r="B270" s="3227" t="s">
        <v>3130</v>
      </c>
      <c r="C270" s="3227"/>
      <c r="D270" s="3227"/>
      <c r="E270" s="3227"/>
      <c r="F270" s="3227">
        <v>1380</v>
      </c>
      <c r="G270" s="3227"/>
    </row>
    <row r="271" spans="1:7" s="3216" customFormat="1" ht="14.25" customHeight="1">
      <c r="A271" s="3227" t="s">
        <v>305</v>
      </c>
      <c r="B271" s="3227" t="s">
        <v>3131</v>
      </c>
      <c r="C271" s="3227"/>
      <c r="D271" s="3227"/>
      <c r="E271" s="3227"/>
      <c r="F271" s="3227">
        <v>1460</v>
      </c>
      <c r="G271" s="3227"/>
    </row>
    <row r="272" spans="1:7" s="3216" customFormat="1" ht="14.25" customHeight="1">
      <c r="A272" s="3227" t="s">
        <v>305</v>
      </c>
      <c r="B272" s="3227" t="s">
        <v>3132</v>
      </c>
      <c r="C272" s="3227"/>
      <c r="D272" s="3227"/>
      <c r="E272" s="3227"/>
      <c r="F272" s="3227">
        <v>1460</v>
      </c>
      <c r="G272" s="3227"/>
    </row>
    <row r="273" spans="1:7" s="3216" customFormat="1" ht="14.25" customHeight="1">
      <c r="A273" s="3227" t="s">
        <v>305</v>
      </c>
      <c r="B273" s="3227" t="s">
        <v>3025</v>
      </c>
      <c r="C273" s="3227"/>
      <c r="D273" s="3227"/>
      <c r="E273" s="3227"/>
      <c r="F273" s="3227">
        <v>1490</v>
      </c>
      <c r="G273" s="3227"/>
    </row>
    <row r="274" spans="1:7" s="3216" customFormat="1" ht="14.25" customHeight="1">
      <c r="A274" s="3227" t="s">
        <v>305</v>
      </c>
      <c r="B274" s="3227" t="s">
        <v>3133</v>
      </c>
      <c r="C274" s="3227"/>
      <c r="D274" s="3227"/>
      <c r="E274" s="3227"/>
      <c r="F274" s="3227">
        <v>1490</v>
      </c>
      <c r="G274" s="3227"/>
    </row>
    <row r="275" spans="1:7" s="3216" customFormat="1" ht="14.25" customHeight="1">
      <c r="A275" s="3227" t="s">
        <v>305</v>
      </c>
      <c r="B275" s="3227" t="s">
        <v>3134</v>
      </c>
      <c r="C275" s="3227"/>
      <c r="D275" s="3227"/>
      <c r="E275" s="3227"/>
      <c r="F275" s="3227">
        <v>1220</v>
      </c>
      <c r="G275" s="3227"/>
    </row>
    <row r="276" spans="1:7" s="3216" customFormat="1" ht="14.25" customHeight="1" thickBot="1">
      <c r="A276" s="3235" t="s">
        <v>305</v>
      </c>
      <c r="B276" s="3237" t="s">
        <v>3135</v>
      </c>
      <c r="C276" s="3238"/>
      <c r="D276" s="3238"/>
      <c r="E276" s="3238"/>
      <c r="F276" s="3238">
        <v>1380</v>
      </c>
      <c r="G276" s="3238"/>
    </row>
    <row r="277" spans="1:7" s="3216" customFormat="1" ht="14.25" customHeight="1">
      <c r="A277" s="3232" t="s">
        <v>306</v>
      </c>
      <c r="B277" s="3223" t="s">
        <v>3136</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3137</v>
      </c>
      <c r="C279" s="3227">
        <v>4760</v>
      </c>
      <c r="D279" s="3227">
        <v>4720</v>
      </c>
      <c r="E279" s="3227">
        <v>5540</v>
      </c>
      <c r="F279" s="3227">
        <v>810</v>
      </c>
      <c r="G279" s="3240">
        <v>2850</v>
      </c>
    </row>
    <row r="280" spans="1:7" s="3216" customFormat="1" ht="14.25" customHeight="1">
      <c r="A280" s="3227" t="s">
        <v>306</v>
      </c>
      <c r="B280" s="3227" t="s">
        <v>3138</v>
      </c>
      <c r="C280" s="3227">
        <v>4010</v>
      </c>
      <c r="D280" s="3227">
        <v>3950</v>
      </c>
      <c r="E280" s="3227">
        <v>4710</v>
      </c>
      <c r="F280" s="3227">
        <v>800</v>
      </c>
      <c r="G280" s="3240">
        <v>2390</v>
      </c>
    </row>
    <row r="281" spans="1:7" s="3216" customFormat="1" ht="14.25" customHeight="1">
      <c r="A281" s="3227" t="s">
        <v>306</v>
      </c>
      <c r="B281" s="3227" t="s">
        <v>3139</v>
      </c>
      <c r="C281" s="3227">
        <v>4480</v>
      </c>
      <c r="D281" s="3227">
        <v>4420</v>
      </c>
      <c r="E281" s="3227">
        <v>5230</v>
      </c>
      <c r="F281" s="3227">
        <v>870</v>
      </c>
      <c r="G281" s="3240">
        <v>2660</v>
      </c>
    </row>
    <row r="282" spans="1:7" s="3216" customFormat="1" ht="14.25" customHeight="1">
      <c r="A282" s="3227" t="s">
        <v>306</v>
      </c>
      <c r="B282" s="3227" t="s">
        <v>3140</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3141</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3142</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2917</v>
      </c>
      <c r="C293" s="3227">
        <v>5320</v>
      </c>
      <c r="D293" s="3227">
        <v>5270</v>
      </c>
      <c r="E293" s="3227">
        <v>6160</v>
      </c>
      <c r="F293" s="3227">
        <v>990</v>
      </c>
      <c r="G293" s="3240">
        <v>3170</v>
      </c>
    </row>
    <row r="294" spans="1:7" s="3216" customFormat="1" ht="14.25" customHeight="1">
      <c r="A294" s="3227" t="s">
        <v>306</v>
      </c>
      <c r="B294" s="3227" t="s">
        <v>3143</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2936</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3144</v>
      </c>
      <c r="C302" s="3227">
        <v>5520</v>
      </c>
      <c r="D302" s="3227">
        <v>5470</v>
      </c>
      <c r="E302" s="3227">
        <v>6410</v>
      </c>
      <c r="F302" s="3227">
        <v>950</v>
      </c>
      <c r="G302" s="3240">
        <v>3300</v>
      </c>
    </row>
    <row r="303" spans="1:7" s="3216" customFormat="1" ht="14.25" customHeight="1">
      <c r="A303" s="3227" t="s">
        <v>306</v>
      </c>
      <c r="B303" s="3227" t="s">
        <v>2956</v>
      </c>
      <c r="C303" s="3227">
        <v>5630</v>
      </c>
      <c r="D303" s="3227">
        <v>5590</v>
      </c>
      <c r="E303" s="3227">
        <v>6550</v>
      </c>
      <c r="F303" s="3227">
        <v>1010</v>
      </c>
      <c r="G303" s="3240">
        <v>3370</v>
      </c>
    </row>
    <row r="304" spans="1:7" s="3216" customFormat="1" ht="14.25" customHeight="1">
      <c r="A304" s="3227" t="s">
        <v>306</v>
      </c>
      <c r="B304" s="3227" t="s">
        <v>2963</v>
      </c>
      <c r="C304" s="3227">
        <v>5680</v>
      </c>
      <c r="D304" s="3227">
        <v>5620</v>
      </c>
      <c r="E304" s="3227">
        <v>6620</v>
      </c>
      <c r="F304" s="3227">
        <v>1050</v>
      </c>
      <c r="G304" s="3240">
        <v>3390</v>
      </c>
    </row>
    <row r="305" spans="1:7" s="3216" customFormat="1" ht="14.25" customHeight="1">
      <c r="A305" s="3227" t="s">
        <v>306</v>
      </c>
      <c r="B305" s="3227" t="s">
        <v>2969</v>
      </c>
      <c r="C305" s="3227">
        <v>5590</v>
      </c>
      <c r="D305" s="3227">
        <v>5530</v>
      </c>
      <c r="E305" s="3227">
        <v>6460</v>
      </c>
      <c r="F305" s="3227">
        <v>900</v>
      </c>
      <c r="G305" s="3240">
        <v>3340</v>
      </c>
    </row>
    <row r="306" spans="1:7" s="3216" customFormat="1" ht="14.25" customHeight="1">
      <c r="A306" s="3227" t="s">
        <v>306</v>
      </c>
      <c r="B306" s="3227" t="s">
        <v>3145</v>
      </c>
      <c r="C306" s="3227">
        <v>5560</v>
      </c>
      <c r="D306" s="3227">
        <v>5510</v>
      </c>
      <c r="E306" s="3227">
        <v>6440</v>
      </c>
      <c r="F306" s="3227">
        <v>900</v>
      </c>
      <c r="G306" s="3240">
        <v>3320</v>
      </c>
    </row>
    <row r="307" spans="1:7" s="3216" customFormat="1" ht="14.25" customHeight="1">
      <c r="A307" s="3227" t="s">
        <v>306</v>
      </c>
      <c r="B307" s="3227" t="s">
        <v>2981</v>
      </c>
      <c r="C307" s="3227">
        <v>5650</v>
      </c>
      <c r="D307" s="3227">
        <v>5600</v>
      </c>
      <c r="E307" s="3227">
        <v>6590</v>
      </c>
      <c r="F307" s="3227">
        <v>930</v>
      </c>
      <c r="G307" s="3240">
        <v>3380</v>
      </c>
    </row>
    <row r="308" spans="1:7" s="3216" customFormat="1" ht="14.25" customHeight="1">
      <c r="A308" s="3227" t="s">
        <v>306</v>
      </c>
      <c r="B308" s="3227" t="s">
        <v>3146</v>
      </c>
      <c r="C308" s="3227">
        <v>5620</v>
      </c>
      <c r="D308" s="3227">
        <v>5580</v>
      </c>
      <c r="E308" s="3227">
        <v>6540</v>
      </c>
      <c r="F308" s="3227">
        <v>910</v>
      </c>
      <c r="G308" s="3240">
        <v>3370</v>
      </c>
    </row>
    <row r="309" spans="1:7" s="3216" customFormat="1" ht="14.25" customHeight="1">
      <c r="A309" s="3227" t="s">
        <v>306</v>
      </c>
      <c r="B309" s="3227" t="s">
        <v>3147</v>
      </c>
      <c r="C309" s="3227">
        <v>5060</v>
      </c>
      <c r="D309" s="3227">
        <v>5020</v>
      </c>
      <c r="E309" s="3227">
        <v>6370</v>
      </c>
      <c r="F309" s="3227">
        <v>800</v>
      </c>
      <c r="G309" s="3240">
        <v>3020</v>
      </c>
    </row>
    <row r="310" spans="1:7" s="3216" customFormat="1" ht="14.25" customHeight="1">
      <c r="A310" s="3227" t="s">
        <v>306</v>
      </c>
      <c r="B310" s="3227" t="s">
        <v>2996</v>
      </c>
      <c r="C310" s="3227">
        <v>5150</v>
      </c>
      <c r="D310" s="3227">
        <v>5110</v>
      </c>
      <c r="E310" s="3227">
        <v>6500</v>
      </c>
      <c r="F310" s="3227">
        <v>880</v>
      </c>
      <c r="G310" s="3240">
        <v>3080</v>
      </c>
    </row>
    <row r="311" spans="1:7" s="3216" customFormat="1" ht="14.25" customHeight="1">
      <c r="A311" s="3227" t="s">
        <v>306</v>
      </c>
      <c r="B311" s="3227" t="s">
        <v>3148</v>
      </c>
      <c r="C311" s="3227">
        <v>4750</v>
      </c>
      <c r="D311" s="3227">
        <v>4710</v>
      </c>
      <c r="E311" s="3227">
        <v>5510</v>
      </c>
      <c r="F311" s="3227">
        <v>880</v>
      </c>
      <c r="G311" s="3240">
        <v>2840</v>
      </c>
    </row>
    <row r="312" spans="1:7" s="3216" customFormat="1" ht="14.25" customHeight="1">
      <c r="A312" s="3227" t="s">
        <v>306</v>
      </c>
      <c r="B312" s="3227" t="s">
        <v>3006</v>
      </c>
      <c r="C312" s="3227">
        <v>4690</v>
      </c>
      <c r="D312" s="3227">
        <v>4640</v>
      </c>
      <c r="E312" s="3227">
        <v>5420</v>
      </c>
      <c r="F312" s="3227">
        <v>800</v>
      </c>
      <c r="G312" s="3240">
        <v>2800</v>
      </c>
    </row>
    <row r="313" spans="1:7" s="3216" customFormat="1" ht="14.25" customHeight="1">
      <c r="A313" s="3227" t="s">
        <v>306</v>
      </c>
      <c r="B313" s="3227" t="s">
        <v>3011</v>
      </c>
      <c r="C313" s="3227">
        <v>4810</v>
      </c>
      <c r="D313" s="3227">
        <v>4760</v>
      </c>
      <c r="E313" s="3227">
        <v>5550</v>
      </c>
      <c r="F313" s="3227">
        <v>920</v>
      </c>
      <c r="G313" s="3240">
        <v>2870</v>
      </c>
    </row>
    <row r="314" spans="1:7" s="3216" customFormat="1" ht="14.25" customHeight="1">
      <c r="A314" s="3227" t="s">
        <v>306</v>
      </c>
      <c r="B314" s="3227" t="s">
        <v>3149</v>
      </c>
      <c r="C314" s="3227"/>
      <c r="D314" s="3227"/>
      <c r="E314" s="3227"/>
      <c r="F314" s="3227">
        <v>1020</v>
      </c>
      <c r="G314" s="3240"/>
    </row>
    <row r="315" spans="1:7" s="3216" customFormat="1" ht="14.25" customHeight="1">
      <c r="A315" s="3227" t="s">
        <v>306</v>
      </c>
      <c r="B315" s="3227" t="s">
        <v>3150</v>
      </c>
      <c r="C315" s="3227"/>
      <c r="D315" s="3227"/>
      <c r="E315" s="3227"/>
      <c r="F315" s="3227">
        <v>1050</v>
      </c>
      <c r="G315" s="3240"/>
    </row>
    <row r="316" spans="1:7" s="3216" customFormat="1" ht="14.25" customHeight="1">
      <c r="A316" s="3227" t="s">
        <v>306</v>
      </c>
      <c r="B316" s="3227" t="s">
        <v>3026</v>
      </c>
      <c r="C316" s="3227"/>
      <c r="D316" s="3227"/>
      <c r="E316" s="3227"/>
      <c r="F316" s="3227">
        <v>900</v>
      </c>
      <c r="G316" s="3240"/>
    </row>
    <row r="317" spans="1:7" s="3216" customFormat="1" ht="14.25" customHeight="1">
      <c r="A317" s="3227" t="s">
        <v>306</v>
      </c>
      <c r="B317" s="3227" t="s">
        <v>3151</v>
      </c>
      <c r="C317" s="3227"/>
      <c r="D317" s="3227"/>
      <c r="E317" s="3227"/>
      <c r="F317" s="3227">
        <v>920</v>
      </c>
      <c r="G317" s="3240"/>
    </row>
    <row r="318" spans="1:7" s="3216" customFormat="1" ht="14.25" customHeight="1">
      <c r="A318" s="3227" t="s">
        <v>306</v>
      </c>
      <c r="B318" s="3227" t="s">
        <v>3152</v>
      </c>
      <c r="C318" s="3227"/>
      <c r="D318" s="3227"/>
      <c r="E318" s="3227"/>
      <c r="F318" s="3227">
        <v>1080</v>
      </c>
      <c r="G318" s="3240"/>
    </row>
    <row r="319" spans="1:7" s="3216" customFormat="1" ht="14.25" customHeight="1">
      <c r="A319" s="3227" t="s">
        <v>306</v>
      </c>
      <c r="B319" s="3227" t="s">
        <v>3039</v>
      </c>
      <c r="C319" s="3227"/>
      <c r="D319" s="3227"/>
      <c r="E319" s="3227"/>
      <c r="F319" s="3227">
        <v>1020</v>
      </c>
      <c r="G319" s="3240"/>
    </row>
    <row r="320" spans="1:7" s="3216" customFormat="1" ht="14.25" customHeight="1">
      <c r="A320" s="3227" t="s">
        <v>306</v>
      </c>
      <c r="B320" s="3227" t="s">
        <v>3042</v>
      </c>
      <c r="C320" s="3227"/>
      <c r="D320" s="3227"/>
      <c r="E320" s="3227"/>
      <c r="F320" s="3227">
        <v>1050</v>
      </c>
      <c r="G320" s="3240"/>
    </row>
    <row r="321" spans="1:7" s="3216" customFormat="1" ht="14.25" customHeight="1">
      <c r="A321" s="3227" t="s">
        <v>306</v>
      </c>
      <c r="B321" s="3227" t="s">
        <v>3044</v>
      </c>
      <c r="C321" s="3227"/>
      <c r="D321" s="3227"/>
      <c r="E321" s="3227"/>
      <c r="F321" s="3227">
        <v>960</v>
      </c>
      <c r="G321" s="3240"/>
    </row>
    <row r="322" spans="1:7" s="3216" customFormat="1" ht="14.25" customHeight="1">
      <c r="A322" s="3227" t="s">
        <v>306</v>
      </c>
      <c r="B322" s="3227" t="s">
        <v>3046</v>
      </c>
      <c r="C322" s="3227"/>
      <c r="D322" s="3227"/>
      <c r="E322" s="3227"/>
      <c r="F322" s="3227">
        <v>960</v>
      </c>
      <c r="G322" s="3240"/>
    </row>
    <row r="323" spans="1:7" s="3216" customFormat="1" ht="14.25" customHeight="1">
      <c r="A323" s="3227" t="s">
        <v>306</v>
      </c>
      <c r="B323" s="3227" t="s">
        <v>3048</v>
      </c>
      <c r="C323" s="3227"/>
      <c r="D323" s="3227"/>
      <c r="E323" s="3227"/>
      <c r="F323" s="3227">
        <v>880</v>
      </c>
      <c r="G323" s="3240"/>
    </row>
    <row r="324" spans="1:7" s="3216" customFormat="1" ht="14.25" customHeight="1">
      <c r="A324" s="3227" t="s">
        <v>306</v>
      </c>
      <c r="B324" s="3227" t="s">
        <v>3050</v>
      </c>
      <c r="C324" s="3227"/>
      <c r="D324" s="3227"/>
      <c r="E324" s="3227"/>
      <c r="F324" s="3227">
        <v>930</v>
      </c>
      <c r="G324" s="3240"/>
    </row>
    <row r="325" spans="1:7" s="3216" customFormat="1" ht="14.25" customHeight="1">
      <c r="A325" s="3227" t="s">
        <v>306</v>
      </c>
      <c r="B325" s="3228" t="s">
        <v>3052</v>
      </c>
      <c r="C325" s="3227"/>
      <c r="D325" s="3227"/>
      <c r="E325" s="3227"/>
      <c r="F325" s="3227">
        <v>900</v>
      </c>
      <c r="G325" s="3240"/>
    </row>
    <row r="326" spans="1:7" s="3216" customFormat="1" ht="14.25" customHeight="1" thickBot="1">
      <c r="A326" s="3241" t="s">
        <v>306</v>
      </c>
      <c r="B326" s="3234" t="s">
        <v>3054</v>
      </c>
      <c r="C326" s="3234"/>
      <c r="D326" s="3234"/>
      <c r="E326" s="3234"/>
      <c r="F326" s="3234">
        <v>790</v>
      </c>
      <c r="G326" s="3242"/>
    </row>
    <row r="327" spans="1:7" s="3216" customFormat="1" ht="14.25" customHeight="1">
      <c r="A327" s="3232" t="s">
        <v>307</v>
      </c>
      <c r="B327" s="3223" t="s">
        <v>3153</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3154</v>
      </c>
      <c r="C329" s="3227">
        <v>2730</v>
      </c>
      <c r="D329" s="3227">
        <v>2690</v>
      </c>
      <c r="E329" s="3227">
        <v>3100</v>
      </c>
      <c r="F329" s="3227">
        <v>660</v>
      </c>
      <c r="G329" s="3227">
        <v>1610</v>
      </c>
    </row>
    <row r="330" spans="1:7" s="3216" customFormat="1" ht="14.25" customHeight="1">
      <c r="A330" s="3227" t="s">
        <v>307</v>
      </c>
      <c r="B330" s="3227" t="s">
        <v>3155</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2888</v>
      </c>
      <c r="C332" s="3227">
        <v>3520</v>
      </c>
      <c r="D332" s="3227">
        <v>3480</v>
      </c>
      <c r="E332" s="3227">
        <v>3830</v>
      </c>
      <c r="F332" s="3227">
        <v>720</v>
      </c>
      <c r="G332" s="3227">
        <v>2090</v>
      </c>
    </row>
    <row r="333" spans="1:7" s="3216" customFormat="1" ht="14.25" customHeight="1">
      <c r="A333" s="3227" t="s">
        <v>307</v>
      </c>
      <c r="B333" s="3227" t="s">
        <v>3156</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2898</v>
      </c>
      <c r="C336" s="3227">
        <v>3570</v>
      </c>
      <c r="D336" s="3227">
        <v>3530</v>
      </c>
      <c r="E336" s="3227">
        <v>3880</v>
      </c>
      <c r="F336" s="3227">
        <v>770</v>
      </c>
      <c r="G336" s="3227">
        <v>2110</v>
      </c>
    </row>
    <row r="337" spans="1:10" s="3216" customFormat="1" ht="14.25" customHeight="1">
      <c r="A337" s="3227" t="s">
        <v>307</v>
      </c>
      <c r="B337" s="3227" t="s">
        <v>3157</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3158</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3159</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2923</v>
      </c>
      <c r="C345" s="3227">
        <v>3190</v>
      </c>
      <c r="D345" s="3227">
        <v>3140</v>
      </c>
      <c r="E345" s="3227">
        <v>3450</v>
      </c>
      <c r="F345" s="3227">
        <v>720</v>
      </c>
      <c r="G345" s="3227">
        <v>1880</v>
      </c>
      <c r="J345" s="3216"/>
    </row>
    <row r="346" spans="1:10">
      <c r="A346" s="3227" t="s">
        <v>307</v>
      </c>
      <c r="B346" s="3227" t="s">
        <v>3160</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2932</v>
      </c>
      <c r="C348" s="3227">
        <v>4000</v>
      </c>
      <c r="D348" s="3227">
        <v>3950</v>
      </c>
      <c r="E348" s="3227">
        <v>4430</v>
      </c>
      <c r="F348" s="3227">
        <v>760</v>
      </c>
      <c r="G348" s="3227">
        <v>2360</v>
      </c>
      <c r="J348" s="3216"/>
    </row>
    <row r="349" spans="1:10">
      <c r="A349" s="3227" t="s">
        <v>307</v>
      </c>
      <c r="B349" s="3227" t="s">
        <v>2937</v>
      </c>
      <c r="C349" s="3227">
        <v>3820</v>
      </c>
      <c r="D349" s="3227">
        <v>3780</v>
      </c>
      <c r="E349" s="3227">
        <v>4170</v>
      </c>
      <c r="F349" s="3227">
        <v>710</v>
      </c>
      <c r="G349" s="3227">
        <v>2260</v>
      </c>
      <c r="J349" s="3216"/>
    </row>
    <row r="350" spans="1:10">
      <c r="A350" s="3227" t="s">
        <v>307</v>
      </c>
      <c r="B350" s="3227" t="s">
        <v>3161</v>
      </c>
      <c r="C350" s="3227">
        <v>3760</v>
      </c>
      <c r="D350" s="3227">
        <v>3730</v>
      </c>
      <c r="E350" s="3227">
        <v>4100</v>
      </c>
      <c r="F350" s="3227">
        <v>800</v>
      </c>
      <c r="G350" s="3227">
        <v>2230</v>
      </c>
      <c r="J350" s="3216"/>
    </row>
    <row r="351" spans="1:10">
      <c r="A351" s="3227" t="s">
        <v>307</v>
      </c>
      <c r="B351" s="3227" t="s">
        <v>2945</v>
      </c>
      <c r="C351" s="3227">
        <v>3610</v>
      </c>
      <c r="D351" s="3227">
        <v>3580</v>
      </c>
      <c r="E351" s="3227">
        <v>3930</v>
      </c>
      <c r="F351" s="3227">
        <v>700</v>
      </c>
      <c r="G351" s="3227">
        <v>2140</v>
      </c>
      <c r="J351" s="3216"/>
    </row>
    <row r="352" spans="1:10">
      <c r="A352" s="3227" t="s">
        <v>307</v>
      </c>
      <c r="B352" s="3227" t="s">
        <v>2950</v>
      </c>
      <c r="C352" s="3227">
        <v>3670</v>
      </c>
      <c r="D352" s="3227">
        <v>3630</v>
      </c>
      <c r="E352" s="3227">
        <v>4000</v>
      </c>
      <c r="F352" s="3227">
        <v>750</v>
      </c>
      <c r="G352" s="3227">
        <v>2180</v>
      </c>
    </row>
    <row r="353" spans="1:7" s="3220" customFormat="1">
      <c r="A353" s="3227" t="s">
        <v>307</v>
      </c>
      <c r="B353" s="3227" t="s">
        <v>3162</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2970</v>
      </c>
      <c r="C355" s="3227">
        <v>3650</v>
      </c>
      <c r="D355" s="3227">
        <v>3610</v>
      </c>
      <c r="E355" s="3227">
        <v>4200</v>
      </c>
      <c r="F355" s="3227">
        <v>640</v>
      </c>
      <c r="G355" s="3227">
        <v>2160</v>
      </c>
    </row>
    <row r="356" spans="1:7" s="3220" customFormat="1">
      <c r="A356" s="3227" t="s">
        <v>307</v>
      </c>
      <c r="B356" s="3227" t="s">
        <v>2977</v>
      </c>
      <c r="C356" s="3227">
        <v>3260</v>
      </c>
      <c r="D356" s="3227">
        <v>3230</v>
      </c>
      <c r="E356" s="3227">
        <v>3740</v>
      </c>
      <c r="F356" s="3227">
        <v>600</v>
      </c>
      <c r="G356" s="3227">
        <v>1930</v>
      </c>
    </row>
    <row r="357" spans="1:7" s="3220" customFormat="1" ht="12" thickBot="1">
      <c r="A357" s="3235" t="s">
        <v>307</v>
      </c>
      <c r="B357" s="3238" t="s">
        <v>3163</v>
      </c>
      <c r="C357" s="3238">
        <v>3690</v>
      </c>
      <c r="D357" s="3238">
        <v>3650</v>
      </c>
      <c r="E357" s="3238">
        <v>4020</v>
      </c>
      <c r="F357" s="3238">
        <v>700</v>
      </c>
      <c r="G357" s="3238">
        <v>2190</v>
      </c>
    </row>
    <row r="358" spans="1:7" s="3220" customFormat="1">
      <c r="A358" s="3232" t="s">
        <v>3164</v>
      </c>
      <c r="B358" s="3223" t="s">
        <v>3165</v>
      </c>
      <c r="C358" s="3223">
        <v>2080</v>
      </c>
      <c r="D358" s="3223">
        <v>2040</v>
      </c>
      <c r="E358" s="3223">
        <v>2010</v>
      </c>
      <c r="F358" s="3223">
        <v>530</v>
      </c>
      <c r="G358" s="3239">
        <v>1230</v>
      </c>
    </row>
    <row r="359" spans="1:7" s="3220" customFormat="1">
      <c r="A359" s="3227" t="s">
        <v>3164</v>
      </c>
      <c r="B359" s="3227" t="s">
        <v>3166</v>
      </c>
      <c r="C359" s="3227">
        <v>1850</v>
      </c>
      <c r="D359" s="3227">
        <v>1820</v>
      </c>
      <c r="E359" s="3227">
        <v>1780</v>
      </c>
      <c r="F359" s="3227">
        <v>520</v>
      </c>
      <c r="G359" s="3240">
        <v>1100</v>
      </c>
    </row>
    <row r="360" spans="1:7" s="3220" customFormat="1">
      <c r="A360" s="3227" t="s">
        <v>3164</v>
      </c>
      <c r="B360" s="3227" t="s">
        <v>3167</v>
      </c>
      <c r="C360" s="3227">
        <v>2020</v>
      </c>
      <c r="D360" s="3227">
        <v>1990</v>
      </c>
      <c r="E360" s="3227">
        <v>1950</v>
      </c>
      <c r="F360" s="3227">
        <v>500</v>
      </c>
      <c r="G360" s="3240">
        <v>1200</v>
      </c>
    </row>
    <row r="361" spans="1:7" s="3220" customFormat="1">
      <c r="A361" s="3227" t="s">
        <v>3164</v>
      </c>
      <c r="B361" s="3227" t="s">
        <v>153</v>
      </c>
      <c r="C361" s="3227">
        <v>2260</v>
      </c>
      <c r="D361" s="3227">
        <v>2220</v>
      </c>
      <c r="E361" s="3227">
        <v>2180</v>
      </c>
      <c r="F361" s="3227">
        <v>580</v>
      </c>
      <c r="G361" s="3240">
        <v>1340</v>
      </c>
    </row>
    <row r="362" spans="1:7" s="3220" customFormat="1">
      <c r="A362" s="3227" t="s">
        <v>3164</v>
      </c>
      <c r="B362" s="3227" t="s">
        <v>3168</v>
      </c>
      <c r="C362" s="3227">
        <v>2650</v>
      </c>
      <c r="D362" s="3227">
        <v>2610</v>
      </c>
      <c r="E362" s="3227">
        <v>2570</v>
      </c>
      <c r="F362" s="3227">
        <v>630</v>
      </c>
      <c r="G362" s="3240">
        <v>1570</v>
      </c>
    </row>
    <row r="363" spans="1:7" s="3220" customFormat="1">
      <c r="A363" s="3227" t="s">
        <v>3164</v>
      </c>
      <c r="B363" s="3227" t="s">
        <v>2889</v>
      </c>
      <c r="C363" s="3227">
        <v>2390</v>
      </c>
      <c r="D363" s="3227">
        <v>2360</v>
      </c>
      <c r="E363" s="3227">
        <v>2320</v>
      </c>
      <c r="F363" s="3227">
        <v>600</v>
      </c>
      <c r="G363" s="3240">
        <v>1420</v>
      </c>
    </row>
    <row r="364" spans="1:7" s="3220" customFormat="1">
      <c r="A364" s="3227" t="s">
        <v>3164</v>
      </c>
      <c r="B364" s="3227" t="s">
        <v>3169</v>
      </c>
      <c r="C364" s="3227">
        <v>2050</v>
      </c>
      <c r="D364" s="3227">
        <v>2030</v>
      </c>
      <c r="E364" s="3227">
        <v>1990</v>
      </c>
      <c r="F364" s="3227">
        <v>550</v>
      </c>
      <c r="G364" s="3240">
        <v>1220</v>
      </c>
    </row>
    <row r="365" spans="1:7" s="3220" customFormat="1">
      <c r="A365" s="3227" t="s">
        <v>3164</v>
      </c>
      <c r="B365" s="3227" t="s">
        <v>200</v>
      </c>
      <c r="C365" s="3227">
        <v>2140</v>
      </c>
      <c r="D365" s="3227">
        <v>2100</v>
      </c>
      <c r="E365" s="3227">
        <v>2060</v>
      </c>
      <c r="F365" s="3227">
        <v>540</v>
      </c>
      <c r="G365" s="3240">
        <v>1270</v>
      </c>
    </row>
    <row r="366" spans="1:7" s="3220" customFormat="1">
      <c r="A366" s="3227" t="s">
        <v>3164</v>
      </c>
      <c r="B366" s="3227" t="s">
        <v>2896</v>
      </c>
      <c r="C366" s="3227">
        <v>2410</v>
      </c>
      <c r="D366" s="3227">
        <v>2370</v>
      </c>
      <c r="E366" s="3227">
        <v>2330</v>
      </c>
      <c r="F366" s="3227">
        <v>570</v>
      </c>
      <c r="G366" s="3240">
        <v>1440</v>
      </c>
    </row>
    <row r="367" spans="1:7" s="3220" customFormat="1">
      <c r="A367" s="3227" t="s">
        <v>3164</v>
      </c>
      <c r="B367" s="3227" t="s">
        <v>3170</v>
      </c>
      <c r="C367" s="3227">
        <v>2300</v>
      </c>
      <c r="D367" s="3227">
        <v>2260</v>
      </c>
      <c r="E367" s="3227">
        <v>2220</v>
      </c>
      <c r="F367" s="3227">
        <v>560</v>
      </c>
      <c r="G367" s="3240">
        <v>1370</v>
      </c>
    </row>
    <row r="368" spans="1:7" s="3220" customFormat="1">
      <c r="A368" s="3227" t="s">
        <v>3164</v>
      </c>
      <c r="B368" s="3227" t="s">
        <v>3171</v>
      </c>
      <c r="C368" s="3227">
        <v>2430</v>
      </c>
      <c r="D368" s="3227">
        <v>2390</v>
      </c>
      <c r="E368" s="3227">
        <v>2350</v>
      </c>
      <c r="F368" s="3227">
        <v>570</v>
      </c>
      <c r="G368" s="3240">
        <v>1450</v>
      </c>
    </row>
    <row r="369" spans="1:7" s="3220" customFormat="1">
      <c r="A369" s="3227" t="s">
        <v>3164</v>
      </c>
      <c r="B369" s="3227" t="s">
        <v>214</v>
      </c>
      <c r="C369" s="3227">
        <v>2320</v>
      </c>
      <c r="D369" s="3227">
        <v>2290</v>
      </c>
      <c r="E369" s="3227">
        <v>2250</v>
      </c>
      <c r="F369" s="3227">
        <v>550</v>
      </c>
      <c r="G369" s="3240">
        <v>1380</v>
      </c>
    </row>
    <row r="370" spans="1:7" s="3220" customFormat="1">
      <c r="A370" s="3227" t="s">
        <v>3164</v>
      </c>
      <c r="B370" s="3227" t="s">
        <v>221</v>
      </c>
      <c r="C370" s="3227">
        <v>2190</v>
      </c>
      <c r="D370" s="3227">
        <v>2170</v>
      </c>
      <c r="E370" s="3227">
        <v>2130</v>
      </c>
      <c r="F370" s="3227">
        <v>530</v>
      </c>
      <c r="G370" s="3240">
        <v>1310</v>
      </c>
    </row>
    <row r="371" spans="1:7" s="3220" customFormat="1">
      <c r="A371" s="3227" t="s">
        <v>3164</v>
      </c>
      <c r="B371" s="3227" t="s">
        <v>229</v>
      </c>
      <c r="C371" s="3227">
        <v>2460</v>
      </c>
      <c r="D371" s="3227">
        <v>2420</v>
      </c>
      <c r="E371" s="3227">
        <v>2370</v>
      </c>
      <c r="F371" s="3227">
        <v>560</v>
      </c>
      <c r="G371" s="3240">
        <v>1470</v>
      </c>
    </row>
    <row r="372" spans="1:7" s="3220" customFormat="1">
      <c r="A372" s="3227" t="s">
        <v>3164</v>
      </c>
      <c r="B372" s="3227" t="s">
        <v>3172</v>
      </c>
      <c r="C372" s="3227">
        <v>2250</v>
      </c>
      <c r="D372" s="3227">
        <v>2210</v>
      </c>
      <c r="E372" s="3227">
        <v>2180</v>
      </c>
      <c r="F372" s="3227">
        <v>550</v>
      </c>
      <c r="G372" s="3240">
        <v>1340</v>
      </c>
    </row>
    <row r="373" spans="1:7" s="3220" customFormat="1">
      <c r="A373" s="3227" t="s">
        <v>3164</v>
      </c>
      <c r="B373" s="3227" t="s">
        <v>258</v>
      </c>
      <c r="C373" s="3227">
        <v>2210</v>
      </c>
      <c r="D373" s="3227">
        <v>2190</v>
      </c>
      <c r="E373" s="3227">
        <v>2150</v>
      </c>
      <c r="F373" s="3227">
        <v>530</v>
      </c>
      <c r="G373" s="3240">
        <v>1320</v>
      </c>
    </row>
    <row r="374" spans="1:7" s="3220" customFormat="1">
      <c r="A374" s="3227" t="s">
        <v>3164</v>
      </c>
      <c r="B374" s="3227" t="s">
        <v>266</v>
      </c>
      <c r="C374" s="3227">
        <v>2320</v>
      </c>
      <c r="D374" s="3227">
        <v>2280</v>
      </c>
      <c r="E374" s="3227">
        <v>2230</v>
      </c>
      <c r="F374" s="3227">
        <v>580</v>
      </c>
      <c r="G374" s="3240">
        <v>1380</v>
      </c>
    </row>
    <row r="375" spans="1:7" s="3220" customFormat="1">
      <c r="A375" s="3227" t="s">
        <v>3164</v>
      </c>
      <c r="B375" s="3227" t="s">
        <v>3173</v>
      </c>
      <c r="C375" s="3227">
        <v>2090</v>
      </c>
      <c r="D375" s="3227">
        <v>2050</v>
      </c>
      <c r="E375" s="3227">
        <v>2020</v>
      </c>
      <c r="F375" s="3227">
        <v>520</v>
      </c>
      <c r="G375" s="3240">
        <v>1240</v>
      </c>
    </row>
    <row r="376" spans="1:7" s="3220" customFormat="1">
      <c r="A376" s="3227" t="s">
        <v>3164</v>
      </c>
      <c r="B376" s="3227" t="s">
        <v>277</v>
      </c>
      <c r="C376" s="3227">
        <v>2010</v>
      </c>
      <c r="D376" s="3227">
        <v>1980</v>
      </c>
      <c r="E376" s="3227">
        <v>1940</v>
      </c>
      <c r="F376" s="3227">
        <v>540</v>
      </c>
      <c r="G376" s="3240">
        <v>1190</v>
      </c>
    </row>
    <row r="377" spans="1:7" s="3220" customFormat="1" ht="12" thickBot="1">
      <c r="A377" s="3235" t="s">
        <v>3164</v>
      </c>
      <c r="B377" s="3238" t="s">
        <v>2926</v>
      </c>
      <c r="C377" s="3238">
        <v>1930</v>
      </c>
      <c r="D377" s="3238">
        <v>1890</v>
      </c>
      <c r="E377" s="3238">
        <v>1860</v>
      </c>
      <c r="F377" s="3238">
        <v>530</v>
      </c>
      <c r="G377" s="3243">
        <v>1150</v>
      </c>
    </row>
    <row r="378" spans="1:7" s="3220" customFormat="1">
      <c r="A378" s="3244" t="s">
        <v>3174</v>
      </c>
      <c r="B378" s="3223" t="s">
        <v>3175</v>
      </c>
      <c r="C378" s="3223">
        <v>1520</v>
      </c>
      <c r="D378" s="3223">
        <v>1490</v>
      </c>
      <c r="E378" s="3223">
        <v>1460</v>
      </c>
      <c r="F378" s="3223">
        <v>460</v>
      </c>
      <c r="G378" s="3239">
        <v>940</v>
      </c>
    </row>
    <row r="379" spans="1:7" s="3220" customFormat="1">
      <c r="A379" s="3245" t="s">
        <v>3174</v>
      </c>
      <c r="B379" s="3227" t="s">
        <v>3176</v>
      </c>
      <c r="C379" s="3227">
        <v>1500</v>
      </c>
      <c r="D379" s="3227">
        <v>1470</v>
      </c>
      <c r="E379" s="3227">
        <v>1430</v>
      </c>
      <c r="F379" s="3227">
        <v>460</v>
      </c>
      <c r="G379" s="3240">
        <v>920</v>
      </c>
    </row>
    <row r="380" spans="1:7" s="3220" customFormat="1">
      <c r="A380" s="3245" t="s">
        <v>3174</v>
      </c>
      <c r="B380" s="3227" t="s">
        <v>3177</v>
      </c>
      <c r="C380" s="3227">
        <v>1620</v>
      </c>
      <c r="D380" s="3227">
        <v>1590</v>
      </c>
      <c r="E380" s="3227">
        <v>1560</v>
      </c>
      <c r="F380" s="3227">
        <v>480</v>
      </c>
      <c r="G380" s="3240">
        <v>1000</v>
      </c>
    </row>
    <row r="381" spans="1:7" s="3220" customFormat="1">
      <c r="A381" s="3245" t="s">
        <v>3174</v>
      </c>
      <c r="B381" s="3227" t="s">
        <v>3178</v>
      </c>
      <c r="C381" s="3227">
        <v>1460</v>
      </c>
      <c r="D381" s="3227">
        <v>1430</v>
      </c>
      <c r="E381" s="3227">
        <v>1390</v>
      </c>
      <c r="F381" s="3227">
        <v>450</v>
      </c>
      <c r="G381" s="3240">
        <v>900</v>
      </c>
    </row>
    <row r="382" spans="1:7" s="3220" customFormat="1">
      <c r="A382" s="3245" t="s">
        <v>3174</v>
      </c>
      <c r="B382" s="3227" t="s">
        <v>3179</v>
      </c>
      <c r="C382" s="3227">
        <v>1310</v>
      </c>
      <c r="D382" s="3227">
        <v>1280</v>
      </c>
      <c r="E382" s="3227">
        <v>1250</v>
      </c>
      <c r="F382" s="3227">
        <v>440</v>
      </c>
      <c r="G382" s="3240">
        <v>800</v>
      </c>
    </row>
    <row r="383" spans="1:7" s="3220" customFormat="1">
      <c r="A383" s="3245" t="s">
        <v>3174</v>
      </c>
      <c r="B383" s="3227" t="s">
        <v>3180</v>
      </c>
      <c r="C383" s="3227">
        <v>1260</v>
      </c>
      <c r="D383" s="3227">
        <v>1230</v>
      </c>
      <c r="E383" s="3227">
        <v>1200</v>
      </c>
      <c r="F383" s="3227">
        <v>420</v>
      </c>
      <c r="G383" s="3240">
        <v>770</v>
      </c>
    </row>
    <row r="384" spans="1:7" s="3220" customFormat="1" ht="12" thickBot="1">
      <c r="A384" s="3246" t="s">
        <v>3174</v>
      </c>
      <c r="B384" s="3234" t="s">
        <v>3181</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71" t="s">
        <v>3182</v>
      </c>
      <c r="B1" s="3971"/>
    </row>
    <row r="2" spans="1:7" ht="14.25" thickBot="1">
      <c r="A2" s="3249"/>
      <c r="B2" s="3249"/>
    </row>
    <row r="3" spans="1:7" ht="14.25" thickBot="1">
      <c r="A3" s="3249"/>
      <c r="B3" s="3249"/>
      <c r="C3" s="3250" t="s">
        <v>2806</v>
      </c>
      <c r="D3" s="3250" t="s">
        <v>2868</v>
      </c>
      <c r="E3" s="3250" t="s">
        <v>2808</v>
      </c>
      <c r="F3" s="3250" t="s">
        <v>2869</v>
      </c>
      <c r="G3" s="3250" t="s">
        <v>2626</v>
      </c>
    </row>
    <row r="4" spans="1:7" ht="14.25" thickBot="1">
      <c r="A4" s="3251" t="s">
        <v>2867</v>
      </c>
      <c r="B4" s="3252" t="s">
        <v>2873</v>
      </c>
      <c r="C4" s="3250"/>
      <c r="D4" s="3250"/>
      <c r="E4" s="3250"/>
      <c r="F4" s="3250"/>
      <c r="G4" s="3250"/>
    </row>
    <row r="5" spans="1:7">
      <c r="A5" s="3253" t="s">
        <v>2841</v>
      </c>
      <c r="B5" s="3254" t="s">
        <v>2855</v>
      </c>
      <c r="C5" s="3255">
        <v>9.8000000000000004E-2</v>
      </c>
      <c r="D5" s="3255">
        <v>8.6999999999999994E-2</v>
      </c>
      <c r="E5" s="3255">
        <v>8.6999999999999994E-2</v>
      </c>
      <c r="F5" s="3255">
        <v>9.8000000000000004E-2</v>
      </c>
      <c r="G5" s="3256">
        <v>9.5000000000000001E-2</v>
      </c>
    </row>
    <row r="6" spans="1:7">
      <c r="A6" s="3257" t="s">
        <v>144</v>
      </c>
      <c r="B6" s="3258" t="s">
        <v>2870</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2856</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2906</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2924</v>
      </c>
      <c r="C29" s="3267"/>
      <c r="D29" s="3263">
        <v>5.1999999999999998E-2</v>
      </c>
      <c r="E29" s="3263">
        <v>7.0000000000000007E-2</v>
      </c>
      <c r="F29" s="3267"/>
      <c r="G29" s="3265">
        <v>7.0999999999999994E-2</v>
      </c>
    </row>
    <row r="30" spans="1:7">
      <c r="A30" s="3268" t="s">
        <v>296</v>
      </c>
      <c r="B30" s="3254" t="s">
        <v>2857</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2843</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2927</v>
      </c>
      <c r="C50" s="3259">
        <v>9.8000000000000004E-2</v>
      </c>
      <c r="D50" s="3259">
        <v>7.2999999999999995E-2</v>
      </c>
      <c r="E50" s="3259">
        <v>7.0999999999999994E-2</v>
      </c>
      <c r="F50" s="3270"/>
      <c r="G50" s="3260">
        <v>7.2999999999999995E-2</v>
      </c>
    </row>
    <row r="51" spans="1:7">
      <c r="A51" s="3269" t="s">
        <v>296</v>
      </c>
      <c r="B51" s="3258" t="s">
        <v>2929</v>
      </c>
      <c r="C51" s="3259">
        <v>9.9000000000000005E-2</v>
      </c>
      <c r="D51" s="3259">
        <v>8.5000000000000006E-2</v>
      </c>
      <c r="E51" s="3259">
        <v>6.3E-2</v>
      </c>
      <c r="F51" s="3270"/>
      <c r="G51" s="3260">
        <v>9.6000000000000002E-2</v>
      </c>
    </row>
    <row r="52" spans="1:7">
      <c r="A52" s="3269" t="s">
        <v>296</v>
      </c>
      <c r="B52" s="3258" t="s">
        <v>2933</v>
      </c>
      <c r="C52" s="3259">
        <v>7.3999999999999996E-2</v>
      </c>
      <c r="D52" s="3259">
        <v>9.6000000000000002E-2</v>
      </c>
      <c r="E52" s="3259">
        <v>0.05</v>
      </c>
      <c r="F52" s="3270"/>
      <c r="G52" s="3260">
        <v>9.8000000000000004E-2</v>
      </c>
    </row>
    <row r="53" spans="1:7">
      <c r="A53" s="3269" t="s">
        <v>296</v>
      </c>
      <c r="B53" s="3258" t="s">
        <v>2938</v>
      </c>
      <c r="C53" s="3259">
        <v>8.5999999999999993E-2</v>
      </c>
      <c r="D53" s="3270"/>
      <c r="E53" s="3259">
        <v>9.1999999999999998E-2</v>
      </c>
      <c r="F53" s="3270"/>
      <c r="G53" s="3271"/>
    </row>
    <row r="54" spans="1:7" ht="14.25" thickBot="1">
      <c r="A54" s="3272" t="s">
        <v>296</v>
      </c>
      <c r="B54" s="3262" t="s">
        <v>2941</v>
      </c>
      <c r="C54" s="3263">
        <v>9.6000000000000002E-2</v>
      </c>
      <c r="D54" s="3264"/>
      <c r="E54" s="3273"/>
      <c r="F54" s="3264"/>
      <c r="G54" s="3274"/>
    </row>
    <row r="55" spans="1:7">
      <c r="A55" s="3268" t="s">
        <v>110</v>
      </c>
      <c r="B55" s="3254" t="s">
        <v>2858</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2939</v>
      </c>
      <c r="C78" s="3259">
        <v>0.1</v>
      </c>
      <c r="D78" s="3259">
        <v>8.5000000000000006E-2</v>
      </c>
      <c r="E78" s="3259">
        <v>9.6000000000000002E-2</v>
      </c>
      <c r="F78" s="3270"/>
      <c r="G78" s="3260">
        <v>9.6000000000000002E-2</v>
      </c>
    </row>
    <row r="79" spans="1:7">
      <c r="A79" s="3269" t="s">
        <v>110</v>
      </c>
      <c r="B79" s="3258" t="s">
        <v>2942</v>
      </c>
      <c r="C79" s="3259">
        <v>0.05</v>
      </c>
      <c r="D79" s="3259">
        <v>9.6000000000000002E-2</v>
      </c>
      <c r="E79" s="3259">
        <v>9.5000000000000001E-2</v>
      </c>
      <c r="F79" s="3270"/>
      <c r="G79" s="3260">
        <v>9.8000000000000004E-2</v>
      </c>
    </row>
    <row r="80" spans="1:7">
      <c r="A80" s="3269" t="s">
        <v>110</v>
      </c>
      <c r="B80" s="3258" t="s">
        <v>2946</v>
      </c>
      <c r="C80" s="3259">
        <v>8.5999999999999993E-2</v>
      </c>
      <c r="D80" s="3275"/>
      <c r="E80" s="3259">
        <v>0.1</v>
      </c>
      <c r="F80" s="3270"/>
      <c r="G80" s="3271"/>
    </row>
    <row r="81" spans="1:7">
      <c r="A81" s="3269" t="s">
        <v>110</v>
      </c>
      <c r="B81" s="3258" t="s">
        <v>2951</v>
      </c>
      <c r="C81" s="3259">
        <v>9.6000000000000002E-2</v>
      </c>
      <c r="D81" s="3270"/>
      <c r="E81" s="3259">
        <v>9.8000000000000004E-2</v>
      </c>
      <c r="F81" s="3270"/>
      <c r="G81" s="3271"/>
    </row>
    <row r="82" spans="1:7">
      <c r="A82" s="3269" t="s">
        <v>110</v>
      </c>
      <c r="B82" s="3258" t="s">
        <v>2958</v>
      </c>
      <c r="C82" s="3275"/>
      <c r="D82" s="3270"/>
      <c r="E82" s="3259">
        <v>7.6999999999999999E-2</v>
      </c>
      <c r="F82" s="3270"/>
      <c r="G82" s="3271"/>
    </row>
    <row r="83" spans="1:7">
      <c r="A83" s="3269" t="s">
        <v>110</v>
      </c>
      <c r="B83" s="3258" t="s">
        <v>2964</v>
      </c>
      <c r="C83" s="3270"/>
      <c r="D83" s="3270"/>
      <c r="E83" s="3270"/>
      <c r="F83" s="3259">
        <v>0.1</v>
      </c>
      <c r="G83" s="3276"/>
    </row>
    <row r="84" spans="1:7">
      <c r="A84" s="3269" t="s">
        <v>110</v>
      </c>
      <c r="B84" s="3258" t="s">
        <v>2971</v>
      </c>
      <c r="C84" s="3270"/>
      <c r="D84" s="3270"/>
      <c r="E84" s="3270"/>
      <c r="F84" s="3259">
        <v>0.1</v>
      </c>
      <c r="G84" s="3276"/>
    </row>
    <row r="85" spans="1:7">
      <c r="A85" s="3269" t="s">
        <v>110</v>
      </c>
      <c r="B85" s="3258" t="s">
        <v>2978</v>
      </c>
      <c r="C85" s="3270"/>
      <c r="D85" s="3270"/>
      <c r="E85" s="3270"/>
      <c r="F85" s="3259">
        <v>0.1</v>
      </c>
      <c r="G85" s="3276"/>
    </row>
    <row r="86" spans="1:7" ht="14.25" thickBot="1">
      <c r="A86" s="3272" t="s">
        <v>110</v>
      </c>
      <c r="B86" s="3262" t="s">
        <v>2983</v>
      </c>
      <c r="C86" s="3263">
        <v>9.8000000000000004E-2</v>
      </c>
      <c r="D86" s="3263">
        <v>9.8000000000000004E-2</v>
      </c>
      <c r="E86" s="3263">
        <v>9.6000000000000002E-2</v>
      </c>
      <c r="F86" s="3273"/>
      <c r="G86" s="3265">
        <v>0.1</v>
      </c>
    </row>
    <row r="87" spans="1:7">
      <c r="A87" s="3268" t="s">
        <v>303</v>
      </c>
      <c r="B87" s="3254" t="s">
        <v>2859</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2952</v>
      </c>
      <c r="C113" s="3259">
        <v>0.1</v>
      </c>
      <c r="D113" s="3259">
        <v>0.1</v>
      </c>
      <c r="E113" s="3270"/>
      <c r="F113" s="3270"/>
      <c r="G113" s="3260">
        <v>0.1</v>
      </c>
    </row>
    <row r="114" spans="1:7">
      <c r="A114" s="3269" t="s">
        <v>303</v>
      </c>
      <c r="B114" s="3258" t="s">
        <v>2959</v>
      </c>
      <c r="C114" s="3259">
        <v>9.7000000000000003E-2</v>
      </c>
      <c r="D114" s="3259">
        <v>9.7000000000000003E-2</v>
      </c>
      <c r="E114" s="3270"/>
      <c r="F114" s="3270"/>
      <c r="G114" s="3260">
        <v>9.9000000000000005E-2</v>
      </c>
    </row>
    <row r="115" spans="1:7">
      <c r="A115" s="3269" t="s">
        <v>303</v>
      </c>
      <c r="B115" s="3258" t="s">
        <v>2965</v>
      </c>
      <c r="C115" s="3259">
        <v>0.1</v>
      </c>
      <c r="D115" s="3259">
        <v>0.1</v>
      </c>
      <c r="E115" s="3270"/>
      <c r="F115" s="3270"/>
      <c r="G115" s="3260">
        <v>0.1</v>
      </c>
    </row>
    <row r="116" spans="1:7">
      <c r="A116" s="3269" t="s">
        <v>303</v>
      </c>
      <c r="B116" s="3258" t="s">
        <v>2972</v>
      </c>
      <c r="C116" s="3259">
        <v>0.1</v>
      </c>
      <c r="D116" s="3259">
        <v>0.1</v>
      </c>
      <c r="E116" s="3270"/>
      <c r="F116" s="3270"/>
      <c r="G116" s="3260">
        <v>0.1</v>
      </c>
    </row>
    <row r="117" spans="1:7">
      <c r="A117" s="3269" t="s">
        <v>303</v>
      </c>
      <c r="B117" s="3258" t="s">
        <v>2979</v>
      </c>
      <c r="C117" s="3259">
        <v>9.7000000000000003E-2</v>
      </c>
      <c r="D117" s="3259">
        <v>9.7000000000000003E-2</v>
      </c>
      <c r="E117" s="3270"/>
      <c r="F117" s="3270"/>
      <c r="G117" s="3260">
        <v>9.7000000000000003E-2</v>
      </c>
    </row>
    <row r="118" spans="1:7">
      <c r="A118" s="3269" t="s">
        <v>303</v>
      </c>
      <c r="B118" s="3258" t="s">
        <v>2984</v>
      </c>
      <c r="C118" s="3259">
        <v>0.1</v>
      </c>
      <c r="D118" s="3259">
        <v>0.1</v>
      </c>
      <c r="E118" s="3270"/>
      <c r="F118" s="3270"/>
      <c r="G118" s="3260">
        <v>0.1</v>
      </c>
    </row>
    <row r="119" spans="1:7">
      <c r="A119" s="3269" t="s">
        <v>303</v>
      </c>
      <c r="B119" s="3258" t="s">
        <v>2988</v>
      </c>
      <c r="C119" s="3259">
        <v>5.0999999999999997E-2</v>
      </c>
      <c r="D119" s="3259">
        <v>5.1999999999999998E-2</v>
      </c>
      <c r="E119" s="3270"/>
      <c r="F119" s="3275"/>
      <c r="G119" s="3260">
        <v>0.06</v>
      </c>
    </row>
    <row r="120" spans="1:7">
      <c r="A120" s="3269" t="s">
        <v>303</v>
      </c>
      <c r="B120" s="3258" t="s">
        <v>2992</v>
      </c>
      <c r="C120" s="3270"/>
      <c r="D120" s="3270"/>
      <c r="E120" s="3270"/>
      <c r="F120" s="3259">
        <v>0.1</v>
      </c>
      <c r="G120" s="3276"/>
    </row>
    <row r="121" spans="1:7">
      <c r="A121" s="3269" t="s">
        <v>303</v>
      </c>
      <c r="B121" s="3258" t="s">
        <v>2997</v>
      </c>
      <c r="C121" s="3270"/>
      <c r="D121" s="3270"/>
      <c r="E121" s="3270"/>
      <c r="F121" s="3259">
        <v>0.1</v>
      </c>
      <c r="G121" s="3276"/>
    </row>
    <row r="122" spans="1:7">
      <c r="A122" s="3269" t="s">
        <v>303</v>
      </c>
      <c r="B122" s="3258" t="s">
        <v>3002</v>
      </c>
      <c r="C122" s="3259">
        <v>0.1</v>
      </c>
      <c r="D122" s="3259">
        <v>0.1</v>
      </c>
      <c r="E122" s="3259">
        <v>9.8000000000000004E-2</v>
      </c>
      <c r="F122" s="3259">
        <v>0.1</v>
      </c>
      <c r="G122" s="3260">
        <v>0.1</v>
      </c>
    </row>
    <row r="123" spans="1:7">
      <c r="A123" s="3269" t="s">
        <v>303</v>
      </c>
      <c r="B123" s="3258" t="s">
        <v>3007</v>
      </c>
      <c r="C123" s="3259">
        <v>0.1</v>
      </c>
      <c r="D123" s="3259">
        <v>0.1</v>
      </c>
      <c r="E123" s="3259">
        <v>9.8000000000000004E-2</v>
      </c>
      <c r="F123" s="3259">
        <v>0.1</v>
      </c>
      <c r="G123" s="3260">
        <v>0.1</v>
      </c>
    </row>
    <row r="124" spans="1:7">
      <c r="A124" s="3269" t="s">
        <v>303</v>
      </c>
      <c r="B124" s="3258" t="s">
        <v>3012</v>
      </c>
      <c r="C124" s="3259">
        <v>0.1</v>
      </c>
      <c r="D124" s="3259">
        <v>0.1</v>
      </c>
      <c r="E124" s="3259">
        <v>9.8000000000000004E-2</v>
      </c>
      <c r="F124" s="3275"/>
      <c r="G124" s="3260">
        <v>0.1</v>
      </c>
    </row>
    <row r="125" spans="1:7">
      <c r="A125" s="3269" t="s">
        <v>303</v>
      </c>
      <c r="B125" s="3258" t="s">
        <v>3017</v>
      </c>
      <c r="C125" s="3259">
        <v>9.8000000000000004E-2</v>
      </c>
      <c r="D125" s="3259">
        <v>9.8000000000000004E-2</v>
      </c>
      <c r="E125" s="3259">
        <v>9.6000000000000002E-2</v>
      </c>
      <c r="F125" s="3275"/>
      <c r="G125" s="3260">
        <v>0.1</v>
      </c>
    </row>
    <row r="126" spans="1:7" ht="14.25" thickBot="1">
      <c r="A126" s="3272" t="s">
        <v>303</v>
      </c>
      <c r="B126" s="3262" t="s">
        <v>3183</v>
      </c>
      <c r="C126" s="3263">
        <v>0.1</v>
      </c>
      <c r="D126" s="3263">
        <v>0.1</v>
      </c>
      <c r="E126" s="3263">
        <v>9.8000000000000004E-2</v>
      </c>
      <c r="F126" s="3263">
        <v>0.1</v>
      </c>
      <c r="G126" s="3265">
        <v>0.1</v>
      </c>
    </row>
    <row r="127" spans="1:7">
      <c r="A127" s="3268" t="s">
        <v>29</v>
      </c>
      <c r="B127" s="3254" t="s">
        <v>2860</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2930</v>
      </c>
      <c r="C148" s="3259">
        <v>0.13</v>
      </c>
      <c r="D148" s="3259">
        <v>0.13</v>
      </c>
      <c r="E148" s="3259">
        <v>0.13</v>
      </c>
      <c r="F148" s="3270"/>
      <c r="G148" s="3260">
        <v>0.13</v>
      </c>
    </row>
    <row r="149" spans="1:7">
      <c r="A149" s="3269" t="s">
        <v>29</v>
      </c>
      <c r="B149" s="3258" t="s">
        <v>2934</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2953</v>
      </c>
      <c r="C153" s="3259">
        <v>0.13</v>
      </c>
      <c r="D153" s="3259">
        <v>0.13</v>
      </c>
      <c r="E153" s="3259">
        <v>0.13</v>
      </c>
      <c r="F153" s="3259">
        <v>0.13</v>
      </c>
      <c r="G153" s="3260">
        <v>0.13</v>
      </c>
    </row>
    <row r="154" spans="1:7">
      <c r="A154" s="3269" t="s">
        <v>29</v>
      </c>
      <c r="B154" s="3258" t="s">
        <v>2960</v>
      </c>
      <c r="C154" s="3259">
        <v>0.121</v>
      </c>
      <c r="D154" s="3259">
        <v>0.121</v>
      </c>
      <c r="E154" s="3259">
        <v>0.105</v>
      </c>
      <c r="F154" s="3259">
        <v>0.121</v>
      </c>
      <c r="G154" s="3260">
        <v>0.123</v>
      </c>
    </row>
    <row r="155" spans="1:7">
      <c r="A155" s="3269" t="s">
        <v>29</v>
      </c>
      <c r="B155" s="3258" t="s">
        <v>2966</v>
      </c>
      <c r="C155" s="3259">
        <v>0.1</v>
      </c>
      <c r="D155" s="3259">
        <v>0.1</v>
      </c>
      <c r="E155" s="3259">
        <v>0.1</v>
      </c>
      <c r="F155" s="3259">
        <v>0.1</v>
      </c>
      <c r="G155" s="3260">
        <v>0.1</v>
      </c>
    </row>
    <row r="156" spans="1:7">
      <c r="A156" s="3269" t="s">
        <v>29</v>
      </c>
      <c r="B156" s="3258" t="s">
        <v>2973</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2993</v>
      </c>
      <c r="C160" s="3259">
        <v>0.13</v>
      </c>
      <c r="D160" s="3259">
        <v>0.13</v>
      </c>
      <c r="E160" s="3259">
        <v>0.124</v>
      </c>
      <c r="F160" s="3259">
        <v>0.126</v>
      </c>
      <c r="G160" s="3260">
        <v>0.13</v>
      </c>
    </row>
    <row r="161" spans="1:7">
      <c r="A161" s="3269" t="s">
        <v>29</v>
      </c>
      <c r="B161" s="3258" t="s">
        <v>2998</v>
      </c>
      <c r="C161" s="3259">
        <v>0.13</v>
      </c>
      <c r="D161" s="3259">
        <v>0.13</v>
      </c>
      <c r="E161" s="3259">
        <v>0.124</v>
      </c>
      <c r="F161" s="3259">
        <v>0.127</v>
      </c>
      <c r="G161" s="3260">
        <v>0.13</v>
      </c>
    </row>
    <row r="162" spans="1:7">
      <c r="A162" s="3269" t="s">
        <v>29</v>
      </c>
      <c r="B162" s="3258" t="s">
        <v>3003</v>
      </c>
      <c r="C162" s="3259">
        <v>0.1</v>
      </c>
      <c r="D162" s="3259">
        <v>0.1</v>
      </c>
      <c r="E162" s="3259">
        <v>0.1</v>
      </c>
      <c r="F162" s="3259">
        <v>0.121</v>
      </c>
      <c r="G162" s="3260">
        <v>0.105</v>
      </c>
    </row>
    <row r="163" spans="1:7">
      <c r="A163" s="3269" t="s">
        <v>29</v>
      </c>
      <c r="B163" s="3258" t="s">
        <v>3008</v>
      </c>
      <c r="C163" s="3259">
        <v>0.1</v>
      </c>
      <c r="D163" s="3259">
        <v>0.1</v>
      </c>
      <c r="E163" s="3259">
        <v>0.1</v>
      </c>
      <c r="F163" s="3259">
        <v>0.1</v>
      </c>
      <c r="G163" s="3260">
        <v>0.1</v>
      </c>
    </row>
    <row r="164" spans="1:7">
      <c r="A164" s="3269" t="s">
        <v>29</v>
      </c>
      <c r="B164" s="3258" t="s">
        <v>3013</v>
      </c>
      <c r="C164" s="3275"/>
      <c r="D164" s="3275"/>
      <c r="E164" s="3275"/>
      <c r="F164" s="3259">
        <v>0.1</v>
      </c>
      <c r="G164" s="3271"/>
    </row>
    <row r="165" spans="1:7">
      <c r="A165" s="3269" t="s">
        <v>29</v>
      </c>
      <c r="B165" s="3258" t="s">
        <v>3184</v>
      </c>
      <c r="C165" s="3259">
        <v>0.126</v>
      </c>
      <c r="D165" s="3259">
        <v>0.126</v>
      </c>
      <c r="E165" s="3259">
        <v>0.11899999999999999</v>
      </c>
      <c r="F165" s="3259">
        <v>0.13</v>
      </c>
      <c r="G165" s="3260">
        <v>0.128</v>
      </c>
    </row>
    <row r="166" spans="1:7">
      <c r="A166" s="3269" t="s">
        <v>29</v>
      </c>
      <c r="B166" s="3258" t="s">
        <v>3023</v>
      </c>
      <c r="C166" s="3259">
        <v>0.129</v>
      </c>
      <c r="D166" s="3259">
        <v>0.129</v>
      </c>
      <c r="E166" s="3259">
        <v>0.123</v>
      </c>
      <c r="F166" s="3259">
        <v>0.128</v>
      </c>
      <c r="G166" s="3260">
        <v>0.13</v>
      </c>
    </row>
    <row r="167" spans="1:7">
      <c r="A167" s="3269" t="s">
        <v>29</v>
      </c>
      <c r="B167" s="3258" t="s">
        <v>3027</v>
      </c>
      <c r="C167" s="3259">
        <v>0.125</v>
      </c>
      <c r="D167" s="3259">
        <v>0.125</v>
      </c>
      <c r="E167" s="3259">
        <v>0.11700000000000001</v>
      </c>
      <c r="F167" s="3259">
        <v>0.13</v>
      </c>
      <c r="G167" s="3260">
        <v>0.126</v>
      </c>
    </row>
    <row r="168" spans="1:7">
      <c r="A168" s="3269" t="s">
        <v>29</v>
      </c>
      <c r="B168" s="3258" t="s">
        <v>3032</v>
      </c>
      <c r="C168" s="3259">
        <v>0.128</v>
      </c>
      <c r="D168" s="3259">
        <v>0.128</v>
      </c>
      <c r="E168" s="3259">
        <v>0.123</v>
      </c>
      <c r="F168" s="3270"/>
      <c r="G168" s="3260">
        <v>0.13</v>
      </c>
    </row>
    <row r="169" spans="1:7">
      <c r="A169" s="3269" t="s">
        <v>29</v>
      </c>
      <c r="B169" s="3258" t="s">
        <v>3185</v>
      </c>
      <c r="C169" s="3275"/>
      <c r="D169" s="3275"/>
      <c r="E169" s="3275"/>
      <c r="F169" s="3259">
        <v>0.05</v>
      </c>
      <c r="G169" s="3271"/>
    </row>
    <row r="170" spans="1:7">
      <c r="A170" s="3269" t="s">
        <v>29</v>
      </c>
      <c r="B170" s="3258" t="s">
        <v>3186</v>
      </c>
      <c r="C170" s="3275"/>
      <c r="D170" s="3275"/>
      <c r="E170" s="3275"/>
      <c r="F170" s="3259">
        <v>0.05</v>
      </c>
      <c r="G170" s="3271"/>
    </row>
    <row r="171" spans="1:7">
      <c r="A171" s="3269" t="s">
        <v>29</v>
      </c>
      <c r="B171" s="3258" t="s">
        <v>3187</v>
      </c>
      <c r="C171" s="3275"/>
      <c r="D171" s="3275"/>
      <c r="E171" s="3275"/>
      <c r="F171" s="3259">
        <v>0.05</v>
      </c>
      <c r="G171" s="3276"/>
    </row>
    <row r="172" spans="1:7">
      <c r="A172" s="3269" t="s">
        <v>29</v>
      </c>
      <c r="B172" s="3258" t="s">
        <v>3188</v>
      </c>
      <c r="C172" s="3275"/>
      <c r="D172" s="3275"/>
      <c r="E172" s="3275"/>
      <c r="F172" s="3259">
        <v>0.05</v>
      </c>
      <c r="G172" s="3276"/>
    </row>
    <row r="173" spans="1:7">
      <c r="A173" s="3269" t="s">
        <v>29</v>
      </c>
      <c r="B173" s="3258" t="s">
        <v>3189</v>
      </c>
      <c r="C173" s="3275"/>
      <c r="D173" s="3275"/>
      <c r="E173" s="3275"/>
      <c r="F173" s="3259">
        <v>0.05</v>
      </c>
      <c r="G173" s="3271"/>
    </row>
    <row r="174" spans="1:7">
      <c r="A174" s="3269" t="s">
        <v>29</v>
      </c>
      <c r="B174" s="3258" t="s">
        <v>3190</v>
      </c>
      <c r="C174" s="3275"/>
      <c r="D174" s="3275"/>
      <c r="E174" s="3275"/>
      <c r="F174" s="3259">
        <v>0.05</v>
      </c>
      <c r="G174" s="3271"/>
    </row>
    <row r="175" spans="1:7">
      <c r="A175" s="3269" t="s">
        <v>29</v>
      </c>
      <c r="B175" s="3258" t="s">
        <v>3191</v>
      </c>
      <c r="C175" s="3275"/>
      <c r="D175" s="3275"/>
      <c r="E175" s="3275"/>
      <c r="F175" s="3259">
        <v>0.05</v>
      </c>
      <c r="G175" s="3271"/>
    </row>
    <row r="176" spans="1:7">
      <c r="A176" s="3269" t="s">
        <v>29</v>
      </c>
      <c r="B176" s="3258" t="s">
        <v>3192</v>
      </c>
      <c r="C176" s="3275"/>
      <c r="D176" s="3275"/>
      <c r="E176" s="3275"/>
      <c r="F176" s="3259">
        <v>0.05</v>
      </c>
      <c r="G176" s="3271"/>
    </row>
    <row r="177" spans="1:7">
      <c r="A177" s="3269" t="s">
        <v>29</v>
      </c>
      <c r="B177" s="3258" t="s">
        <v>3193</v>
      </c>
      <c r="C177" s="3270"/>
      <c r="D177" s="3270"/>
      <c r="E177" s="3270"/>
      <c r="F177" s="3259">
        <v>0.05</v>
      </c>
      <c r="G177" s="3276"/>
    </row>
    <row r="178" spans="1:7">
      <c r="A178" s="3269" t="s">
        <v>29</v>
      </c>
      <c r="B178" s="3258" t="s">
        <v>3194</v>
      </c>
      <c r="C178" s="3270"/>
      <c r="D178" s="3270"/>
      <c r="E178" s="3270"/>
      <c r="F178" s="3259">
        <v>0.05</v>
      </c>
      <c r="G178" s="3276"/>
    </row>
    <row r="179" spans="1:7">
      <c r="A179" s="3269" t="s">
        <v>29</v>
      </c>
      <c r="B179" s="3258" t="s">
        <v>3195</v>
      </c>
      <c r="C179" s="3270"/>
      <c r="D179" s="3270"/>
      <c r="E179" s="3270"/>
      <c r="F179" s="3259">
        <v>0.05</v>
      </c>
      <c r="G179" s="3276"/>
    </row>
    <row r="180" spans="1:7">
      <c r="A180" s="3269" t="s">
        <v>29</v>
      </c>
      <c r="B180" s="3258" t="s">
        <v>3196</v>
      </c>
      <c r="C180" s="3270"/>
      <c r="D180" s="3270"/>
      <c r="E180" s="3270"/>
      <c r="F180" s="3259">
        <v>0.05</v>
      </c>
      <c r="G180" s="3276"/>
    </row>
    <row r="181" spans="1:7">
      <c r="A181" s="3269" t="s">
        <v>29</v>
      </c>
      <c r="B181" s="3258" t="s">
        <v>3197</v>
      </c>
      <c r="C181" s="3270"/>
      <c r="D181" s="3270"/>
      <c r="E181" s="3270"/>
      <c r="F181" s="3259">
        <v>0.05</v>
      </c>
      <c r="G181" s="3276"/>
    </row>
    <row r="182" spans="1:7">
      <c r="A182" s="3269" t="s">
        <v>29</v>
      </c>
      <c r="B182" s="3258" t="s">
        <v>3198</v>
      </c>
      <c r="C182" s="3270"/>
      <c r="D182" s="3270"/>
      <c r="E182" s="3270"/>
      <c r="F182" s="3259">
        <v>0.05</v>
      </c>
      <c r="G182" s="3276"/>
    </row>
    <row r="183" spans="1:7">
      <c r="A183" s="3269" t="s">
        <v>29</v>
      </c>
      <c r="B183" s="3258" t="s">
        <v>3199</v>
      </c>
      <c r="C183" s="3270"/>
      <c r="D183" s="3270"/>
      <c r="E183" s="3270"/>
      <c r="F183" s="3259">
        <v>0.05</v>
      </c>
      <c r="G183" s="3276"/>
    </row>
    <row r="184" spans="1:7">
      <c r="A184" s="3269" t="s">
        <v>29</v>
      </c>
      <c r="B184" s="3258" t="s">
        <v>3200</v>
      </c>
      <c r="C184" s="3270"/>
      <c r="D184" s="3270"/>
      <c r="E184" s="3270"/>
      <c r="F184" s="3259">
        <v>0.05</v>
      </c>
      <c r="G184" s="3276"/>
    </row>
    <row r="185" spans="1:7">
      <c r="A185" s="3269" t="s">
        <v>29</v>
      </c>
      <c r="B185" s="3258" t="s">
        <v>3201</v>
      </c>
      <c r="C185" s="3270"/>
      <c r="D185" s="3270"/>
      <c r="E185" s="3270"/>
      <c r="F185" s="3259">
        <v>0.05</v>
      </c>
      <c r="G185" s="3276"/>
    </row>
    <row r="186" spans="1:7">
      <c r="A186" s="3269" t="s">
        <v>29</v>
      </c>
      <c r="B186" s="3258" t="s">
        <v>3202</v>
      </c>
      <c r="C186" s="3270"/>
      <c r="D186" s="3270"/>
      <c r="E186" s="3270"/>
      <c r="F186" s="3259">
        <v>0.05</v>
      </c>
      <c r="G186" s="3276"/>
    </row>
    <row r="187" spans="1:7">
      <c r="A187" s="3269" t="s">
        <v>29</v>
      </c>
      <c r="B187" s="3258" t="s">
        <v>3203</v>
      </c>
      <c r="C187" s="3270"/>
      <c r="D187" s="3270"/>
      <c r="E187" s="3270"/>
      <c r="F187" s="3259">
        <v>0.05</v>
      </c>
      <c r="G187" s="3276"/>
    </row>
    <row r="188" spans="1:7">
      <c r="A188" s="3269" t="s">
        <v>29</v>
      </c>
      <c r="B188" s="3258" t="s">
        <v>3204</v>
      </c>
      <c r="C188" s="3270"/>
      <c r="D188" s="3270"/>
      <c r="E188" s="3270"/>
      <c r="F188" s="3259">
        <v>0.05</v>
      </c>
      <c r="G188" s="3276"/>
    </row>
    <row r="189" spans="1:7" ht="14.25" thickBot="1">
      <c r="A189" s="3272" t="s">
        <v>29</v>
      </c>
      <c r="B189" s="3262" t="s">
        <v>3205</v>
      </c>
      <c r="C189" s="3264"/>
      <c r="D189" s="3264"/>
      <c r="E189" s="3264"/>
      <c r="F189" s="3263">
        <v>0.05</v>
      </c>
      <c r="G189" s="3277"/>
    </row>
    <row r="190" spans="1:7">
      <c r="A190" s="3268" t="s">
        <v>304</v>
      </c>
      <c r="B190" s="3254" t="s">
        <v>2861</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2897</v>
      </c>
      <c r="C199" s="3259">
        <v>0.13</v>
      </c>
      <c r="D199" s="3259">
        <v>0.13</v>
      </c>
      <c r="E199" s="3259">
        <v>0.13</v>
      </c>
      <c r="F199" s="3259">
        <v>0.13</v>
      </c>
      <c r="G199" s="3260">
        <v>0.13</v>
      </c>
    </row>
    <row r="200" spans="1:7">
      <c r="A200" s="3269" t="s">
        <v>304</v>
      </c>
      <c r="B200" s="3258" t="s">
        <v>2900</v>
      </c>
      <c r="C200" s="3275"/>
      <c r="D200" s="3275"/>
      <c r="E200" s="3275"/>
      <c r="F200" s="3259">
        <v>0.13</v>
      </c>
      <c r="G200" s="3271"/>
    </row>
    <row r="201" spans="1:7">
      <c r="A201" s="3269" t="s">
        <v>304</v>
      </c>
      <c r="B201" s="3258" t="s">
        <v>2905</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2908</v>
      </c>
      <c r="C203" s="3259">
        <v>0.129</v>
      </c>
      <c r="D203" s="3259">
        <v>0.129</v>
      </c>
      <c r="E203" s="3259">
        <v>0.13</v>
      </c>
      <c r="F203" s="3259">
        <v>0.13</v>
      </c>
      <c r="G203" s="3260">
        <v>0.13</v>
      </c>
    </row>
    <row r="204" spans="1:7">
      <c r="A204" s="3269" t="s">
        <v>304</v>
      </c>
      <c r="B204" s="3258" t="s">
        <v>2911</v>
      </c>
      <c r="C204" s="3259">
        <v>0.129</v>
      </c>
      <c r="D204" s="3259">
        <v>0.129</v>
      </c>
      <c r="E204" s="3259">
        <v>0.123</v>
      </c>
      <c r="F204" s="3259">
        <v>0.13</v>
      </c>
      <c r="G204" s="3260">
        <v>0.13</v>
      </c>
    </row>
    <row r="205" spans="1:7">
      <c r="A205" s="3269" t="s">
        <v>304</v>
      </c>
      <c r="B205" s="3258" t="s">
        <v>2913</v>
      </c>
      <c r="C205" s="3259">
        <v>0.13</v>
      </c>
      <c r="D205" s="3259">
        <v>0.13</v>
      </c>
      <c r="E205" s="3259">
        <v>0.13</v>
      </c>
      <c r="F205" s="3259">
        <v>0.13</v>
      </c>
      <c r="G205" s="3260">
        <v>0.13</v>
      </c>
    </row>
    <row r="206" spans="1:7">
      <c r="A206" s="3269" t="s">
        <v>304</v>
      </c>
      <c r="B206" s="3258" t="s">
        <v>2916</v>
      </c>
      <c r="C206" s="3259">
        <v>0.13</v>
      </c>
      <c r="D206" s="3259">
        <v>0.13</v>
      </c>
      <c r="E206" s="3259">
        <v>0.13</v>
      </c>
      <c r="F206" s="3259">
        <v>0.128</v>
      </c>
      <c r="G206" s="3260">
        <v>0.13</v>
      </c>
    </row>
    <row r="207" spans="1:7">
      <c r="A207" s="3269" t="s">
        <v>304</v>
      </c>
      <c r="B207" s="3258" t="s">
        <v>2918</v>
      </c>
      <c r="C207" s="3259">
        <v>0.13</v>
      </c>
      <c r="D207" s="3259">
        <v>0.13</v>
      </c>
      <c r="E207" s="3259">
        <v>0.13</v>
      </c>
      <c r="F207" s="3259">
        <v>0.13</v>
      </c>
      <c r="G207" s="3260">
        <v>0.13</v>
      </c>
    </row>
    <row r="208" spans="1:7">
      <c r="A208" s="3269" t="s">
        <v>304</v>
      </c>
      <c r="B208" s="3258" t="s">
        <v>2921</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2928</v>
      </c>
      <c r="C210" s="3259">
        <v>0.121</v>
      </c>
      <c r="D210" s="3259">
        <v>0.121</v>
      </c>
      <c r="E210" s="3259">
        <v>0.125</v>
      </c>
      <c r="F210" s="3259">
        <v>0.13</v>
      </c>
      <c r="G210" s="3260">
        <v>0.123</v>
      </c>
    </row>
    <row r="211" spans="1:7">
      <c r="A211" s="3269" t="s">
        <v>304</v>
      </c>
      <c r="B211" s="3258" t="s">
        <v>2931</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2943</v>
      </c>
      <c r="C214" s="3259">
        <v>0.128</v>
      </c>
      <c r="D214" s="3259">
        <v>0.128</v>
      </c>
      <c r="E214" s="3259">
        <v>0.13</v>
      </c>
      <c r="F214" s="3259">
        <v>0.13</v>
      </c>
      <c r="G214" s="3260">
        <v>0.13</v>
      </c>
    </row>
    <row r="215" spans="1:7">
      <c r="A215" s="3269" t="s">
        <v>304</v>
      </c>
      <c r="B215" s="3258" t="s">
        <v>2947</v>
      </c>
      <c r="C215" s="3259">
        <v>0.13</v>
      </c>
      <c r="D215" s="3259">
        <v>0.13</v>
      </c>
      <c r="E215" s="3259">
        <v>0.13</v>
      </c>
      <c r="F215" s="3259">
        <v>0.129</v>
      </c>
      <c r="G215" s="3260">
        <v>0.13</v>
      </c>
    </row>
    <row r="216" spans="1:7">
      <c r="A216" s="3269" t="s">
        <v>304</v>
      </c>
      <c r="B216" s="3258" t="s">
        <v>2954</v>
      </c>
      <c r="C216" s="3259">
        <v>0.13</v>
      </c>
      <c r="D216" s="3259">
        <v>0.13</v>
      </c>
      <c r="E216" s="3259">
        <v>0.13</v>
      </c>
      <c r="F216" s="3259">
        <v>0.13</v>
      </c>
      <c r="G216" s="3260">
        <v>0.13</v>
      </c>
    </row>
    <row r="217" spans="1:7">
      <c r="A217" s="3269" t="s">
        <v>304</v>
      </c>
      <c r="B217" s="3258" t="s">
        <v>2961</v>
      </c>
      <c r="C217" s="3259">
        <v>0.129</v>
      </c>
      <c r="D217" s="3259">
        <v>0.129</v>
      </c>
      <c r="E217" s="3259">
        <v>0.13</v>
      </c>
      <c r="F217" s="3259">
        <v>0.13</v>
      </c>
      <c r="G217" s="3260">
        <v>0.13</v>
      </c>
    </row>
    <row r="218" spans="1:7">
      <c r="A218" s="3269" t="s">
        <v>304</v>
      </c>
      <c r="B218" s="3258" t="s">
        <v>2967</v>
      </c>
      <c r="C218" s="3270"/>
      <c r="D218" s="3270"/>
      <c r="E218" s="3270"/>
      <c r="F218" s="3259">
        <v>0.05</v>
      </c>
      <c r="G218" s="3276"/>
    </row>
    <row r="219" spans="1:7">
      <c r="A219" s="3269" t="s">
        <v>304</v>
      </c>
      <c r="B219" s="3258" t="s">
        <v>2974</v>
      </c>
      <c r="C219" s="3270"/>
      <c r="D219" s="3270"/>
      <c r="E219" s="3270"/>
      <c r="F219" s="3259">
        <v>0.05</v>
      </c>
      <c r="G219" s="3276"/>
    </row>
    <row r="220" spans="1:7">
      <c r="A220" s="3269" t="s">
        <v>304</v>
      </c>
      <c r="B220" s="3258" t="s">
        <v>2980</v>
      </c>
      <c r="C220" s="3270"/>
      <c r="D220" s="3270"/>
      <c r="E220" s="3270"/>
      <c r="F220" s="3259">
        <v>0.05</v>
      </c>
      <c r="G220" s="3276"/>
    </row>
    <row r="221" spans="1:7">
      <c r="A221" s="3269" t="s">
        <v>304</v>
      </c>
      <c r="B221" s="3258" t="s">
        <v>2985</v>
      </c>
      <c r="C221" s="3270"/>
      <c r="D221" s="3270"/>
      <c r="E221" s="3270"/>
      <c r="F221" s="3259">
        <v>0.05</v>
      </c>
      <c r="G221" s="3276"/>
    </row>
    <row r="222" spans="1:7">
      <c r="A222" s="3269" t="s">
        <v>304</v>
      </c>
      <c r="B222" s="3258" t="s">
        <v>2989</v>
      </c>
      <c r="C222" s="3270"/>
      <c r="D222" s="3270"/>
      <c r="E222" s="3270"/>
      <c r="F222" s="3259">
        <v>0.05</v>
      </c>
      <c r="G222" s="3276"/>
    </row>
    <row r="223" spans="1:7">
      <c r="A223" s="3269" t="s">
        <v>304</v>
      </c>
      <c r="B223" s="3258" t="s">
        <v>2994</v>
      </c>
      <c r="C223" s="3270"/>
      <c r="D223" s="3270"/>
      <c r="E223" s="3270"/>
      <c r="F223" s="3259">
        <v>0.05</v>
      </c>
      <c r="G223" s="3276"/>
    </row>
    <row r="224" spans="1:7">
      <c r="A224" s="3269" t="s">
        <v>304</v>
      </c>
      <c r="B224" s="3258" t="s">
        <v>2999</v>
      </c>
      <c r="C224" s="3270"/>
      <c r="D224" s="3270"/>
      <c r="E224" s="3270"/>
      <c r="F224" s="3259">
        <v>0.05</v>
      </c>
      <c r="G224" s="3276"/>
    </row>
    <row r="225" spans="1:7">
      <c r="A225" s="3269" t="s">
        <v>304</v>
      </c>
      <c r="B225" s="3258" t="s">
        <v>3004</v>
      </c>
      <c r="C225" s="3270"/>
      <c r="D225" s="3270"/>
      <c r="E225" s="3270"/>
      <c r="F225" s="3259">
        <v>0.05</v>
      </c>
      <c r="G225" s="3276"/>
    </row>
    <row r="226" spans="1:7">
      <c r="A226" s="3269" t="s">
        <v>304</v>
      </c>
      <c r="B226" s="3258" t="s">
        <v>3206</v>
      </c>
      <c r="C226" s="3270"/>
      <c r="D226" s="3270"/>
      <c r="E226" s="3270"/>
      <c r="F226" s="3259">
        <v>0.05</v>
      </c>
      <c r="G226" s="3276"/>
    </row>
    <row r="227" spans="1:7">
      <c r="A227" s="3269" t="s">
        <v>304</v>
      </c>
      <c r="B227" s="3258" t="s">
        <v>3207</v>
      </c>
      <c r="C227" s="3270"/>
      <c r="D227" s="3270"/>
      <c r="E227" s="3270"/>
      <c r="F227" s="3259">
        <v>0.05</v>
      </c>
      <c r="G227" s="3276"/>
    </row>
    <row r="228" spans="1:7">
      <c r="A228" s="3269" t="s">
        <v>304</v>
      </c>
      <c r="B228" s="3258" t="s">
        <v>3208</v>
      </c>
      <c r="C228" s="3270"/>
      <c r="D228" s="3270"/>
      <c r="E228" s="3270"/>
      <c r="F228" s="3259">
        <v>0.05</v>
      </c>
      <c r="G228" s="3276"/>
    </row>
    <row r="229" spans="1:7">
      <c r="A229" s="3269" t="s">
        <v>304</v>
      </c>
      <c r="B229" s="3258" t="s">
        <v>3209</v>
      </c>
      <c r="C229" s="3270"/>
      <c r="D229" s="3270"/>
      <c r="E229" s="3270"/>
      <c r="F229" s="3259">
        <v>0.05</v>
      </c>
      <c r="G229" s="3276"/>
    </row>
    <row r="230" spans="1:7">
      <c r="A230" s="3269" t="s">
        <v>304</v>
      </c>
      <c r="B230" s="3258" t="s">
        <v>3210</v>
      </c>
      <c r="C230" s="3270"/>
      <c r="D230" s="3270"/>
      <c r="E230" s="3270"/>
      <c r="F230" s="3259">
        <v>0.05</v>
      </c>
      <c r="G230" s="3276"/>
    </row>
    <row r="231" spans="1:7">
      <c r="A231" s="3269" t="s">
        <v>304</v>
      </c>
      <c r="B231" s="3258" t="s">
        <v>3211</v>
      </c>
      <c r="C231" s="3270"/>
      <c r="D231" s="3270"/>
      <c r="E231" s="3270"/>
      <c r="F231" s="3259">
        <v>0.05</v>
      </c>
      <c r="G231" s="3276"/>
    </row>
    <row r="232" spans="1:7">
      <c r="A232" s="3269" t="s">
        <v>304</v>
      </c>
      <c r="B232" s="3258" t="s">
        <v>3212</v>
      </c>
      <c r="C232" s="3270"/>
      <c r="D232" s="3270"/>
      <c r="E232" s="3270"/>
      <c r="F232" s="3259">
        <v>0.05</v>
      </c>
      <c r="G232" s="3276"/>
    </row>
    <row r="233" spans="1:7" ht="14.25" thickBot="1">
      <c r="A233" s="3272" t="s">
        <v>304</v>
      </c>
      <c r="B233" s="3262" t="s">
        <v>3213</v>
      </c>
      <c r="C233" s="3264"/>
      <c r="D233" s="3264"/>
      <c r="E233" s="3264"/>
      <c r="F233" s="3263">
        <v>0.05</v>
      </c>
      <c r="G233" s="3277"/>
    </row>
    <row r="234" spans="1:7">
      <c r="A234" s="3268" t="s">
        <v>305</v>
      </c>
      <c r="B234" s="3254" t="s">
        <v>2862</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2882</v>
      </c>
      <c r="C238" s="3259">
        <v>0.14899999999999999</v>
      </c>
      <c r="D238" s="3259">
        <v>0.14899999999999999</v>
      </c>
      <c r="E238" s="3259">
        <v>0.15</v>
      </c>
      <c r="F238" s="3259">
        <v>0.15</v>
      </c>
      <c r="G238" s="3260">
        <v>0.15</v>
      </c>
    </row>
    <row r="239" spans="1:7">
      <c r="A239" s="3269" t="s">
        <v>305</v>
      </c>
      <c r="B239" s="3258" t="s">
        <v>2886</v>
      </c>
      <c r="C239" s="3259">
        <v>0.15</v>
      </c>
      <c r="D239" s="3259">
        <v>0.15</v>
      </c>
      <c r="E239" s="3259">
        <v>0.15</v>
      </c>
      <c r="F239" s="3259">
        <v>0.15</v>
      </c>
      <c r="G239" s="3260">
        <v>0.15</v>
      </c>
    </row>
    <row r="240" spans="1:7">
      <c r="A240" s="3269" t="s">
        <v>305</v>
      </c>
      <c r="B240" s="3258" t="s">
        <v>2891</v>
      </c>
      <c r="C240" s="3259">
        <v>0.15</v>
      </c>
      <c r="D240" s="3259">
        <v>0.15</v>
      </c>
      <c r="E240" s="3259">
        <v>0.15</v>
      </c>
      <c r="F240" s="3259">
        <v>0.15</v>
      </c>
      <c r="G240" s="3260">
        <v>0.15</v>
      </c>
    </row>
    <row r="241" spans="1:7">
      <c r="A241" s="3269" t="s">
        <v>305</v>
      </c>
      <c r="B241" s="3258" t="s">
        <v>2895</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2901</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2909</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2914</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2922</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2935</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2944</v>
      </c>
      <c r="C258" s="3259">
        <v>0.14299999999999999</v>
      </c>
      <c r="D258" s="3259">
        <v>0.14299999999999999</v>
      </c>
      <c r="E258" s="3259">
        <v>0.15</v>
      </c>
      <c r="F258" s="3259">
        <v>0.14799999999999999</v>
      </c>
      <c r="G258" s="3260">
        <v>0.14599999999999999</v>
      </c>
    </row>
    <row r="259" spans="1:7">
      <c r="A259" s="3269" t="s">
        <v>305</v>
      </c>
      <c r="B259" s="3258" t="s">
        <v>2948</v>
      </c>
      <c r="C259" s="3259">
        <v>0.14399999999999999</v>
      </c>
      <c r="D259" s="3259">
        <v>0.14399999999999999</v>
      </c>
      <c r="E259" s="3259">
        <v>0.14899999999999999</v>
      </c>
      <c r="F259" s="3259">
        <v>0.14699999999999999</v>
      </c>
      <c r="G259" s="3260">
        <v>0.14599999999999999</v>
      </c>
    </row>
    <row r="260" spans="1:7">
      <c r="A260" s="3269" t="s">
        <v>305</v>
      </c>
      <c r="B260" s="3258" t="s">
        <v>2955</v>
      </c>
      <c r="C260" s="3259">
        <v>0.109</v>
      </c>
      <c r="D260" s="3259">
        <v>0.111</v>
      </c>
      <c r="E260" s="3259">
        <v>0.13100000000000001</v>
      </c>
      <c r="F260" s="3259">
        <v>0.126</v>
      </c>
      <c r="G260" s="3260">
        <v>0.11899999999999999</v>
      </c>
    </row>
    <row r="261" spans="1:7">
      <c r="A261" s="3269" t="s">
        <v>305</v>
      </c>
      <c r="B261" s="3258" t="s">
        <v>2962</v>
      </c>
      <c r="C261" s="3259">
        <v>0.1</v>
      </c>
      <c r="D261" s="3259">
        <v>0.1</v>
      </c>
      <c r="E261" s="3259">
        <v>0.11799999999999999</v>
      </c>
      <c r="F261" s="3259">
        <v>0.108</v>
      </c>
      <c r="G261" s="3260">
        <v>0.107</v>
      </c>
    </row>
    <row r="262" spans="1:7">
      <c r="A262" s="3269" t="s">
        <v>305</v>
      </c>
      <c r="B262" s="3258" t="s">
        <v>2968</v>
      </c>
      <c r="C262" s="3259">
        <v>0.1</v>
      </c>
      <c r="D262" s="3259">
        <v>0.1</v>
      </c>
      <c r="E262" s="3259">
        <v>0.1</v>
      </c>
      <c r="F262" s="3259">
        <v>0.14099999999999999</v>
      </c>
      <c r="G262" s="3260">
        <v>0.1</v>
      </c>
    </row>
    <row r="263" spans="1:7">
      <c r="A263" s="3269" t="s">
        <v>305</v>
      </c>
      <c r="B263" s="3258" t="s">
        <v>2975</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2986</v>
      </c>
      <c r="C265" s="3270"/>
      <c r="D265" s="3270"/>
      <c r="E265" s="3270"/>
      <c r="F265" s="3259">
        <v>0.05</v>
      </c>
      <c r="G265" s="3276"/>
    </row>
    <row r="266" spans="1:7">
      <c r="A266" s="3269" t="s">
        <v>305</v>
      </c>
      <c r="B266" s="3258" t="s">
        <v>2990</v>
      </c>
      <c r="C266" s="3270"/>
      <c r="D266" s="3270"/>
      <c r="E266" s="3270"/>
      <c r="F266" s="3259">
        <v>0.05</v>
      </c>
      <c r="G266" s="3276"/>
    </row>
    <row r="267" spans="1:7">
      <c r="A267" s="3269" t="s">
        <v>305</v>
      </c>
      <c r="B267" s="3258" t="s">
        <v>2995</v>
      </c>
      <c r="C267" s="3270"/>
      <c r="D267" s="3270"/>
      <c r="E267" s="3270"/>
      <c r="F267" s="3259">
        <v>0.05</v>
      </c>
      <c r="G267" s="3276"/>
    </row>
    <row r="268" spans="1:7">
      <c r="A268" s="3269" t="s">
        <v>305</v>
      </c>
      <c r="B268" s="3258" t="s">
        <v>3000</v>
      </c>
      <c r="C268" s="3270"/>
      <c r="D268" s="3270"/>
      <c r="E268" s="3270"/>
      <c r="F268" s="3259">
        <v>0.05</v>
      </c>
      <c r="G268" s="3276"/>
    </row>
    <row r="269" spans="1:7">
      <c r="A269" s="3269" t="s">
        <v>305</v>
      </c>
      <c r="B269" s="3258" t="s">
        <v>3005</v>
      </c>
      <c r="C269" s="3270"/>
      <c r="D269" s="3270"/>
      <c r="E269" s="3270"/>
      <c r="F269" s="3259">
        <v>0.05</v>
      </c>
      <c r="G269" s="3276"/>
    </row>
    <row r="270" spans="1:7">
      <c r="A270" s="3269" t="s">
        <v>305</v>
      </c>
      <c r="B270" s="3258" t="s">
        <v>3010</v>
      </c>
      <c r="C270" s="3270"/>
      <c r="D270" s="3270"/>
      <c r="E270" s="3270"/>
      <c r="F270" s="3259">
        <v>0.05</v>
      </c>
      <c r="G270" s="3276"/>
    </row>
    <row r="271" spans="1:7">
      <c r="A271" s="3269" t="s">
        <v>305</v>
      </c>
      <c r="B271" s="3258" t="s">
        <v>3214</v>
      </c>
      <c r="C271" s="3270"/>
      <c r="D271" s="3270"/>
      <c r="E271" s="3270"/>
      <c r="F271" s="3259">
        <v>0.05</v>
      </c>
      <c r="G271" s="3276"/>
    </row>
    <row r="272" spans="1:7">
      <c r="A272" s="3269" t="s">
        <v>305</v>
      </c>
      <c r="B272" s="3258" t="s">
        <v>3215</v>
      </c>
      <c r="C272" s="3270"/>
      <c r="D272" s="3270"/>
      <c r="E272" s="3270"/>
      <c r="F272" s="3259">
        <v>0.05</v>
      </c>
      <c r="G272" s="3276"/>
    </row>
    <row r="273" spans="1:7">
      <c r="A273" s="3269" t="s">
        <v>305</v>
      </c>
      <c r="B273" s="3258" t="s">
        <v>3216</v>
      </c>
      <c r="C273" s="3270"/>
      <c r="D273" s="3270"/>
      <c r="E273" s="3270"/>
      <c r="F273" s="3259">
        <v>0.05</v>
      </c>
      <c r="G273" s="3276"/>
    </row>
    <row r="274" spans="1:7">
      <c r="A274" s="3269" t="s">
        <v>305</v>
      </c>
      <c r="B274" s="3258" t="s">
        <v>3217</v>
      </c>
      <c r="C274" s="3270"/>
      <c r="D274" s="3270"/>
      <c r="E274" s="3270"/>
      <c r="F274" s="3259">
        <v>0.05</v>
      </c>
      <c r="G274" s="3276"/>
    </row>
    <row r="275" spans="1:7">
      <c r="A275" s="3269" t="s">
        <v>305</v>
      </c>
      <c r="B275" s="3258" t="s">
        <v>3218</v>
      </c>
      <c r="C275" s="3270"/>
      <c r="D275" s="3270"/>
      <c r="E275" s="3270"/>
      <c r="F275" s="3259">
        <v>0.05</v>
      </c>
      <c r="G275" s="3276"/>
    </row>
    <row r="276" spans="1:7" ht="14.25" thickBot="1">
      <c r="A276" s="3272" t="s">
        <v>305</v>
      </c>
      <c r="B276" s="3262" t="s">
        <v>3219</v>
      </c>
      <c r="C276" s="3264"/>
      <c r="D276" s="3264"/>
      <c r="E276" s="3264"/>
      <c r="F276" s="3263">
        <v>0.05</v>
      </c>
      <c r="G276" s="3277"/>
    </row>
    <row r="277" spans="1:7">
      <c r="A277" s="3268" t="s">
        <v>306</v>
      </c>
      <c r="B277" s="3254" t="s">
        <v>2863</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2875</v>
      </c>
      <c r="C279" s="3259">
        <v>0.15</v>
      </c>
      <c r="D279" s="3259">
        <v>0.15</v>
      </c>
      <c r="E279" s="3259">
        <v>0.15</v>
      </c>
      <c r="F279" s="3259">
        <v>0.15</v>
      </c>
      <c r="G279" s="3260">
        <v>0.15</v>
      </c>
    </row>
    <row r="280" spans="1:7">
      <c r="A280" s="3269" t="s">
        <v>306</v>
      </c>
      <c r="B280" s="3258" t="s">
        <v>2879</v>
      </c>
      <c r="C280" s="3259">
        <v>0.15</v>
      </c>
      <c r="D280" s="3259">
        <v>0.15</v>
      </c>
      <c r="E280" s="3259">
        <v>0.15</v>
      </c>
      <c r="F280" s="3259">
        <v>0.15</v>
      </c>
      <c r="G280" s="3260">
        <v>0.15</v>
      </c>
    </row>
    <row r="281" spans="1:7">
      <c r="A281" s="3269" t="s">
        <v>306</v>
      </c>
      <c r="B281" s="3258" t="s">
        <v>2883</v>
      </c>
      <c r="C281" s="3259">
        <v>0.15</v>
      </c>
      <c r="D281" s="3259">
        <v>0.15</v>
      </c>
      <c r="E281" s="3259">
        <v>0.15</v>
      </c>
      <c r="F281" s="3259">
        <v>0.15</v>
      </c>
      <c r="G281" s="3260">
        <v>0.15</v>
      </c>
    </row>
    <row r="282" spans="1:7">
      <c r="A282" s="3269" t="s">
        <v>306</v>
      </c>
      <c r="B282" s="3258" t="s">
        <v>2887</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2902</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2907</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2917</v>
      </c>
      <c r="C293" s="3259">
        <v>0.15</v>
      </c>
      <c r="D293" s="3259">
        <v>0.15</v>
      </c>
      <c r="E293" s="3259">
        <v>0.15</v>
      </c>
      <c r="F293" s="3259">
        <v>0.14499999999999999</v>
      </c>
      <c r="G293" s="3260">
        <v>0.15</v>
      </c>
    </row>
    <row r="294" spans="1:7">
      <c r="A294" s="3269" t="s">
        <v>306</v>
      </c>
      <c r="B294" s="3258" t="s">
        <v>2919</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2936</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2949</v>
      </c>
      <c r="C302" s="3259">
        <v>0.15</v>
      </c>
      <c r="D302" s="3259">
        <v>0.15</v>
      </c>
      <c r="E302" s="3259">
        <v>0.15</v>
      </c>
      <c r="F302" s="3259">
        <v>0.14699999999999999</v>
      </c>
      <c r="G302" s="3260">
        <v>0.15</v>
      </c>
    </row>
    <row r="303" spans="1:7">
      <c r="A303" s="3269" t="s">
        <v>306</v>
      </c>
      <c r="B303" s="3258" t="s">
        <v>2956</v>
      </c>
      <c r="C303" s="3259">
        <v>0.15</v>
      </c>
      <c r="D303" s="3259">
        <v>0.15</v>
      </c>
      <c r="E303" s="3259">
        <v>0.15</v>
      </c>
      <c r="F303" s="3259">
        <v>0.14199999999999999</v>
      </c>
      <c r="G303" s="3260">
        <v>0.15</v>
      </c>
    </row>
    <row r="304" spans="1:7">
      <c r="A304" s="3269" t="s">
        <v>306</v>
      </c>
      <c r="B304" s="3258" t="s">
        <v>2963</v>
      </c>
      <c r="C304" s="3259">
        <v>0.15</v>
      </c>
      <c r="D304" s="3259">
        <v>0.15</v>
      </c>
      <c r="E304" s="3259">
        <v>0.15</v>
      </c>
      <c r="F304" s="3259">
        <v>0.14499999999999999</v>
      </c>
      <c r="G304" s="3260">
        <v>0.15</v>
      </c>
    </row>
    <row r="305" spans="1:7">
      <c r="A305" s="3269" t="s">
        <v>306</v>
      </c>
      <c r="B305" s="3258" t="s">
        <v>2969</v>
      </c>
      <c r="C305" s="3259">
        <v>0.15</v>
      </c>
      <c r="D305" s="3259">
        <v>0.15</v>
      </c>
      <c r="E305" s="3259">
        <v>0.15</v>
      </c>
      <c r="F305" s="3259">
        <v>0.111</v>
      </c>
      <c r="G305" s="3260">
        <v>0.15</v>
      </c>
    </row>
    <row r="306" spans="1:7">
      <c r="A306" s="3269" t="s">
        <v>306</v>
      </c>
      <c r="B306" s="3258" t="s">
        <v>2976</v>
      </c>
      <c r="C306" s="3259">
        <v>0.15</v>
      </c>
      <c r="D306" s="3259">
        <v>0.15</v>
      </c>
      <c r="E306" s="3259">
        <v>0.15</v>
      </c>
      <c r="F306" s="3259">
        <v>0.126</v>
      </c>
      <c r="G306" s="3260">
        <v>0.15</v>
      </c>
    </row>
    <row r="307" spans="1:7">
      <c r="A307" s="3269" t="s">
        <v>306</v>
      </c>
      <c r="B307" s="3258" t="s">
        <v>2981</v>
      </c>
      <c r="C307" s="3259">
        <v>0.15</v>
      </c>
      <c r="D307" s="3259">
        <v>0.15</v>
      </c>
      <c r="E307" s="3259">
        <v>0.15</v>
      </c>
      <c r="F307" s="3259">
        <v>0.12</v>
      </c>
      <c r="G307" s="3260">
        <v>0.15</v>
      </c>
    </row>
    <row r="308" spans="1:7">
      <c r="A308" s="3269" t="s">
        <v>306</v>
      </c>
      <c r="B308" s="3258" t="s">
        <v>2987</v>
      </c>
      <c r="C308" s="3259">
        <v>0.15</v>
      </c>
      <c r="D308" s="3259">
        <v>0.15</v>
      </c>
      <c r="E308" s="3259">
        <v>0.15</v>
      </c>
      <c r="F308" s="3259">
        <v>0.13</v>
      </c>
      <c r="G308" s="3260">
        <v>0.15</v>
      </c>
    </row>
    <row r="309" spans="1:7">
      <c r="A309" s="3269" t="s">
        <v>306</v>
      </c>
      <c r="B309" s="3258" t="s">
        <v>2991</v>
      </c>
      <c r="C309" s="3259">
        <v>0.15</v>
      </c>
      <c r="D309" s="3259">
        <v>0.15</v>
      </c>
      <c r="E309" s="3259">
        <v>0.15</v>
      </c>
      <c r="F309" s="3259">
        <v>0.14099999999999999</v>
      </c>
      <c r="G309" s="3260">
        <v>0.15</v>
      </c>
    </row>
    <row r="310" spans="1:7">
      <c r="A310" s="3269" t="s">
        <v>306</v>
      </c>
      <c r="B310" s="3258" t="s">
        <v>2996</v>
      </c>
      <c r="C310" s="3259">
        <v>0.15</v>
      </c>
      <c r="D310" s="3259">
        <v>0.15</v>
      </c>
      <c r="E310" s="3259">
        <v>0.15</v>
      </c>
      <c r="F310" s="3259">
        <v>0.15</v>
      </c>
      <c r="G310" s="3260">
        <v>0.15</v>
      </c>
    </row>
    <row r="311" spans="1:7">
      <c r="A311" s="3269" t="s">
        <v>306</v>
      </c>
      <c r="B311" s="3258" t="s">
        <v>3001</v>
      </c>
      <c r="C311" s="3259">
        <v>0.13200000000000001</v>
      </c>
      <c r="D311" s="3259">
        <v>0.13300000000000001</v>
      </c>
      <c r="E311" s="3259">
        <v>0.14499999999999999</v>
      </c>
      <c r="F311" s="3259">
        <v>0.14199999999999999</v>
      </c>
      <c r="G311" s="3260">
        <v>0.14000000000000001</v>
      </c>
    </row>
    <row r="312" spans="1:7">
      <c r="A312" s="3269" t="s">
        <v>306</v>
      </c>
      <c r="B312" s="3258" t="s">
        <v>3006</v>
      </c>
      <c r="C312" s="3259">
        <v>0.13800000000000001</v>
      </c>
      <c r="D312" s="3259">
        <v>0.14000000000000001</v>
      </c>
      <c r="E312" s="3259">
        <v>0.14599999999999999</v>
      </c>
      <c r="F312" s="3259">
        <v>0.14899999999999999</v>
      </c>
      <c r="G312" s="3260">
        <v>0.14199999999999999</v>
      </c>
    </row>
    <row r="313" spans="1:7">
      <c r="A313" s="3269" t="s">
        <v>306</v>
      </c>
      <c r="B313" s="3258" t="s">
        <v>3011</v>
      </c>
      <c r="C313" s="3259">
        <v>0.125</v>
      </c>
      <c r="D313" s="3259">
        <v>0.127</v>
      </c>
      <c r="E313" s="3259">
        <v>0.14399999999999999</v>
      </c>
      <c r="F313" s="3259">
        <v>0.115</v>
      </c>
      <c r="G313" s="3260">
        <v>0.13600000000000001</v>
      </c>
    </row>
    <row r="314" spans="1:7">
      <c r="A314" s="3269" t="s">
        <v>306</v>
      </c>
      <c r="B314" s="3258" t="s">
        <v>3220</v>
      </c>
      <c r="C314" s="3275"/>
      <c r="D314" s="3275"/>
      <c r="E314" s="3275"/>
      <c r="F314" s="3259">
        <v>0.05</v>
      </c>
      <c r="G314" s="3276"/>
    </row>
    <row r="315" spans="1:7">
      <c r="A315" s="3269" t="s">
        <v>306</v>
      </c>
      <c r="B315" s="3258" t="s">
        <v>3221</v>
      </c>
      <c r="C315" s="3275"/>
      <c r="D315" s="3275"/>
      <c r="E315" s="3275"/>
      <c r="F315" s="3259">
        <v>0.05</v>
      </c>
      <c r="G315" s="3276"/>
    </row>
    <row r="316" spans="1:7">
      <c r="A316" s="3269" t="s">
        <v>306</v>
      </c>
      <c r="B316" s="3258" t="s">
        <v>3222</v>
      </c>
      <c r="C316" s="3270"/>
      <c r="D316" s="3270"/>
      <c r="E316" s="3270"/>
      <c r="F316" s="3259">
        <v>0.05</v>
      </c>
      <c r="G316" s="3276"/>
    </row>
    <row r="317" spans="1:7">
      <c r="A317" s="3269" t="s">
        <v>306</v>
      </c>
      <c r="B317" s="3258" t="s">
        <v>3223</v>
      </c>
      <c r="C317" s="3270"/>
      <c r="D317" s="3270"/>
      <c r="E317" s="3270"/>
      <c r="F317" s="3259">
        <v>0.05</v>
      </c>
      <c r="G317" s="3276"/>
    </row>
    <row r="318" spans="1:7">
      <c r="A318" s="3269" t="s">
        <v>306</v>
      </c>
      <c r="B318" s="3258" t="s">
        <v>3224</v>
      </c>
      <c r="C318" s="3270"/>
      <c r="D318" s="3270"/>
      <c r="E318" s="3270"/>
      <c r="F318" s="3259">
        <v>0.05</v>
      </c>
      <c r="G318" s="3276"/>
    </row>
    <row r="319" spans="1:7">
      <c r="A319" s="3269" t="s">
        <v>306</v>
      </c>
      <c r="B319" s="3258" t="s">
        <v>3225</v>
      </c>
      <c r="C319" s="3270"/>
      <c r="D319" s="3270"/>
      <c r="E319" s="3270"/>
      <c r="F319" s="3259">
        <v>0.05</v>
      </c>
      <c r="G319" s="3276"/>
    </row>
    <row r="320" spans="1:7">
      <c r="A320" s="3269" t="s">
        <v>306</v>
      </c>
      <c r="B320" s="3258" t="s">
        <v>3226</v>
      </c>
      <c r="C320" s="3270"/>
      <c r="D320" s="3270"/>
      <c r="E320" s="3270"/>
      <c r="F320" s="3259">
        <v>0.05</v>
      </c>
      <c r="G320" s="3276"/>
    </row>
    <row r="321" spans="1:7">
      <c r="A321" s="3269" t="s">
        <v>306</v>
      </c>
      <c r="B321" s="3258" t="s">
        <v>3227</v>
      </c>
      <c r="C321" s="3270"/>
      <c r="D321" s="3270"/>
      <c r="E321" s="3270"/>
      <c r="F321" s="3259">
        <v>0.05</v>
      </c>
      <c r="G321" s="3276"/>
    </row>
    <row r="322" spans="1:7">
      <c r="A322" s="3269" t="s">
        <v>306</v>
      </c>
      <c r="B322" s="3258" t="s">
        <v>3228</v>
      </c>
      <c r="C322" s="3270"/>
      <c r="D322" s="3270"/>
      <c r="E322" s="3270"/>
      <c r="F322" s="3259">
        <v>0.05</v>
      </c>
      <c r="G322" s="3276"/>
    </row>
    <row r="323" spans="1:7">
      <c r="A323" s="3269" t="s">
        <v>306</v>
      </c>
      <c r="B323" s="3258" t="s">
        <v>3229</v>
      </c>
      <c r="C323" s="3270"/>
      <c r="D323" s="3270"/>
      <c r="E323" s="3270"/>
      <c r="F323" s="3259">
        <v>0.05</v>
      </c>
      <c r="G323" s="3276"/>
    </row>
    <row r="324" spans="1:7">
      <c r="A324" s="3269" t="s">
        <v>306</v>
      </c>
      <c r="B324" s="3258" t="s">
        <v>3230</v>
      </c>
      <c r="C324" s="3270"/>
      <c r="D324" s="3270"/>
      <c r="E324" s="3270"/>
      <c r="F324" s="3259">
        <v>0.05</v>
      </c>
      <c r="G324" s="3276"/>
    </row>
    <row r="325" spans="1:7">
      <c r="A325" s="3269" t="s">
        <v>306</v>
      </c>
      <c r="B325" s="3258" t="s">
        <v>3231</v>
      </c>
      <c r="C325" s="3270"/>
      <c r="D325" s="3270"/>
      <c r="E325" s="3270"/>
      <c r="F325" s="3259">
        <v>0.05</v>
      </c>
      <c r="G325" s="3276"/>
    </row>
    <row r="326" spans="1:7" ht="14.25" thickBot="1">
      <c r="A326" s="3272" t="s">
        <v>306</v>
      </c>
      <c r="B326" s="3262" t="s">
        <v>3232</v>
      </c>
      <c r="C326" s="3264"/>
      <c r="D326" s="3264"/>
      <c r="E326" s="3264"/>
      <c r="F326" s="3263">
        <v>0.05</v>
      </c>
      <c r="G326" s="3277"/>
    </row>
    <row r="327" spans="1:7">
      <c r="A327" s="3268" t="s">
        <v>307</v>
      </c>
      <c r="B327" s="3254" t="s">
        <v>2864</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2876</v>
      </c>
      <c r="C329" s="3259">
        <v>0.15</v>
      </c>
      <c r="D329" s="3259">
        <v>0.15</v>
      </c>
      <c r="E329" s="3259">
        <v>0.15</v>
      </c>
      <c r="F329" s="3259">
        <v>0.15</v>
      </c>
      <c r="G329" s="3260">
        <v>0.15</v>
      </c>
    </row>
    <row r="330" spans="1:7">
      <c r="A330" s="3269" t="s">
        <v>307</v>
      </c>
      <c r="B330" s="3258" t="s">
        <v>2880</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2888</v>
      </c>
      <c r="C332" s="3259">
        <v>0.15</v>
      </c>
      <c r="D332" s="3259">
        <v>0.15</v>
      </c>
      <c r="E332" s="3259">
        <v>0.15</v>
      </c>
      <c r="F332" s="3259">
        <v>0.15</v>
      </c>
      <c r="G332" s="3260">
        <v>0.15</v>
      </c>
    </row>
    <row r="333" spans="1:7">
      <c r="A333" s="3269" t="s">
        <v>307</v>
      </c>
      <c r="B333" s="3258" t="s">
        <v>2892</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2898</v>
      </c>
      <c r="C336" s="3259">
        <v>0.15</v>
      </c>
      <c r="D336" s="3259">
        <v>0.15</v>
      </c>
      <c r="E336" s="3259">
        <v>0.15</v>
      </c>
      <c r="F336" s="3259">
        <v>0.14199999999999999</v>
      </c>
      <c r="G336" s="3260">
        <v>0.15</v>
      </c>
    </row>
    <row r="337" spans="1:7">
      <c r="A337" s="3269" t="s">
        <v>307</v>
      </c>
      <c r="B337" s="3258" t="s">
        <v>2903</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2910</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2915</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2923</v>
      </c>
      <c r="C345" s="3259">
        <v>0.15</v>
      </c>
      <c r="D345" s="3259">
        <v>0.15</v>
      </c>
      <c r="E345" s="3259">
        <v>0.15</v>
      </c>
      <c r="F345" s="3259">
        <v>0.13800000000000001</v>
      </c>
      <c r="G345" s="3260">
        <v>0.15</v>
      </c>
    </row>
    <row r="346" spans="1:7">
      <c r="A346" s="3269" t="s">
        <v>307</v>
      </c>
      <c r="B346" s="3258" t="s">
        <v>2925</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2932</v>
      </c>
      <c r="C348" s="3259">
        <v>0.15</v>
      </c>
      <c r="D348" s="3259">
        <v>0.15</v>
      </c>
      <c r="E348" s="3259">
        <v>0.15</v>
      </c>
      <c r="F348" s="3259">
        <v>0.14399999999999999</v>
      </c>
      <c r="G348" s="3260">
        <v>0.15</v>
      </c>
    </row>
    <row r="349" spans="1:7">
      <c r="A349" s="3269" t="s">
        <v>307</v>
      </c>
      <c r="B349" s="3258" t="s">
        <v>2937</v>
      </c>
      <c r="C349" s="3259">
        <v>0.15</v>
      </c>
      <c r="D349" s="3259">
        <v>0.15</v>
      </c>
      <c r="E349" s="3259">
        <v>0.15</v>
      </c>
      <c r="F349" s="3259">
        <v>0.15</v>
      </c>
      <c r="G349" s="3260">
        <v>0.15</v>
      </c>
    </row>
    <row r="350" spans="1:7">
      <c r="A350" s="3269" t="s">
        <v>307</v>
      </c>
      <c r="B350" s="3258" t="s">
        <v>2940</v>
      </c>
      <c r="C350" s="3259">
        <v>0.15</v>
      </c>
      <c r="D350" s="3259">
        <v>0.15</v>
      </c>
      <c r="E350" s="3259">
        <v>0.15</v>
      </c>
      <c r="F350" s="3259">
        <v>0.14699999999999999</v>
      </c>
      <c r="G350" s="3260">
        <v>0.15</v>
      </c>
    </row>
    <row r="351" spans="1:7">
      <c r="A351" s="3269" t="s">
        <v>307</v>
      </c>
      <c r="B351" s="3258" t="s">
        <v>2945</v>
      </c>
      <c r="C351" s="3259">
        <v>0.15</v>
      </c>
      <c r="D351" s="3259">
        <v>0.15</v>
      </c>
      <c r="E351" s="3259">
        <v>0.15</v>
      </c>
      <c r="F351" s="3259">
        <v>0.13</v>
      </c>
      <c r="G351" s="3260">
        <v>0.15</v>
      </c>
    </row>
    <row r="352" spans="1:7">
      <c r="A352" s="3269" t="s">
        <v>307</v>
      </c>
      <c r="B352" s="3258" t="s">
        <v>2950</v>
      </c>
      <c r="C352" s="3259">
        <v>0.15</v>
      </c>
      <c r="D352" s="3259">
        <v>0.15</v>
      </c>
      <c r="E352" s="3259">
        <v>0.15</v>
      </c>
      <c r="F352" s="3259">
        <v>0.14599999999999999</v>
      </c>
      <c r="G352" s="3260">
        <v>0.15</v>
      </c>
    </row>
    <row r="353" spans="1:7">
      <c r="A353" s="3269" t="s">
        <v>307</v>
      </c>
      <c r="B353" s="3258" t="s">
        <v>2957</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2970</v>
      </c>
      <c r="C355" s="3259">
        <v>0.15</v>
      </c>
      <c r="D355" s="3259">
        <v>0.15</v>
      </c>
      <c r="E355" s="3259">
        <v>0.15</v>
      </c>
      <c r="F355" s="3259">
        <v>0.15</v>
      </c>
      <c r="G355" s="3260">
        <v>0.15</v>
      </c>
    </row>
    <row r="356" spans="1:7">
      <c r="A356" s="3269" t="s">
        <v>307</v>
      </c>
      <c r="B356" s="3258" t="s">
        <v>2977</v>
      </c>
      <c r="C356" s="3259">
        <v>0.15</v>
      </c>
      <c r="D356" s="3259">
        <v>0.15</v>
      </c>
      <c r="E356" s="3259">
        <v>0.15</v>
      </c>
      <c r="F356" s="3259">
        <v>0.15</v>
      </c>
      <c r="G356" s="3260">
        <v>0.15</v>
      </c>
    </row>
    <row r="357" spans="1:7" ht="14.25" thickBot="1">
      <c r="A357" s="3272" t="s">
        <v>307</v>
      </c>
      <c r="B357" s="3262" t="s">
        <v>2982</v>
      </c>
      <c r="C357" s="3263">
        <v>0.126</v>
      </c>
      <c r="D357" s="3263">
        <v>0.127</v>
      </c>
      <c r="E357" s="3263">
        <v>0.14299999999999999</v>
      </c>
      <c r="F357" s="3263">
        <v>0.125</v>
      </c>
      <c r="G357" s="3265">
        <v>0.129</v>
      </c>
    </row>
    <row r="358" spans="1:7">
      <c r="A358" s="3268" t="s">
        <v>2851</v>
      </c>
      <c r="B358" s="3254" t="s">
        <v>2865</v>
      </c>
      <c r="C358" s="3255">
        <v>0.15</v>
      </c>
      <c r="D358" s="3255">
        <v>0.15</v>
      </c>
      <c r="E358" s="3255">
        <v>0.15</v>
      </c>
      <c r="F358" s="3255">
        <v>0.15</v>
      </c>
      <c r="G358" s="3256">
        <v>0.15</v>
      </c>
    </row>
    <row r="359" spans="1:7">
      <c r="A359" s="3269" t="s">
        <v>2851</v>
      </c>
      <c r="B359" s="3258" t="s">
        <v>2871</v>
      </c>
      <c r="C359" s="3259">
        <v>0.1</v>
      </c>
      <c r="D359" s="3259">
        <v>0.1</v>
      </c>
      <c r="E359" s="3259">
        <v>0.1</v>
      </c>
      <c r="F359" s="3259">
        <v>0.1</v>
      </c>
      <c r="G359" s="3260">
        <v>0.1</v>
      </c>
    </row>
    <row r="360" spans="1:7">
      <c r="A360" s="3269" t="s">
        <v>2851</v>
      </c>
      <c r="B360" s="3258" t="s">
        <v>2877</v>
      </c>
      <c r="C360" s="3259">
        <v>0.15</v>
      </c>
      <c r="D360" s="3259">
        <v>0.15</v>
      </c>
      <c r="E360" s="3259">
        <v>0.15</v>
      </c>
      <c r="F360" s="3259">
        <v>0.14899999999999999</v>
      </c>
      <c r="G360" s="3260">
        <v>0.15</v>
      </c>
    </row>
    <row r="361" spans="1:7">
      <c r="A361" s="3269" t="s">
        <v>2851</v>
      </c>
      <c r="B361" s="3258" t="s">
        <v>153</v>
      </c>
      <c r="C361" s="3259">
        <v>0.15</v>
      </c>
      <c r="D361" s="3259">
        <v>0.15</v>
      </c>
      <c r="E361" s="3259">
        <v>0.15</v>
      </c>
      <c r="F361" s="3259">
        <v>0.115</v>
      </c>
      <c r="G361" s="3260">
        <v>0.15</v>
      </c>
    </row>
    <row r="362" spans="1:7">
      <c r="A362" s="3269" t="s">
        <v>2851</v>
      </c>
      <c r="B362" s="3258" t="s">
        <v>2884</v>
      </c>
      <c r="C362" s="3259">
        <v>0.15</v>
      </c>
      <c r="D362" s="3259">
        <v>0.15</v>
      </c>
      <c r="E362" s="3259">
        <v>0.15</v>
      </c>
      <c r="F362" s="3259">
        <v>0.106</v>
      </c>
      <c r="G362" s="3260">
        <v>0.15</v>
      </c>
    </row>
    <row r="363" spans="1:7">
      <c r="A363" s="3269" t="s">
        <v>2851</v>
      </c>
      <c r="B363" s="3258" t="s">
        <v>2889</v>
      </c>
      <c r="C363" s="3259">
        <v>0.15</v>
      </c>
      <c r="D363" s="3259">
        <v>0.15</v>
      </c>
      <c r="E363" s="3259">
        <v>0.15</v>
      </c>
      <c r="F363" s="3259">
        <v>0.14699999999999999</v>
      </c>
      <c r="G363" s="3260">
        <v>0.15</v>
      </c>
    </row>
    <row r="364" spans="1:7">
      <c r="A364" s="3269" t="s">
        <v>2851</v>
      </c>
      <c r="B364" s="3258" t="s">
        <v>2893</v>
      </c>
      <c r="C364" s="3259">
        <v>0.15</v>
      </c>
      <c r="D364" s="3259">
        <v>0.15</v>
      </c>
      <c r="E364" s="3259">
        <v>0.15</v>
      </c>
      <c r="F364" s="3259">
        <v>0.14799999999999999</v>
      </c>
      <c r="G364" s="3260">
        <v>0.15</v>
      </c>
    </row>
    <row r="365" spans="1:7">
      <c r="A365" s="3269" t="s">
        <v>2851</v>
      </c>
      <c r="B365" s="3258" t="s">
        <v>200</v>
      </c>
      <c r="C365" s="3259">
        <v>0.15</v>
      </c>
      <c r="D365" s="3259">
        <v>0.15</v>
      </c>
      <c r="E365" s="3259">
        <v>0.15</v>
      </c>
      <c r="F365" s="3259">
        <v>0.15</v>
      </c>
      <c r="G365" s="3260">
        <v>0.15</v>
      </c>
    </row>
    <row r="366" spans="1:7">
      <c r="A366" s="3269" t="s">
        <v>2851</v>
      </c>
      <c r="B366" s="3258" t="s">
        <v>2896</v>
      </c>
      <c r="C366" s="3259">
        <v>0.15</v>
      </c>
      <c r="D366" s="3259">
        <v>0.15</v>
      </c>
      <c r="E366" s="3259">
        <v>0.15</v>
      </c>
      <c r="F366" s="3259">
        <v>0.15</v>
      </c>
      <c r="G366" s="3260">
        <v>0.15</v>
      </c>
    </row>
    <row r="367" spans="1:7">
      <c r="A367" s="3269" t="s">
        <v>2851</v>
      </c>
      <c r="B367" s="3258" t="s">
        <v>2899</v>
      </c>
      <c r="C367" s="3259">
        <v>0.15</v>
      </c>
      <c r="D367" s="3259">
        <v>0.15</v>
      </c>
      <c r="E367" s="3259">
        <v>0.15</v>
      </c>
      <c r="F367" s="3259">
        <v>0.14699999999999999</v>
      </c>
      <c r="G367" s="3260">
        <v>0.15</v>
      </c>
    </row>
    <row r="368" spans="1:7">
      <c r="A368" s="3269" t="s">
        <v>2851</v>
      </c>
      <c r="B368" s="3258" t="s">
        <v>2904</v>
      </c>
      <c r="C368" s="3259">
        <v>0.15</v>
      </c>
      <c r="D368" s="3259">
        <v>0.15</v>
      </c>
      <c r="E368" s="3259">
        <v>0.15</v>
      </c>
      <c r="F368" s="3259">
        <v>0.13600000000000001</v>
      </c>
      <c r="G368" s="3260">
        <v>0.15</v>
      </c>
    </row>
    <row r="369" spans="1:7">
      <c r="A369" s="3269" t="s">
        <v>2851</v>
      </c>
      <c r="B369" s="3258" t="s">
        <v>214</v>
      </c>
      <c r="C369" s="3259">
        <v>0.15</v>
      </c>
      <c r="D369" s="3259">
        <v>0.15</v>
      </c>
      <c r="E369" s="3259">
        <v>0.15</v>
      </c>
      <c r="F369" s="3259">
        <v>0.14399999999999999</v>
      </c>
      <c r="G369" s="3260">
        <v>0.15</v>
      </c>
    </row>
    <row r="370" spans="1:7">
      <c r="A370" s="3269" t="s">
        <v>2851</v>
      </c>
      <c r="B370" s="3258" t="s">
        <v>221</v>
      </c>
      <c r="C370" s="3259">
        <v>0.15</v>
      </c>
      <c r="D370" s="3259">
        <v>0.15</v>
      </c>
      <c r="E370" s="3259">
        <v>0.15</v>
      </c>
      <c r="F370" s="3259">
        <v>0.14599999999999999</v>
      </c>
      <c r="G370" s="3260">
        <v>0.15</v>
      </c>
    </row>
    <row r="371" spans="1:7">
      <c r="A371" s="3269" t="s">
        <v>2851</v>
      </c>
      <c r="B371" s="3258" t="s">
        <v>229</v>
      </c>
      <c r="C371" s="3259">
        <v>0.15</v>
      </c>
      <c r="D371" s="3259">
        <v>0.15</v>
      </c>
      <c r="E371" s="3259">
        <v>0.15</v>
      </c>
      <c r="F371" s="3259">
        <v>0.12</v>
      </c>
      <c r="G371" s="3260">
        <v>0.15</v>
      </c>
    </row>
    <row r="372" spans="1:7">
      <c r="A372" s="3269" t="s">
        <v>2851</v>
      </c>
      <c r="B372" s="3258" t="s">
        <v>2912</v>
      </c>
      <c r="C372" s="3259">
        <v>0.15</v>
      </c>
      <c r="D372" s="3259">
        <v>0.15</v>
      </c>
      <c r="E372" s="3259">
        <v>0.15</v>
      </c>
      <c r="F372" s="3259">
        <v>0.14299999999999999</v>
      </c>
      <c r="G372" s="3260">
        <v>0.15</v>
      </c>
    </row>
    <row r="373" spans="1:7">
      <c r="A373" s="3269" t="s">
        <v>2851</v>
      </c>
      <c r="B373" s="3258" t="s">
        <v>258</v>
      </c>
      <c r="C373" s="3259">
        <v>0.15</v>
      </c>
      <c r="D373" s="3259">
        <v>0.15</v>
      </c>
      <c r="E373" s="3259">
        <v>0.15</v>
      </c>
      <c r="F373" s="3259">
        <v>0.14599999999999999</v>
      </c>
      <c r="G373" s="3260">
        <v>0.15</v>
      </c>
    </row>
    <row r="374" spans="1:7">
      <c r="A374" s="3269" t="s">
        <v>2851</v>
      </c>
      <c r="B374" s="3258" t="s">
        <v>266</v>
      </c>
      <c r="C374" s="3259">
        <v>0.15</v>
      </c>
      <c r="D374" s="3259">
        <v>0.15</v>
      </c>
      <c r="E374" s="3259">
        <v>0.15</v>
      </c>
      <c r="F374" s="3259">
        <v>0.14399999999999999</v>
      </c>
      <c r="G374" s="3260">
        <v>0.15</v>
      </c>
    </row>
    <row r="375" spans="1:7">
      <c r="A375" s="3269" t="s">
        <v>2851</v>
      </c>
      <c r="B375" s="3258" t="s">
        <v>2920</v>
      </c>
      <c r="C375" s="3259">
        <v>0.15</v>
      </c>
      <c r="D375" s="3259">
        <v>0.15</v>
      </c>
      <c r="E375" s="3259">
        <v>0.15</v>
      </c>
      <c r="F375" s="3259">
        <v>0.13</v>
      </c>
      <c r="G375" s="3260">
        <v>0.15</v>
      </c>
    </row>
    <row r="376" spans="1:7">
      <c r="A376" s="3269" t="s">
        <v>2851</v>
      </c>
      <c r="B376" s="3258" t="s">
        <v>277</v>
      </c>
      <c r="C376" s="3259">
        <v>0.15</v>
      </c>
      <c r="D376" s="3259">
        <v>0.15</v>
      </c>
      <c r="E376" s="3259">
        <v>0.15</v>
      </c>
      <c r="F376" s="3259">
        <v>0.14199999999999999</v>
      </c>
      <c r="G376" s="3260">
        <v>0.15</v>
      </c>
    </row>
    <row r="377" spans="1:7" ht="14.25" thickBot="1">
      <c r="A377" s="3272" t="s">
        <v>2851</v>
      </c>
      <c r="B377" s="3262" t="s">
        <v>2926</v>
      </c>
      <c r="C377" s="3263">
        <v>0.15</v>
      </c>
      <c r="D377" s="3263">
        <v>0.15</v>
      </c>
      <c r="E377" s="3263">
        <v>0.15</v>
      </c>
      <c r="F377" s="3263">
        <v>0.14000000000000001</v>
      </c>
      <c r="G377" s="3265">
        <v>0.15</v>
      </c>
    </row>
    <row r="378" spans="1:7">
      <c r="A378" s="3268" t="s">
        <v>2852</v>
      </c>
      <c r="B378" s="3254" t="s">
        <v>2866</v>
      </c>
      <c r="C378" s="3255">
        <v>0.15</v>
      </c>
      <c r="D378" s="3255">
        <v>0.15</v>
      </c>
      <c r="E378" s="3255">
        <v>0.15</v>
      </c>
      <c r="F378" s="3255">
        <v>0.107</v>
      </c>
      <c r="G378" s="3256">
        <v>0.15</v>
      </c>
    </row>
    <row r="379" spans="1:7">
      <c r="A379" s="3269" t="s">
        <v>2852</v>
      </c>
      <c r="B379" s="3258" t="s">
        <v>2872</v>
      </c>
      <c r="C379" s="3259">
        <v>0.15</v>
      </c>
      <c r="D379" s="3259">
        <v>0.15</v>
      </c>
      <c r="E379" s="3259">
        <v>0.15</v>
      </c>
      <c r="F379" s="3259">
        <v>0.115</v>
      </c>
      <c r="G379" s="3260">
        <v>0.14899999999999999</v>
      </c>
    </row>
    <row r="380" spans="1:7">
      <c r="A380" s="3269" t="s">
        <v>2852</v>
      </c>
      <c r="B380" s="3258" t="s">
        <v>2878</v>
      </c>
      <c r="C380" s="3259">
        <v>0.15</v>
      </c>
      <c r="D380" s="3259">
        <v>0.15</v>
      </c>
      <c r="E380" s="3259">
        <v>0.15</v>
      </c>
      <c r="F380" s="3259">
        <v>0.1</v>
      </c>
      <c r="G380" s="3260">
        <v>0.14799999999999999</v>
      </c>
    </row>
    <row r="381" spans="1:7">
      <c r="A381" s="3269" t="s">
        <v>2852</v>
      </c>
      <c r="B381" s="3258" t="s">
        <v>2881</v>
      </c>
      <c r="C381" s="3259">
        <v>0.15</v>
      </c>
      <c r="D381" s="3259">
        <v>0.15</v>
      </c>
      <c r="E381" s="3259">
        <v>0.15</v>
      </c>
      <c r="F381" s="3259">
        <v>0.126</v>
      </c>
      <c r="G381" s="3260">
        <v>0.15</v>
      </c>
    </row>
    <row r="382" spans="1:7">
      <c r="A382" s="3269" t="s">
        <v>2852</v>
      </c>
      <c r="B382" s="3258" t="s">
        <v>2885</v>
      </c>
      <c r="C382" s="3259">
        <v>0.15</v>
      </c>
      <c r="D382" s="3259">
        <v>0.15</v>
      </c>
      <c r="E382" s="3259">
        <v>0.15</v>
      </c>
      <c r="F382" s="3259">
        <v>0.15</v>
      </c>
      <c r="G382" s="3260">
        <v>0.15</v>
      </c>
    </row>
    <row r="383" spans="1:7">
      <c r="A383" s="3269" t="s">
        <v>2852</v>
      </c>
      <c r="B383" s="3258" t="s">
        <v>2890</v>
      </c>
      <c r="C383" s="3259">
        <v>0.15</v>
      </c>
      <c r="D383" s="3259">
        <v>0.15</v>
      </c>
      <c r="E383" s="3259">
        <v>0.15</v>
      </c>
      <c r="F383" s="3259">
        <v>0.14699999999999999</v>
      </c>
      <c r="G383" s="3260">
        <v>0.15</v>
      </c>
    </row>
    <row r="384" spans="1:7" ht="14.25" thickBot="1">
      <c r="A384" s="3279" t="s">
        <v>2852</v>
      </c>
      <c r="B384" s="3280" t="s">
        <v>2894</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972" t="s">
        <v>3233</v>
      </c>
      <c r="B1" s="3972"/>
      <c r="C1" s="3972"/>
      <c r="D1" s="3972"/>
      <c r="E1" s="3972"/>
      <c r="F1" s="3973"/>
    </row>
    <row r="2" spans="1:6">
      <c r="A2" s="3285" t="s">
        <v>3234</v>
      </c>
      <c r="B2" s="3286"/>
      <c r="C2" s="3286"/>
      <c r="D2" s="3286"/>
      <c r="E2" s="3286"/>
      <c r="F2" s="3286"/>
    </row>
    <row r="3" spans="1:6">
      <c r="A3" s="3285" t="s">
        <v>3235</v>
      </c>
      <c r="B3" s="3286"/>
      <c r="C3" s="3286"/>
      <c r="D3" s="3286"/>
      <c r="E3" s="3286"/>
      <c r="F3" s="3287" t="s">
        <v>3236</v>
      </c>
    </row>
    <row r="4" spans="1:6">
      <c r="A4" s="3288" t="s">
        <v>672</v>
      </c>
      <c r="B4" s="3288" t="s">
        <v>673</v>
      </c>
      <c r="C4" s="3288" t="s">
        <v>21</v>
      </c>
      <c r="D4" s="3288" t="s">
        <v>674</v>
      </c>
      <c r="E4" s="3288" t="s">
        <v>3</v>
      </c>
      <c r="F4" s="3288" t="s">
        <v>3237</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J35" sqref="J35"/>
    </sheetView>
  </sheetViews>
  <sheetFormatPr defaultRowHeight="13.5"/>
  <cols>
    <col min="1" max="1" width="13.875" customWidth="1"/>
  </cols>
  <sheetData>
    <row r="1" spans="1:30">
      <c r="A1" s="3215">
        <f>基准地价修正!G23</f>
        <v>44971</v>
      </c>
      <c r="B1" s="3204" t="s">
        <v>2839</v>
      </c>
      <c r="C1" s="3205"/>
      <c r="D1" s="3205"/>
      <c r="E1" s="3205"/>
      <c r="F1" s="3205"/>
      <c r="G1" s="3205"/>
      <c r="H1" s="3205"/>
      <c r="I1" s="3205"/>
      <c r="J1" s="3158"/>
      <c r="K1" s="3205" t="s">
        <v>454</v>
      </c>
      <c r="L1" s="3205"/>
      <c r="M1" s="3205"/>
      <c r="N1" s="3205"/>
      <c r="O1" s="3205"/>
      <c r="P1" s="3205"/>
      <c r="Q1" s="3158"/>
      <c r="R1" s="3974" t="s">
        <v>456</v>
      </c>
      <c r="S1" s="3975"/>
      <c r="T1" s="3975"/>
      <c r="U1" s="3975"/>
      <c r="V1" s="3975"/>
      <c r="W1" s="3975"/>
      <c r="X1" s="3158"/>
      <c r="Y1" s="3974" t="s">
        <v>457</v>
      </c>
      <c r="Z1" s="3975"/>
      <c r="AA1" s="3975"/>
      <c r="AB1" s="3975"/>
      <c r="AC1" s="3975"/>
      <c r="AD1" s="3975"/>
    </row>
    <row r="2" spans="1:30" s="3136" customFormat="1" ht="14.25" thickBot="1">
      <c r="B2" s="3137"/>
      <c r="C2" s="3138"/>
      <c r="D2" s="3139" t="s">
        <v>2805</v>
      </c>
      <c r="E2" s="3140" t="s">
        <v>2806</v>
      </c>
      <c r="F2" s="3140" t="s">
        <v>2807</v>
      </c>
      <c r="G2" s="3140" t="s">
        <v>2808</v>
      </c>
      <c r="H2" s="3140" t="s">
        <v>2809</v>
      </c>
      <c r="I2" s="3140" t="s">
        <v>2626</v>
      </c>
      <c r="J2" s="3141"/>
      <c r="K2" s="3139" t="s">
        <v>2805</v>
      </c>
      <c r="L2" s="3140" t="s">
        <v>2806</v>
      </c>
      <c r="M2" s="3140" t="s">
        <v>2807</v>
      </c>
      <c r="N2" s="3140" t="s">
        <v>2808</v>
      </c>
      <c r="O2" s="3140" t="s">
        <v>2810</v>
      </c>
      <c r="P2" s="3140" t="s">
        <v>2626</v>
      </c>
      <c r="Q2" s="3141"/>
      <c r="R2" s="3139" t="s">
        <v>2805</v>
      </c>
      <c r="S2" s="3140" t="s">
        <v>2806</v>
      </c>
      <c r="T2" s="3140" t="s">
        <v>2807</v>
      </c>
      <c r="U2" s="3140" t="s">
        <v>2811</v>
      </c>
      <c r="V2" s="3140" t="s">
        <v>2812</v>
      </c>
      <c r="W2" s="3140" t="s">
        <v>2626</v>
      </c>
      <c r="X2" s="3141"/>
      <c r="Y2" s="3139" t="s">
        <v>2805</v>
      </c>
      <c r="Z2" s="3140" t="s">
        <v>2806</v>
      </c>
      <c r="AA2" s="3140" t="s">
        <v>2807</v>
      </c>
      <c r="AB2" s="3140" t="s">
        <v>2813</v>
      </c>
      <c r="AC2" s="3140" t="s">
        <v>2812</v>
      </c>
      <c r="AD2" s="3140" t="s">
        <v>2626</v>
      </c>
    </row>
    <row r="3" spans="1:30" s="3154" customFormat="1" ht="12.75">
      <c r="A3" s="3142" t="s">
        <v>2814</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2815</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ROUND(IF([5]项目基本情况!B8="出让",SUMPRODUCT(PRODUCT(1+K5:K13)),SUMPRODUCT(PRODUCT(1+K5:K12))),4)</f>
        <v>1.05</v>
      </c>
      <c r="S5" s="3176">
        <f>ROUND(IF([5]项目基本情况!B8="出让",SUMPRODUCT(PRODUCT(1+L5:L13)),SUMPRODUCT(PRODUCT(1+L5:L12))),4)</f>
        <v>1.0229999999999999</v>
      </c>
      <c r="T5" s="3176">
        <f>ROUND(IF([5]项目基本情况!B8="出让",SUMPRODUCT(PRODUCT(1+M5:M13)),SUMPRODUCT(PRODUCT(1+M5:M12))),4)</f>
        <v>1.0134000000000001</v>
      </c>
      <c r="U5" s="3176">
        <f>ROUND(IF([5]项目基本情况!B8="出让",SUMPRODUCT(PRODUCT(1+N5:N13)),SUMPRODUCT(PRODUCT(1+N5:N12))),4)</f>
        <v>1.0545</v>
      </c>
      <c r="V5" s="3176">
        <f>ROUND(IF([5]项目基本情况!B8="出让",SUMPRODUCT(PRODUCT(1+O5:O13)),SUMPRODUCT(PRODUCT(1+O5:O12))),4)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2816</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ROUND(IF([5]项目基本情况!B8="出让",SUMPRODUCT(PRODUCT(1+K6:K13)),SUMPRODUCT(PRODUCT(1+K6:K12))),4)</f>
        <v>1.05</v>
      </c>
      <c r="S6" s="3176">
        <f>ROUND(IF([5]项目基本情况!B8="出让",SUMPRODUCT(PRODUCT(1+L6:L13)),SUMPRODUCT(PRODUCT(1+L6:L12))),4)</f>
        <v>1.0229999999999999</v>
      </c>
      <c r="T6" s="3176">
        <f>ROUND(IF([5]项目基本情况!B8="出让",SUMPRODUCT(PRODUCT(1+M6:M13)),SUMPRODUCT(PRODUCT(1+M6:M12))),4)</f>
        <v>1.0134000000000001</v>
      </c>
      <c r="U6" s="3176">
        <f>ROUND(IF([5]项目基本情况!B8="出让",SUMPRODUCT(PRODUCT(1+N6:N13)),SUMPRODUCT(PRODUCT(1+N6:N12))),4)</f>
        <v>1.0545</v>
      </c>
      <c r="V6" s="3176">
        <f>ROUND(IF([5]项目基本情况!B8="出让",SUMPRODUCT(PRODUCT(1+O6:O13)),SUMPRODUCT(PRODUCT(1+O6:O12))),4)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3356</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ROUND(IF([5]项目基本情况!B8="出让",SUMPRODUCT(PRODUCT(1+K7:K13)),SUMPRODUCT(PRODUCT(1+K7:K12))),4)</f>
        <v>1.05</v>
      </c>
      <c r="S7" s="3186">
        <f>ROUND(IF([5]项目基本情况!B8="出让",SUMPRODUCT(PRODUCT(1+L7:L13)),SUMPRODUCT(PRODUCT(1+L7:L12))),4)</f>
        <v>1.0229999999999999</v>
      </c>
      <c r="T7" s="3186">
        <f>ROUND(IF([5]项目基本情况!B8="出让",SUMPRODUCT(PRODUCT(1+M7:M13)),SUMPRODUCT(PRODUCT(1+M7:M12))),4)</f>
        <v>1.0134000000000001</v>
      </c>
      <c r="U7" s="3186">
        <f>ROUND(IF([5]项目基本情况!B8="出让",SUMPRODUCT(PRODUCT(1+N7:N13)),SUMPRODUCT(PRODUCT(1+N7:N12))),4)</f>
        <v>1.0545</v>
      </c>
      <c r="V7" s="3186">
        <f>ROUND(IF([5]项目基本情况!B8="出让",SUMPRODUCT(PRODUCT(1+O7:O13)),SUMPRODUCT(PRODUCT(1+O7:O12))),4)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3357</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ROUND(IF([5]项目基本情况!B8="出让",SUMPRODUCT(PRODUCT(1+K8:K13)),SUMPRODUCT(PRODUCT(1+K8:K12))),4)</f>
        <v>1.0430999999999999</v>
      </c>
      <c r="S8" s="3176">
        <f>ROUND(IF([5]项目基本情况!B8="出让",SUMPRODUCT(PRODUCT(1+L8:L13)),SUMPRODUCT(PRODUCT(1+L8:L12))),4)</f>
        <v>1.0197000000000001</v>
      </c>
      <c r="T8" s="3176">
        <f>ROUND(IF([5]项目基本情况!B8="出让",SUMPRODUCT(PRODUCT(1+M8:M13)),SUMPRODUCT(PRODUCT(1+M8:M12))),4)</f>
        <v>1.0109999999999999</v>
      </c>
      <c r="U8" s="3176">
        <f>ROUND(IF([5]项目基本情况!B8="出让",SUMPRODUCT(PRODUCT(1+N8:N13)),SUMPRODUCT(PRODUCT(1+N8:N12))),4)</f>
        <v>1.0468999999999999</v>
      </c>
      <c r="V8" s="3176">
        <f>ROUND(IF([5]项目基本情况!B8="出让",SUMPRODUCT(PRODUCT(1+O8:O13)),SUMPRODUCT(PRODUCT(1+O8:O12))),4)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2817</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ROUND(IF([5]项目基本情况!B8="出让",SUMPRODUCT(PRODUCT(1+K9:K13)),SUMPRODUCT(PRODUCT(1+K9:K12))),4)</f>
        <v>1.0335000000000001</v>
      </c>
      <c r="S9" s="3176">
        <f>ROUND(IF([5]项目基本情况!B8="出让",SUMPRODUCT(PRODUCT(1+L9:L13)),SUMPRODUCT(PRODUCT(1+L9:L12))),4)</f>
        <v>1.0182</v>
      </c>
      <c r="T9" s="3176">
        <f>ROUND(IF([5]项目基本情况!B8="出让",SUMPRODUCT(PRODUCT(1+M9:M13)),SUMPRODUCT(PRODUCT(1+M9:M12))),4)</f>
        <v>1.0108999999999999</v>
      </c>
      <c r="U9" s="3176">
        <f>ROUND(IF([5]项目基本情况!B8="出让",SUMPRODUCT(PRODUCT(1+N9:N13)),SUMPRODUCT(PRODUCT(1+N9:N12))),4)</f>
        <v>1.0361</v>
      </c>
      <c r="V9" s="3176">
        <f>ROUND(IF([5]项目基本情况!B8="出让",SUMPRODUCT(PRODUCT(1+O9:O13)),SUMPRODUCT(PRODUCT(1+O9:O12))),4)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2818</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ROUND(IF([5]项目基本情况!B8="出让",SUMPRODUCT(PRODUCT(1+K10:K13)),SUMPRODUCT(PRODUCT(1+K10:K12))),4)</f>
        <v>1.0244</v>
      </c>
      <c r="S10" s="3176">
        <f>ROUND(IF([5]项目基本情况!B8="出让",SUMPRODUCT(PRODUCT(1+L10:L13)),SUMPRODUCT(PRODUCT(1+L10:L12))),4)</f>
        <v>1.0138</v>
      </c>
      <c r="T10" s="3176">
        <f>ROUND(IF([5]项目基本情况!B8="出让",SUMPRODUCT(PRODUCT(1+M10:M13)),SUMPRODUCT(PRODUCT(1+M10:M12))),4)</f>
        <v>1.0072000000000001</v>
      </c>
      <c r="U10" s="3176">
        <f>ROUND(IF([5]项目基本情况!B8="出让",SUMPRODUCT(PRODUCT(1+N10:N13)),SUMPRODUCT(PRODUCT(1+N10:N12))),4)</f>
        <v>1.0262</v>
      </c>
      <c r="V10" s="3176">
        <f>ROUND(IF([5]项目基本情况!B8="出让",SUMPRODUCT(PRODUCT(1+O10:O13)),SUMPRODUCT(PRODUCT(1+O10:O12))),4)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2819</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ROUND(IF([5]项目基本情况!B8="出让",SUMPRODUCT(PRODUCT(1+K11:K13)),SUMPRODUCT(PRODUCT(1+K11:K12))),4)</f>
        <v>1.0139</v>
      </c>
      <c r="S11" s="3176">
        <f>ROUND(IF([5]项目基本情况!B8="出让",SUMPRODUCT(PRODUCT(1+L11:L13)),SUMPRODUCT(PRODUCT(1+L11:L12))),4)</f>
        <v>1.0113000000000001</v>
      </c>
      <c r="T11" s="3176">
        <f>ROUND(IF([5]项目基本情况!B8="出让",SUMPRODUCT(PRODUCT(1+M11:M13)),SUMPRODUCT(PRODUCT(1+M11:M12))),4)</f>
        <v>1.0065</v>
      </c>
      <c r="U11" s="3176">
        <f>ROUND(IF([5]项目基本情况!B8="出让",SUMPRODUCT(PRODUCT(1+N11:N13)),SUMPRODUCT(PRODUCT(1+N11:N12))),4)</f>
        <v>1.0143</v>
      </c>
      <c r="V11" s="3176">
        <f>ROUND(IF([5]项目基本情况!B8="出让",SUMPRODUCT(PRODUCT(1+O11:O13)),SUMPRODUCT(PRODUCT(1+O11:O12))),4)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2820</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ROUND(IF([5]项目基本情况!B8="出让",SUMPRODUCT(PRODUCT(1+K12:K13)),SUMPRODUCT(PRODUCT(1+K12:K12))),4)</f>
        <v>1.0092000000000001</v>
      </c>
      <c r="S12" s="3176">
        <f>ROUND(IF([5]项目基本情况!B8="出让",SUMPRODUCT(PRODUCT(1+L12:L13)),SUMPRODUCT(PRODUCT(1+L12:L12))),4)</f>
        <v>1.0072000000000001</v>
      </c>
      <c r="T12" s="3176">
        <f>ROUND(IF([5]项目基本情况!B8="出让",SUMPRODUCT(PRODUCT(1+M12:M13)),SUMPRODUCT(PRODUCT(1+M12:M12))),4)</f>
        <v>1.0041</v>
      </c>
      <c r="U12" s="3176">
        <f>ROUND(IF([5]项目基本情况!B8="出让",SUMPRODUCT(PRODUCT(1+N12:N13)),SUMPRODUCT(PRODUCT(1+N12:N12))),4)</f>
        <v>1.0095000000000001</v>
      </c>
      <c r="V12" s="3176">
        <f>ROUND(IF([5]项目基本情况!B8="出让",SUMPRODUCT(PRODUCT(1+O12:O13)),SUMPRODUCT(PRODUCT(1+O12:O12))),4)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2821</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2822</v>
      </c>
    </row>
    <row r="17" spans="1:30" s="3002" customFormat="1"/>
    <row r="18" spans="1:30" s="3203" customFormat="1" ht="12.75">
      <c r="B18" s="3204" t="s">
        <v>2823</v>
      </c>
      <c r="C18" s="3205"/>
      <c r="D18" s="3205"/>
      <c r="E18" s="3205"/>
      <c r="F18" s="3205"/>
      <c r="G18" s="3205"/>
      <c r="H18" s="3205"/>
      <c r="I18" s="3205"/>
      <c r="J18" s="3158"/>
      <c r="K18" s="3205" t="s">
        <v>2824</v>
      </c>
      <c r="L18" s="3205"/>
      <c r="M18" s="3205"/>
      <c r="N18" s="3205"/>
      <c r="O18" s="3205"/>
      <c r="P18" s="3205"/>
      <c r="Q18" s="3158"/>
      <c r="R18" s="3974" t="s">
        <v>2825</v>
      </c>
      <c r="S18" s="3975"/>
      <c r="T18" s="3975"/>
      <c r="U18" s="3975"/>
      <c r="V18" s="3975"/>
      <c r="W18" s="3975"/>
      <c r="X18" s="3158"/>
      <c r="Y18" s="3974" t="s">
        <v>2826</v>
      </c>
      <c r="Z18" s="3975"/>
      <c r="AA18" s="3975"/>
      <c r="AB18" s="3975"/>
      <c r="AC18" s="3975"/>
      <c r="AD18" s="3975"/>
    </row>
    <row r="19" spans="1:30" s="3136" customFormat="1" ht="14.25" thickBot="1">
      <c r="B19" s="3137"/>
      <c r="C19" s="3138"/>
      <c r="D19" s="3139" t="s">
        <v>2827</v>
      </c>
      <c r="E19" s="3140" t="s">
        <v>2828</v>
      </c>
      <c r="F19" s="3140" t="s">
        <v>2829</v>
      </c>
      <c r="G19" s="3140" t="s">
        <v>2830</v>
      </c>
      <c r="H19" s="3140"/>
      <c r="I19" s="3140" t="s">
        <v>2831</v>
      </c>
      <c r="J19" s="3141"/>
      <c r="K19" s="3139" t="s">
        <v>2827</v>
      </c>
      <c r="L19" s="3140" t="s">
        <v>2828</v>
      </c>
      <c r="M19" s="3140" t="s">
        <v>2829</v>
      </c>
      <c r="N19" s="3140" t="s">
        <v>2830</v>
      </c>
      <c r="O19" s="3140"/>
      <c r="P19" s="3140" t="s">
        <v>2831</v>
      </c>
      <c r="Q19" s="3141"/>
      <c r="R19" s="3139" t="s">
        <v>2827</v>
      </c>
      <c r="S19" s="3140" t="s">
        <v>2828</v>
      </c>
      <c r="T19" s="3140" t="s">
        <v>2829</v>
      </c>
      <c r="U19" s="3140" t="s">
        <v>2830</v>
      </c>
      <c r="V19" s="3140"/>
      <c r="W19" s="3140" t="s">
        <v>2831</v>
      </c>
      <c r="X19" s="3141"/>
      <c r="Y19" s="3139" t="s">
        <v>2827</v>
      </c>
      <c r="Z19" s="3140" t="s">
        <v>2828</v>
      </c>
      <c r="AA19" s="3140" t="s">
        <v>2829</v>
      </c>
      <c r="AB19" s="3140" t="s">
        <v>2830</v>
      </c>
      <c r="AC19" s="3140"/>
      <c r="AD19" s="3140" t="s">
        <v>2831</v>
      </c>
    </row>
    <row r="20" spans="1:30" s="3154" customFormat="1" ht="12.75">
      <c r="A20" s="3142" t="s">
        <v>2832</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2833</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ROUND(IF([5]项目基本情况!$B$8="出让",SUMPRODUCT(PRODUCT(1+L22:L$30)),SUMPRODUCT(PRODUCT(1+L22:L$29))),4)</f>
        <v>1.0241</v>
      </c>
      <c r="T22" s="3176">
        <f>ROUND(IF([5]项目基本情况!$B$8="出让",SUMPRODUCT(PRODUCT(1+M22:M$30)),SUMPRODUCT(PRODUCT(1+M22:M$29))),4)</f>
        <v>1.0144</v>
      </c>
      <c r="U22" s="3176">
        <f>ROUND(IF([5]项目基本情况!$B$8="出让",SUMPRODUCT(PRODUCT(1+N22:N$30)),SUMPRODUCT(PRODUCT(1+N22:N$29))),4)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2834</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ROUND(IF([5]项目基本情况!$B$8="出让",SUMPRODUCT(PRODUCT(1+L23:L$30)),SUMPRODUCT(PRODUCT(1+L23:L$29))),4)</f>
        <v>1.0241</v>
      </c>
      <c r="T23" s="3176">
        <f>ROUND(IF([5]项目基本情况!$B$8="出让",SUMPRODUCT(PRODUCT(1+M23:M$30)),SUMPRODUCT(PRODUCT(1+M23:M$29))),4)</f>
        <v>1.0144</v>
      </c>
      <c r="U23" s="3176">
        <f>ROUND(IF([5]项目基本情况!$B$8="出让",SUMPRODUCT(PRODUCT(1+N23:N$30)),SUMPRODUCT(PRODUCT(1+N23:N$29))),4)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3358</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ROUND(IF([5]项目基本情况!$B$8="出让",SUMPRODUCT(PRODUCT(1+L24:L$30)),SUMPRODUCT(PRODUCT(1+L24:L$29))),4)</f>
        <v>1.0241</v>
      </c>
      <c r="T24" s="3186">
        <f>ROUND(IF([5]项目基本情况!$B$8="出让",SUMPRODUCT(PRODUCT(1+M24:M$30)),SUMPRODUCT(PRODUCT(1+M24:M$29))),4)</f>
        <v>1.0144</v>
      </c>
      <c r="U24" s="3186">
        <f>ROUND(IF([5]项目基本情况!$B$8="出让",SUMPRODUCT(PRODUCT(1+N24:N$30)),SUMPRODUCT(PRODUCT(1+N24:N$29))),4)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3357</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ROUND(IF([5]项目基本情况!$B$8="出让",SUMPRODUCT(PRODUCT(1+L25:L$30)),SUMPRODUCT(PRODUCT(1+L25:L$29))),4)</f>
        <v>1.0210999999999999</v>
      </c>
      <c r="T25" s="3176">
        <f>ROUND(IF([5]项目基本情况!$B$8="出让",SUMPRODUCT(PRODUCT(1+M25:M$30)),SUMPRODUCT(PRODUCT(1+M25:M$29))),4)</f>
        <v>1.0114000000000001</v>
      </c>
      <c r="U25" s="3176">
        <f>ROUND(IF([5]项目基本情况!$B$8="出让",SUMPRODUCT(PRODUCT(1+N25:N$30)),SUMPRODUCT(PRODUCT(1+N25:N$29))),4)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2835</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ROUND(IF([5]项目基本情况!$B$8="出让",SUMPRODUCT(PRODUCT(1+L26:L$30)),SUMPRODUCT(PRODUCT(1+L26:L$29))),4)</f>
        <v>1.0222</v>
      </c>
      <c r="T26" s="3176">
        <f>ROUND(IF([5]项目基本情况!$B$8="出让",SUMPRODUCT(PRODUCT(1+M26:M$30)),SUMPRODUCT(PRODUCT(1+M26:M$29))),4)</f>
        <v>1.0127999999999999</v>
      </c>
      <c r="U26" s="3176">
        <f>ROUND(IF([5]项目基本情况!$B$8="出让",SUMPRODUCT(PRODUCT(1+N26:N$30)),SUMPRODUCT(PRODUCT(1+N26:N$29))),4)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2836</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ROUND(IF([5]项目基本情况!$B$8="出让",SUMPRODUCT(PRODUCT(1+L27:L$30)),SUMPRODUCT(PRODUCT(1+L27:L$29))),4)</f>
        <v>1.0161</v>
      </c>
      <c r="T27" s="3176">
        <f>ROUND(IF([5]项目基本情况!$B$8="出让",SUMPRODUCT(PRODUCT(1+M27:M$30)),SUMPRODUCT(PRODUCT(1+M27:M$29))),4)</f>
        <v>1.0082</v>
      </c>
      <c r="U27" s="3176">
        <f>ROUND(IF([5]项目基本情况!$B$8="出让",SUMPRODUCT(PRODUCT(1+N27:N$30)),SUMPRODUCT(PRODUCT(1+N27:N$29))),4)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2837</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ROUND(IF([5]项目基本情况!$B$8="出让",SUMPRODUCT(PRODUCT(1+L28:L$30)),SUMPRODUCT(PRODUCT(1+L28:L$29))),4)</f>
        <v>1.0102</v>
      </c>
      <c r="T28" s="3176">
        <f>ROUND(IF([5]项目基本情况!$B$8="出让",SUMPRODUCT(PRODUCT(1+M28:M$30)),SUMPRODUCT(PRODUCT(1+M28:M$29))),4)</f>
        <v>1.0074000000000001</v>
      </c>
      <c r="U28" s="3176">
        <f>ROUND(IF([5]项目基本情况!$B$8="出让",SUMPRODUCT(PRODUCT(1+N28:N$30)),SUMPRODUCT(PRODUCT(1+N28:N$29))),4)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2838</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ROUND(IF([5]项目基本情况!$B$8="出让",SUMPRODUCT(PRODUCT(1+L29:L$30)),SUMPRODUCT(PRODUCT(1+L29:L$29))),4)</f>
        <v>1.0055000000000001</v>
      </c>
      <c r="T29" s="3176">
        <f>ROUND(IF([5]项目基本情况!$B$8="出让",SUMPRODUCT(PRODUCT(1+M29:M$30)),SUMPRODUCT(PRODUCT(1+M29:M$29))),4)</f>
        <v>1.0045999999999999</v>
      </c>
      <c r="U29" s="3176">
        <f>ROUND(IF([5]项目基本情况!$B$8="出让",SUMPRODUCT(PRODUCT(1+N29:N$30)),SUMPRODUCT(PRODUCT(1+N29:N$29))),4)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2821</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J9" sqref="J9:J13"/>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81" t="s">
        <v>452</v>
      </c>
      <c r="C1" s="3981"/>
      <c r="D1" s="3981"/>
      <c r="E1" s="3981"/>
      <c r="F1" s="3981"/>
      <c r="G1" s="3980" t="s">
        <v>453</v>
      </c>
      <c r="H1" s="3980"/>
      <c r="I1" s="3980"/>
      <c r="J1" s="3980"/>
      <c r="K1" s="3980"/>
      <c r="L1" s="3980"/>
      <c r="N1" s="3980" t="s">
        <v>454</v>
      </c>
      <c r="O1" s="3980"/>
      <c r="P1" s="3980"/>
      <c r="Q1" s="3980"/>
      <c r="S1" s="3980" t="s">
        <v>455</v>
      </c>
      <c r="T1" s="3980"/>
      <c r="U1" s="3980"/>
      <c r="V1" s="3980"/>
      <c r="X1" s="3979" t="s">
        <v>456</v>
      </c>
      <c r="Y1" s="3980"/>
      <c r="Z1" s="3980"/>
      <c r="AA1" s="3980"/>
      <c r="AB1" s="3980"/>
      <c r="AD1" s="3979" t="s">
        <v>457</v>
      </c>
      <c r="AE1" s="3980"/>
      <c r="AF1" s="3980"/>
      <c r="AG1" s="3980"/>
      <c r="AH1" s="39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2110</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2111</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2126</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2124</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2123</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2122</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2120</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2119</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2121</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7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2117</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7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2116</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7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2109</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8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2107</v>
      </c>
      <c r="B25" s="2218">
        <v>439</v>
      </c>
      <c r="C25" s="2218">
        <v>327</v>
      </c>
      <c r="D25" s="2218">
        <f>C25</f>
        <v>327</v>
      </c>
      <c r="E25" s="2218">
        <v>627</v>
      </c>
      <c r="F25" s="2219">
        <v>283</v>
      </c>
      <c r="G25" s="398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2108</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7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97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98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98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7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97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97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97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7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97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97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97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7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97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97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98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8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98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98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97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97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97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97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97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7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97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97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97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7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97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97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97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7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97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97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97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7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97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97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97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7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97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97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97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7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97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97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97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7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97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97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97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7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97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97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97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97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97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97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97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97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97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97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607" t="str">
        <f>IF(项目基本情况!B9="房地产市场价值","估价结果一览表","结果表-2")</f>
        <v>结果表-2</v>
      </c>
      <c r="B1" s="3607"/>
      <c r="C1" s="3607"/>
      <c r="D1" s="3607"/>
      <c r="E1" s="3607"/>
      <c r="F1" s="3607"/>
      <c r="G1" s="3607"/>
      <c r="H1" s="3607"/>
      <c r="I1" s="3607"/>
    </row>
    <row r="2" spans="1:9" ht="30" customHeight="1" thickTop="1">
      <c r="A2" s="3608" t="s">
        <v>928</v>
      </c>
      <c r="B2" s="3608" t="s">
        <v>929</v>
      </c>
      <c r="C2" s="3608" t="s">
        <v>930</v>
      </c>
      <c r="D2" s="3608" t="str">
        <f>结果表!D116</f>
        <v>出让国有建设用地使用权价值</v>
      </c>
      <c r="E2" s="3608"/>
      <c r="F2" s="3608" t="str">
        <f>结果表!F116</f>
        <v>在建建筑物价值</v>
      </c>
      <c r="G2" s="3608"/>
      <c r="H2" s="3608" t="str">
        <f>IF(项目基本情况!B9="房地产市场价值","房地产市场价值","房地产价值")</f>
        <v>房地产价值</v>
      </c>
      <c r="I2" s="3608"/>
    </row>
    <row r="3" spans="1:9" ht="15">
      <c r="A3" s="3603"/>
      <c r="B3" s="3603"/>
      <c r="C3" s="3603"/>
      <c r="D3" s="852" t="s">
        <v>925</v>
      </c>
      <c r="E3" s="852" t="s">
        <v>931</v>
      </c>
      <c r="F3" s="852" t="s">
        <v>925</v>
      </c>
      <c r="G3" s="852" t="s">
        <v>926</v>
      </c>
      <c r="H3" s="852" t="s">
        <v>925</v>
      </c>
      <c r="I3" s="852" t="s">
        <v>926</v>
      </c>
    </row>
    <row r="4" spans="1:9" ht="30">
      <c r="A4" s="1503" t="str">
        <f>项目基本情况!S2</f>
        <v>北京市朝阳区首都机场航平西路银行附属办公楼房地产</v>
      </c>
      <c r="B4" s="852">
        <f>项目基本情况!C17</f>
        <v>466.83</v>
      </c>
      <c r="C4" s="852">
        <f>项目基本情况!C18</f>
        <v>202.08</v>
      </c>
      <c r="D4" s="852">
        <f ca="1">结果表!D118</f>
        <v>0</v>
      </c>
      <c r="E4" s="852">
        <f ca="1">结果表!E118</f>
        <v>16302</v>
      </c>
      <c r="F4" s="852">
        <f ca="1">结果表!F118</f>
        <v>0</v>
      </c>
      <c r="G4" s="852">
        <f ca="1">结果表!G118</f>
        <v>8739</v>
      </c>
      <c r="H4" s="852">
        <f ca="1">结果表!H118</f>
        <v>0</v>
      </c>
      <c r="I4" s="852">
        <f ca="1">结果表!I118</f>
        <v>25041</v>
      </c>
    </row>
    <row r="5" spans="1:9" ht="30" customHeight="1">
      <c r="A5" s="3603" t="s">
        <v>927</v>
      </c>
      <c r="B5" s="3603"/>
      <c r="C5" s="3603"/>
      <c r="D5" s="3603" t="str">
        <f ca="1">结果表!D119</f>
        <v>零元整</v>
      </c>
      <c r="E5" s="3603"/>
      <c r="F5" s="3603" t="str">
        <f ca="1">结果表!F119</f>
        <v>零元整</v>
      </c>
      <c r="G5" s="3603"/>
      <c r="H5" s="3603" t="str">
        <f ca="1">结果表!H119</f>
        <v>零元整</v>
      </c>
      <c r="I5" s="3603"/>
    </row>
    <row r="6" spans="1:9" ht="15.75">
      <c r="A6" s="3602" t="str">
        <f>结果表!A120</f>
        <v>估价师知悉的法定优先受偿款</v>
      </c>
      <c r="B6" s="3602"/>
      <c r="C6" s="3602"/>
      <c r="D6" s="3602">
        <f>结果表!D120</f>
        <v>0</v>
      </c>
      <c r="E6" s="3602"/>
      <c r="F6" s="3602"/>
      <c r="G6" s="3602"/>
      <c r="H6" s="3602"/>
      <c r="I6" s="3602"/>
    </row>
    <row r="7" spans="1:9" ht="15">
      <c r="A7" s="3603" t="s">
        <v>927</v>
      </c>
      <c r="B7" s="3603"/>
      <c r="C7" s="3603"/>
      <c r="D7" s="3604" t="str">
        <f>结果表!D121</f>
        <v>零元整</v>
      </c>
      <c r="E7" s="3605"/>
      <c r="F7" s="3605"/>
      <c r="G7" s="3605"/>
      <c r="H7" s="3605"/>
      <c r="I7" s="3606"/>
    </row>
    <row r="8" spans="1:9" ht="15.75">
      <c r="A8" s="3602" t="str">
        <f>结果表!A122</f>
        <v>房地产抵押价值</v>
      </c>
      <c r="B8" s="3602"/>
      <c r="C8" s="3602"/>
      <c r="D8" s="3602">
        <f ca="1">结果表!D122</f>
        <v>0</v>
      </c>
      <c r="E8" s="3602"/>
      <c r="F8" s="3602"/>
      <c r="G8" s="3602"/>
      <c r="H8" s="3602"/>
      <c r="I8" s="3602"/>
    </row>
    <row r="9" spans="1:9" ht="15">
      <c r="A9" s="3603" t="s">
        <v>927</v>
      </c>
      <c r="B9" s="3603"/>
      <c r="C9" s="3603"/>
      <c r="D9" s="3603" t="str">
        <f ca="1">结果表!D123</f>
        <v>零元整</v>
      </c>
      <c r="E9" s="3603"/>
      <c r="F9" s="3603"/>
      <c r="G9" s="3603"/>
      <c r="H9" s="3603"/>
      <c r="I9" s="3603"/>
    </row>
    <row r="10" spans="1:9" ht="15.75">
      <c r="A10" s="3602" t="str">
        <f>结果表!A124</f>
        <v/>
      </c>
      <c r="B10" s="3602"/>
      <c r="C10" s="3602"/>
      <c r="D10" s="3602" t="str">
        <f>结果表!D124</f>
        <v>——</v>
      </c>
      <c r="E10" s="3602"/>
      <c r="F10" s="3602"/>
      <c r="G10" s="3602"/>
      <c r="H10" s="3602"/>
      <c r="I10" s="3602"/>
    </row>
    <row r="11" spans="1:9" ht="15">
      <c r="A11" s="3603" t="s">
        <v>927</v>
      </c>
      <c r="B11" s="3603"/>
      <c r="C11" s="3603"/>
      <c r="D11" s="3603" t="e">
        <f>结果表!D125</f>
        <v>#VALUE!</v>
      </c>
      <c r="E11" s="3603"/>
      <c r="F11" s="3603"/>
      <c r="G11" s="3603"/>
      <c r="H11" s="3603"/>
      <c r="I11" s="3603"/>
    </row>
    <row r="12" spans="1:9" ht="15.75">
      <c r="A12" s="3602" t="str">
        <f>结果表!A126</f>
        <v/>
      </c>
      <c r="B12" s="3602"/>
      <c r="C12" s="3602"/>
      <c r="D12" s="3602" t="str">
        <f>结果表!D126</f>
        <v>——</v>
      </c>
      <c r="E12" s="3602"/>
      <c r="F12" s="3602"/>
      <c r="G12" s="3602"/>
      <c r="H12" s="3602"/>
      <c r="I12" s="3602"/>
    </row>
    <row r="13" spans="1:9" ht="15.75" thickBot="1">
      <c r="A13" s="3600" t="s">
        <v>927</v>
      </c>
      <c r="B13" s="3600"/>
      <c r="C13" s="3600"/>
      <c r="D13" s="3600" t="e">
        <f>结果表!D127</f>
        <v>#VALUE!</v>
      </c>
      <c r="E13" s="3600"/>
      <c r="F13" s="3600"/>
      <c r="G13" s="3600"/>
      <c r="H13" s="3600"/>
      <c r="I13" s="3600"/>
    </row>
    <row r="14" spans="1:9" ht="15" thickTop="1">
      <c r="A14" s="3601" t="s">
        <v>932</v>
      </c>
      <c r="B14" s="3601"/>
      <c r="C14" s="3601"/>
      <c r="D14" s="3601"/>
      <c r="E14" s="3601"/>
      <c r="F14" s="3601"/>
      <c r="G14" s="3601"/>
      <c r="H14" s="3601"/>
      <c r="I14" s="360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44971</v>
      </c>
      <c r="D1" s="1300" t="s">
        <v>603</v>
      </c>
      <c r="E1" s="1295">
        <f>'数据-取费表'!B22</f>
        <v>1</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615" t="s">
        <v>949</v>
      </c>
      <c r="B1" s="3615"/>
      <c r="C1" s="3615"/>
      <c r="D1" s="3615"/>
    </row>
    <row r="2" spans="1:4" ht="18">
      <c r="A2" s="3616" t="s">
        <v>933</v>
      </c>
      <c r="B2" s="3616"/>
      <c r="C2" s="3616"/>
      <c r="D2" s="3616"/>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616" t="s">
        <v>939</v>
      </c>
      <c r="B6" s="3616"/>
      <c r="C6" s="3616"/>
      <c r="D6" s="361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617" t="s">
        <v>942</v>
      </c>
      <c r="B11" s="3609"/>
      <c r="C11" s="3609"/>
      <c r="D11" s="3609"/>
    </row>
    <row r="12" spans="1:4" ht="15.75">
      <c r="A12" s="36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spans="1:4" ht="30" customHeight="1">
      <c r="A13" s="36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spans="1:4" ht="15.75" customHeight="1">
      <c r="A14" s="3609" t="str">
        <f>IF(项目基本情况!B8="抵押","4.本次评估估价师所知悉的法定优先受偿款情况说明如下：","——")</f>
        <v>4.本次评估估价师所知悉的法定优先受偿款情况说明如下：</v>
      </c>
      <c r="B14" s="3614"/>
      <c r="C14" s="3614"/>
      <c r="D14" s="3614"/>
    </row>
    <row r="15" spans="1:4" ht="42" customHeight="1">
      <c r="A15" s="360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9"/>
      <c r="C15" s="3609"/>
      <c r="D15" s="3609"/>
    </row>
    <row r="16" spans="1:4" ht="30" customHeight="1">
      <c r="A16" s="3611" t="s">
        <v>943</v>
      </c>
      <c r="B16" s="3611"/>
      <c r="C16" s="3611"/>
      <c r="D16" s="3611"/>
    </row>
    <row r="17" spans="1:4" ht="144" customHeight="1">
      <c r="A17" s="3611" t="s">
        <v>944</v>
      </c>
      <c r="B17" s="3611"/>
      <c r="C17" s="3611"/>
      <c r="D17" s="3611"/>
    </row>
    <row r="18" spans="1:4" ht="15.75" customHeight="1">
      <c r="A18" s="3609" t="str">
        <f>IF(项目基本情况!B8="抵押",结果表!K120,"——")</f>
        <v>故，本次评估不存在估价师知悉的法定优先受偿款</v>
      </c>
      <c r="B18" s="3609"/>
      <c r="C18" s="3609"/>
      <c r="D18" s="3609"/>
    </row>
    <row r="19" spans="1:4" ht="46.5" customHeight="1">
      <c r="A19" s="36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9"/>
      <c r="C19" s="3609"/>
      <c r="D19" s="3609"/>
    </row>
    <row r="20" spans="1:4" ht="57.75" customHeight="1">
      <c r="A20" s="36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9"/>
      <c r="C20" s="3609"/>
      <c r="D20" s="3609"/>
    </row>
    <row r="21" spans="1:4" ht="57.75" customHeight="1">
      <c r="A21" s="36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2"/>
      <c r="C21" s="3612"/>
      <c r="D21" s="3612"/>
    </row>
    <row r="22" spans="1:4" ht="18.75" customHeight="1">
      <c r="A22" s="3613" t="s">
        <v>945</v>
      </c>
      <c r="B22" s="3613"/>
      <c r="C22" s="3613"/>
      <c r="D22" s="361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610">
        <v>42551</v>
      </c>
      <c r="D31" s="36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623" t="s">
        <v>956</v>
      </c>
      <c r="B15" s="3618" t="s">
        <v>109</v>
      </c>
      <c r="C15" s="3619"/>
    </row>
    <row r="16" spans="1:7" ht="13.5">
      <c r="A16" s="3624"/>
      <c r="B16" s="3618" t="s">
        <v>42</v>
      </c>
      <c r="C16" s="3619"/>
    </row>
    <row r="17" spans="1:3" ht="13.5">
      <c r="A17" s="3624"/>
      <c r="B17" s="3621" t="s">
        <v>957</v>
      </c>
      <c r="C17" s="1530" t="s">
        <v>956</v>
      </c>
    </row>
    <row r="18" spans="1:3" ht="13.5">
      <c r="A18" s="3624"/>
      <c r="B18" s="3621"/>
      <c r="C18" s="1530" t="s">
        <v>958</v>
      </c>
    </row>
    <row r="19" spans="1:3" ht="13.5">
      <c r="A19" s="3624"/>
      <c r="B19" s="3621"/>
      <c r="C19" s="1530" t="s">
        <v>959</v>
      </c>
    </row>
    <row r="20" spans="1:3" ht="13.5">
      <c r="A20" s="3625"/>
      <c r="B20" s="3620" t="s">
        <v>960</v>
      </c>
      <c r="C20" s="3619"/>
    </row>
    <row r="21" spans="1:3" ht="13.5">
      <c r="A21" s="1531" t="s">
        <v>961</v>
      </c>
      <c r="B21" s="1532"/>
      <c r="C21" s="1533"/>
    </row>
    <row r="22" spans="1:3" ht="13.5">
      <c r="A22" s="3622" t="s">
        <v>962</v>
      </c>
      <c r="B22" s="3620" t="s">
        <v>963</v>
      </c>
      <c r="C22" s="3619"/>
    </row>
    <row r="23" spans="1:3" ht="13.5">
      <c r="A23" s="3622"/>
      <c r="B23" s="3620" t="s">
        <v>964</v>
      </c>
      <c r="C23" s="3619"/>
    </row>
    <row r="24" spans="1:3" ht="13.5">
      <c r="A24" s="3622"/>
      <c r="B24" s="3620" t="s">
        <v>965</v>
      </c>
      <c r="C24" s="3619"/>
    </row>
    <row r="25" spans="1:3" ht="13.5">
      <c r="A25" s="3622"/>
      <c r="B25" s="3621" t="s">
        <v>966</v>
      </c>
      <c r="C25" s="1530" t="s">
        <v>967</v>
      </c>
    </row>
    <row r="26" spans="1:3" ht="13.5">
      <c r="A26" s="3622"/>
      <c r="B26" s="3621"/>
      <c r="C26" s="1530" t="s">
        <v>968</v>
      </c>
    </row>
    <row r="27" spans="1:3" ht="13.5">
      <c r="A27" s="3622"/>
      <c r="B27" s="3621"/>
      <c r="C27" s="1530" t="s">
        <v>969</v>
      </c>
    </row>
    <row r="28" spans="1:3" ht="13.5">
      <c r="A28" s="3622"/>
      <c r="B28" s="3621"/>
      <c r="C28" s="1530" t="s">
        <v>970</v>
      </c>
    </row>
    <row r="29" spans="1:3" ht="13.5">
      <c r="A29" s="3622"/>
      <c r="B29" s="3621"/>
      <c r="C29" s="1530" t="s">
        <v>971</v>
      </c>
    </row>
    <row r="30" spans="1:3" ht="13.5">
      <c r="A30" s="3622"/>
      <c r="B30" s="3621"/>
      <c r="C30" s="1530" t="s">
        <v>972</v>
      </c>
    </row>
    <row r="31" spans="1:3" ht="13.5">
      <c r="A31" s="3622"/>
      <c r="B31" s="3621"/>
      <c r="C31" s="1530" t="s">
        <v>973</v>
      </c>
    </row>
    <row r="32" spans="1:3" ht="13.5">
      <c r="A32" s="3622"/>
      <c r="B32" s="3621"/>
      <c r="C32" s="1530" t="s">
        <v>974</v>
      </c>
    </row>
    <row r="33" spans="1:3" ht="13.5">
      <c r="A33" s="3622"/>
      <c r="B33" s="362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2135</v>
      </c>
      <c r="B2" s="2337">
        <f ca="1">TODAY()</f>
        <v>44979</v>
      </c>
      <c r="C2" s="2338" t="s">
        <v>2136</v>
      </c>
      <c r="D2" s="2338"/>
      <c r="E2" s="2338"/>
      <c r="F2" s="2334"/>
      <c r="G2" s="2334"/>
      <c r="H2" s="2334"/>
    </row>
    <row r="3" spans="1:8" ht="24" customHeight="1">
      <c r="A3" s="2339" t="s">
        <v>2137</v>
      </c>
      <c r="B3" s="2340" t="s">
        <v>2138</v>
      </c>
      <c r="C3" s="2340" t="s">
        <v>2139</v>
      </c>
      <c r="D3" s="2341" t="s">
        <v>2140</v>
      </c>
      <c r="E3" s="2342" t="s">
        <v>2141</v>
      </c>
      <c r="F3" s="1302" t="s">
        <v>2142</v>
      </c>
      <c r="G3" s="2340" t="s">
        <v>2139</v>
      </c>
      <c r="H3" s="2341" t="s">
        <v>2143</v>
      </c>
    </row>
    <row r="4" spans="1:8" ht="24" customHeight="1">
      <c r="A4" s="1302" t="s">
        <v>2144</v>
      </c>
      <c r="B4" s="1302">
        <f ca="1">IF(C4&lt;B2,"已过期",1119970066)</f>
        <v>1119970066</v>
      </c>
      <c r="C4" s="2343">
        <v>45937</v>
      </c>
      <c r="D4" s="2344" t="str">
        <f ca="1">A4&amp;"（注册号："&amp;B4&amp;"）"</f>
        <v>梁津（注册号：1119970066）</v>
      </c>
      <c r="E4" s="2345" t="s">
        <v>2144</v>
      </c>
      <c r="F4" s="1302">
        <f ca="1">IF(G4&lt;B2,"已过期",96010014)</f>
        <v>96010014</v>
      </c>
      <c r="G4" s="2346">
        <v>47118</v>
      </c>
      <c r="H4" s="2347" t="str">
        <f ca="1">E4&amp;"（注册号："&amp;F4&amp;"）"</f>
        <v>梁津（注册号：96010014）</v>
      </c>
    </row>
    <row r="5" spans="1:8" ht="24" customHeight="1">
      <c r="A5" s="1302" t="s">
        <v>2145</v>
      </c>
      <c r="B5" s="1302">
        <f ca="1">IF(C5&lt;B2,"已过期",1119970111)</f>
        <v>1119970111</v>
      </c>
      <c r="C5" s="2343">
        <v>45937</v>
      </c>
      <c r="D5" s="2344" t="str">
        <f t="shared" ref="D5:D15" ca="1" si="0">A5&amp;"（注册号："&amp;B5&amp;"）"</f>
        <v>叶凌（注册号：1119970111）</v>
      </c>
      <c r="E5" s="2345" t="s">
        <v>2145</v>
      </c>
      <c r="F5" s="1302">
        <f ca="1">IF(G5&lt;B2,"已过期",94010078)</f>
        <v>94010078</v>
      </c>
      <c r="G5" s="2346">
        <v>46387</v>
      </c>
      <c r="H5" s="2347" t="str">
        <f t="shared" ref="H5:H16" ca="1" si="1">E5&amp;"（注册号："&amp;F5&amp;"）"</f>
        <v>叶凌（注册号：94010078）</v>
      </c>
    </row>
    <row r="6" spans="1:8" ht="24" customHeight="1">
      <c r="A6" s="1302" t="s">
        <v>2146</v>
      </c>
      <c r="B6" s="1302">
        <f ca="1">IF(C6&lt;B2,"已过期",1120050019)</f>
        <v>1120050019</v>
      </c>
      <c r="C6" s="2343">
        <v>45410</v>
      </c>
      <c r="D6" s="2344" t="str">
        <f t="shared" ca="1" si="0"/>
        <v>王鹏（注册号：1120050019）</v>
      </c>
      <c r="E6" s="2345" t="s">
        <v>2146</v>
      </c>
      <c r="F6" s="1302">
        <f ca="1">IF(G6&lt;B2,"已过期",2002110030)</f>
        <v>2002110030</v>
      </c>
      <c r="G6" s="2346">
        <v>46387</v>
      </c>
      <c r="H6" s="2347" t="str">
        <f t="shared" ca="1" si="1"/>
        <v>王鹏（注册号：2002110030）</v>
      </c>
    </row>
    <row r="7" spans="1:8" ht="24" customHeight="1">
      <c r="A7" s="1302" t="s">
        <v>2147</v>
      </c>
      <c r="B7" s="1302">
        <f ca="1">IF(C7&lt;B2,"已过期",1120000080)</f>
        <v>1120000080</v>
      </c>
      <c r="C7" s="2343">
        <v>45937</v>
      </c>
      <c r="D7" s="2344" t="str">
        <f t="shared" ca="1" si="0"/>
        <v>欧红伟（注册号：1120000080）</v>
      </c>
      <c r="E7" s="2345" t="s">
        <v>2147</v>
      </c>
      <c r="F7" s="1302">
        <f ca="1">IF(G7&lt;B2,"已过期",2000110082)</f>
        <v>2000110082</v>
      </c>
      <c r="G7" s="2346">
        <v>46387</v>
      </c>
      <c r="H7" s="2347" t="str">
        <f t="shared" ca="1" si="1"/>
        <v>欧红伟（注册号：2000110082）</v>
      </c>
    </row>
    <row r="8" spans="1:8" ht="24" customHeight="1">
      <c r="A8" s="1302" t="s">
        <v>2148</v>
      </c>
      <c r="B8" s="1302">
        <f ca="1">IF(C8&lt;B2,"已过期",1419970001)</f>
        <v>1419970001</v>
      </c>
      <c r="C8" s="2343">
        <v>45937</v>
      </c>
      <c r="D8" s="2344" t="str">
        <f t="shared" ca="1" si="0"/>
        <v>吴薇（注册号：1419970001）</v>
      </c>
      <c r="E8" s="2345" t="s">
        <v>2148</v>
      </c>
      <c r="F8" s="1302">
        <f ca="1">IF(G8&lt;B2,"已过期",2002110125)</f>
        <v>2002110125</v>
      </c>
      <c r="G8" s="2346">
        <v>47118</v>
      </c>
      <c r="H8" s="2347" t="str">
        <f t="shared" ca="1" si="1"/>
        <v>吴薇（注册号：2002110125）</v>
      </c>
    </row>
    <row r="9" spans="1:8" ht="24" customHeight="1">
      <c r="A9" s="1302" t="s">
        <v>2149</v>
      </c>
      <c r="B9" s="1302">
        <f ca="1">IF(C9&lt;B2,"已过期",1120060040)</f>
        <v>1120060040</v>
      </c>
      <c r="C9" s="2348">
        <v>45592</v>
      </c>
      <c r="D9" s="2344" t="str">
        <f t="shared" ca="1" si="0"/>
        <v>陈颖（注册号：1120060040）</v>
      </c>
      <c r="E9" s="2345" t="s">
        <v>2149</v>
      </c>
      <c r="F9" s="1302">
        <f ca="1">IF(G9&lt;B2,"已过期",2004110096)</f>
        <v>2004110096</v>
      </c>
      <c r="G9" s="2346">
        <v>47118</v>
      </c>
      <c r="H9" s="2347" t="str">
        <f t="shared" ca="1" si="1"/>
        <v>陈颖（注册号：2004110096）</v>
      </c>
    </row>
    <row r="10" spans="1:8" ht="24" customHeight="1">
      <c r="A10" s="1302" t="s">
        <v>2150</v>
      </c>
      <c r="B10" s="1302">
        <f ca="1">IF(C10&lt;B2,"已过期",1120100036)</f>
        <v>1120100036</v>
      </c>
      <c r="C10" s="2348">
        <v>45752</v>
      </c>
      <c r="D10" s="2344" t="str">
        <f t="shared" ca="1" si="0"/>
        <v>崔锴（注册号：1120100036）</v>
      </c>
      <c r="E10" s="2345" t="s">
        <v>2150</v>
      </c>
      <c r="F10" s="1302">
        <f ca="1">IF(G10&lt;B2,"已过期",2010110070)</f>
        <v>2010110070</v>
      </c>
      <c r="G10" s="2346">
        <v>47907</v>
      </c>
      <c r="H10" s="2347" t="str">
        <f t="shared" ca="1" si="1"/>
        <v>崔锴（注册号：2010110070）</v>
      </c>
    </row>
    <row r="11" spans="1:8" ht="24" customHeight="1">
      <c r="A11" s="1302" t="s">
        <v>2151</v>
      </c>
      <c r="B11" s="1302">
        <f ca="1">IF(C11&lt;B2,"已过期",1120070131)</f>
        <v>1120070131</v>
      </c>
      <c r="C11" s="2343">
        <v>45937</v>
      </c>
      <c r="D11" s="2344" t="str">
        <f t="shared" ca="1" si="0"/>
        <v>郑燚（注册号：1120070131）</v>
      </c>
      <c r="E11" s="2345" t="s">
        <v>2151</v>
      </c>
      <c r="F11" s="1302">
        <f ca="1">IF(G11&lt;B2,"已过期",2014110011)</f>
        <v>2014110011</v>
      </c>
      <c r="G11" s="2346">
        <v>49302</v>
      </c>
      <c r="H11" s="2347" t="str">
        <f t="shared" ca="1" si="1"/>
        <v>郑燚（注册号：2014110011）</v>
      </c>
    </row>
    <row r="12" spans="1:8" ht="24" customHeight="1">
      <c r="A12" s="1302" t="s">
        <v>2152</v>
      </c>
      <c r="B12" s="1302">
        <f ca="1">IF(C12&lt;B2,"已过期",1120040230)</f>
        <v>1120040230</v>
      </c>
      <c r="C12" s="2348">
        <v>45937</v>
      </c>
      <c r="D12" s="2344" t="str">
        <f t="shared" ca="1" si="0"/>
        <v>苏海（注册号：1120040230）</v>
      </c>
      <c r="E12" s="2345" t="s">
        <v>2152</v>
      </c>
      <c r="F12" s="1302">
        <f ca="1">IF(G12&lt;B2,"已过期",98030020)</f>
        <v>98030020</v>
      </c>
      <c r="G12" s="2346">
        <v>47118</v>
      </c>
      <c r="H12" s="2347" t="str">
        <f t="shared" ca="1" si="1"/>
        <v>苏海（注册号：98030020）</v>
      </c>
    </row>
    <row r="13" spans="1:8" ht="24" customHeight="1">
      <c r="A13" s="1302" t="s">
        <v>2153</v>
      </c>
      <c r="B13" s="1302">
        <f ca="1">IF(C13&lt;B2,"已过期",1120020033)</f>
        <v>1120020033</v>
      </c>
      <c r="C13" s="2343">
        <v>45375</v>
      </c>
      <c r="D13" s="2344" t="str">
        <f t="shared" ca="1" si="0"/>
        <v>刘敬东（注册号：1120020033）</v>
      </c>
      <c r="E13" s="2345" t="s">
        <v>2153</v>
      </c>
      <c r="F13" s="1302">
        <f ca="1">IF(G13&lt;B2,"已过期",2000110137)</f>
        <v>2000110137</v>
      </c>
      <c r="G13" s="2346">
        <v>46387</v>
      </c>
      <c r="H13" s="2347" t="str">
        <f t="shared" ca="1" si="1"/>
        <v>刘敬东（注册号：2000110137）</v>
      </c>
    </row>
    <row r="14" spans="1:8" ht="24" customHeight="1">
      <c r="A14" s="1302" t="s">
        <v>2154</v>
      </c>
      <c r="B14" s="1302" t="str">
        <f ca="1">IF(C14&lt;B2,"已过期",1119980106)</f>
        <v>已过期</v>
      </c>
      <c r="C14" s="2348">
        <v>44969</v>
      </c>
      <c r="D14" s="2344" t="str">
        <f t="shared" ca="1" si="0"/>
        <v>刘俊财（注册号：已过期）</v>
      </c>
      <c r="E14" s="2345" t="s">
        <v>2154</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2155</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626" t="s">
        <v>2156</v>
      </c>
      <c r="B17" s="3626"/>
      <c r="C17" s="3626"/>
      <c r="D17" s="3626"/>
      <c r="E17" s="3626"/>
      <c r="F17" s="3626"/>
      <c r="G17" s="3626"/>
      <c r="H17" s="3626"/>
    </row>
    <row r="18" spans="1:8" ht="24" customHeight="1">
      <c r="A18" s="3627" t="s">
        <v>2157</v>
      </c>
      <c r="B18" s="3627"/>
      <c r="C18" s="3627"/>
      <c r="D18" s="2341"/>
      <c r="E18" s="3628" t="s">
        <v>2158</v>
      </c>
      <c r="F18" s="3627"/>
      <c r="G18" s="3627"/>
    </row>
    <row r="19" spans="1:8" s="2352" customFormat="1" ht="24" customHeight="1">
      <c r="A19" s="2351" t="s">
        <v>2159</v>
      </c>
      <c r="B19" s="2340" t="s">
        <v>2160</v>
      </c>
      <c r="C19" s="2340" t="s">
        <v>2139</v>
      </c>
      <c r="D19" s="2341"/>
      <c r="E19" s="2345" t="s">
        <v>2159</v>
      </c>
      <c r="F19" s="2340" t="s">
        <v>2160</v>
      </c>
      <c r="G19" s="2340" t="s">
        <v>2139</v>
      </c>
    </row>
    <row r="20" spans="1:8" s="2352" customFormat="1" ht="24" customHeight="1">
      <c r="A20" s="2353" t="s">
        <v>2161</v>
      </c>
      <c r="B20" s="2353" t="s">
        <v>2162</v>
      </c>
      <c r="C20" s="2346">
        <v>45898</v>
      </c>
      <c r="D20" s="2354"/>
      <c r="E20" s="2355" t="s">
        <v>2163</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169</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租金结果表</vt:lpstr>
      <vt:lpstr>租金案例</vt:lpstr>
      <vt:lpstr>比较法-商业</vt:lpstr>
      <vt:lpstr>收益法倒推租金</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比较法-商业售价</vt:lpstr>
      <vt:lpstr>收益法倒推租金 (2)</vt:lpstr>
      <vt:lpstr>收益法 (元)</vt:lpstr>
      <vt:lpstr>典型户型修正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'收益法倒推租金 (2)'!Print_Area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2023-02-22T02:31:30Z</dcterms:modified>
</cp:coreProperties>
</file>