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90" i="21" l="1"/>
  <c r="I27" i="21"/>
  <c r="J59" i="21"/>
  <c r="I59" i="21"/>
  <c r="G59" i="21"/>
  <c r="F59" i="21"/>
  <c r="C6" i="21"/>
  <c r="E92" i="21" l="1"/>
  <c r="D92" i="21"/>
  <c r="C92" i="21"/>
  <c r="I28" i="21"/>
  <c r="C27" i="21"/>
  <c r="C90" i="21" s="1"/>
  <c r="C33" i="21"/>
  <c r="J23" i="1"/>
  <c r="M22" i="1"/>
  <c r="L22" i="1"/>
  <c r="L21" i="1"/>
  <c r="L23" i="1"/>
  <c r="J16" i="1"/>
  <c r="E17" i="1"/>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N10" i="59"/>
  <c r="N11" i="59"/>
  <c r="N12" i="59"/>
  <c r="N13" i="59"/>
  <c r="N14" i="59"/>
  <c r="N15" i="59"/>
  <c r="N16" i="59"/>
  <c r="N17" i="59"/>
  <c r="N18" i="59"/>
  <c r="N19" i="59"/>
  <c r="N20" i="59"/>
  <c r="X5" i="59"/>
  <c r="A2" i="50"/>
  <c r="K60" i="15"/>
  <c r="P59" i="15"/>
  <c r="P72" i="15"/>
  <c r="A132" i="57"/>
  <c r="A130" i="57"/>
  <c r="A128" i="57"/>
  <c r="A126" i="57"/>
  <c r="A129" i="9"/>
  <c r="A127" i="9"/>
  <c r="A125" i="9"/>
  <c r="A123" i="9"/>
  <c r="A16" i="54"/>
  <c r="A14" i="54"/>
  <c r="A19" i="55"/>
  <c r="A13" i="55"/>
  <c r="A1" i="52"/>
  <c r="A4" i="50"/>
  <c r="D5" i="43"/>
  <c r="B2" i="1"/>
  <c r="F30" i="1" s="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s="1"/>
  <c r="J1" i="61"/>
  <c r="B68" i="60"/>
  <c r="D28" i="57"/>
  <c r="D29" i="57"/>
  <c r="D28" i="9"/>
  <c r="D29" i="9"/>
  <c r="A6" i="52"/>
  <c r="B64" i="60"/>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F19" i="59"/>
  <c r="F20" i="59"/>
  <c r="F21" i="59"/>
  <c r="V21" i="59"/>
  <c r="E19" i="59"/>
  <c r="E20" i="59"/>
  <c r="E21" i="59"/>
  <c r="U21" i="59"/>
  <c r="C19" i="59"/>
  <c r="B19" i="59"/>
  <c r="B20" i="59"/>
  <c r="B21" i="59"/>
  <c r="S21" i="59"/>
  <c r="D18" i="59"/>
  <c r="F15" i="59"/>
  <c r="F16" i="59"/>
  <c r="F17" i="59"/>
  <c r="V17" i="59"/>
  <c r="E15" i="59"/>
  <c r="E16" i="59"/>
  <c r="E17" i="59"/>
  <c r="U17" i="59"/>
  <c r="C15" i="59"/>
  <c r="B15" i="59"/>
  <c r="B16" i="59"/>
  <c r="B17" i="59"/>
  <c r="S17" i="59"/>
  <c r="D14" i="59"/>
  <c r="F11" i="59"/>
  <c r="F12" i="59"/>
  <c r="F13" i="59"/>
  <c r="V13" i="59"/>
  <c r="E11" i="59"/>
  <c r="E12" i="59"/>
  <c r="E13" i="59"/>
  <c r="U13" i="59"/>
  <c r="C11" i="59"/>
  <c r="B11" i="59"/>
  <c r="B12" i="59"/>
  <c r="B13" i="59"/>
  <c r="S13" i="59"/>
  <c r="D10" i="59"/>
  <c r="T9" i="59"/>
  <c r="Y3" i="59"/>
  <c r="Z3" i="59"/>
  <c r="Y6" i="59"/>
  <c r="Z6" i="59"/>
  <c r="Y7" i="59"/>
  <c r="Z7" i="59"/>
  <c r="Y9" i="59"/>
  <c r="Z9" i="59"/>
  <c r="Y8" i="59"/>
  <c r="Z8" i="59"/>
  <c r="X9" i="59"/>
  <c r="X8" i="59"/>
  <c r="X3" i="59"/>
  <c r="X6" i="59"/>
  <c r="X7" i="59"/>
  <c r="C12" i="59"/>
  <c r="D11" i="59"/>
  <c r="C16" i="59"/>
  <c r="D15" i="59"/>
  <c r="C20" i="59"/>
  <c r="D19"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9"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C21" i="59"/>
  <c r="D20" i="59"/>
  <c r="C17" i="59"/>
  <c r="D16" i="59"/>
  <c r="C13" i="59"/>
  <c r="D12" i="59"/>
  <c r="D8" i="59"/>
  <c r="D7" i="59"/>
  <c r="U9" i="59"/>
  <c r="V9" i="59"/>
  <c r="O47" i="59"/>
  <c r="D47" i="59"/>
  <c r="O46" i="59"/>
  <c r="T33" i="59"/>
  <c r="D33" i="59"/>
  <c r="T13" i="59"/>
  <c r="D13" i="59"/>
  <c r="T17" i="59"/>
  <c r="D17" i="59"/>
  <c r="T21" i="59"/>
  <c r="D21" i="59"/>
  <c r="T25" i="59"/>
  <c r="D25" i="59"/>
  <c r="T37" i="59"/>
  <c r="D37" i="59"/>
  <c r="T41" i="59"/>
  <c r="D41" i="59"/>
  <c r="T45" i="59"/>
  <c r="D45" i="59"/>
  <c r="G20" i="20"/>
  <c r="B86" i="43"/>
  <c r="Q25" i="40"/>
  <c r="Z25" i="40"/>
  <c r="D94" i="40"/>
  <c r="E94" i="40"/>
  <c r="F94" i="40"/>
  <c r="H25" i="40"/>
  <c r="U25" i="40"/>
  <c r="F25" i="40"/>
  <c r="AA25" i="40"/>
  <c r="C25" i="40"/>
  <c r="Q27" i="39"/>
  <c r="Z27" i="39"/>
  <c r="D101" i="39"/>
  <c r="E101" i="39"/>
  <c r="F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C22" i="2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c r="E48" i="35" s="1"/>
  <c r="F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C21" i="20"/>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AA38" i="21"/>
  <c r="F36" i="21"/>
  <c r="S36" i="21"/>
  <c r="F39" i="21"/>
  <c r="S39" i="21"/>
  <c r="H35" i="21"/>
  <c r="AB35" i="21"/>
  <c r="J8" i="21"/>
  <c r="AC8" i="21"/>
  <c r="J9" i="21"/>
  <c r="W9" i="21"/>
  <c r="H8" i="21"/>
  <c r="U8" i="21"/>
  <c r="H9" i="21"/>
  <c r="AB9" i="21"/>
  <c r="H10" i="21"/>
  <c r="AB10" i="21"/>
  <c r="H36" i="21"/>
  <c r="U36" i="21"/>
  <c r="F35" i="21"/>
  <c r="AA35" i="21"/>
  <c r="J33" i="21"/>
  <c r="W33" i="21" s="1"/>
  <c r="H33" i="21"/>
  <c r="AB33" i="21" s="1"/>
  <c r="F33" i="21"/>
  <c r="AA33" i="21" s="1"/>
  <c r="J10" i="21"/>
  <c r="AC10" i="21"/>
  <c r="H26" i="21"/>
  <c r="AB26" i="21" s="1"/>
  <c r="F19" i="21"/>
  <c r="AA19" i="21"/>
  <c r="H19" i="21"/>
  <c r="AB19" i="21"/>
  <c r="J19" i="21"/>
  <c r="W19" i="2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c r="H102" i="57"/>
  <c r="A131" i="9"/>
  <c r="A134" i="57"/>
  <c r="B102" i="57"/>
  <c r="B106" i="57"/>
  <c r="C111" i="57"/>
  <c r="H106" i="57"/>
  <c r="D127" i="57"/>
  <c r="W17"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J29" i="21"/>
  <c r="AC29" i="21" s="1"/>
  <c r="H29" i="21"/>
  <c r="U29" i="21" s="1"/>
  <c r="F29" i="21"/>
  <c r="AA29" i="21" s="1"/>
  <c r="J31" i="21"/>
  <c r="W31" i="21"/>
  <c r="H31" i="21"/>
  <c r="F31" i="21"/>
  <c r="AA31" i="21"/>
  <c r="H39" i="21"/>
  <c r="U39" i="21"/>
  <c r="F117" i="21"/>
  <c r="G117"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W43" i="21"/>
  <c r="AC38" i="21"/>
  <c r="AC35" i="21"/>
  <c r="AB38" i="21"/>
  <c r="AB34" i="21"/>
  <c r="U33" i="21"/>
  <c r="S38" i="21"/>
  <c r="AB37" i="21"/>
  <c r="W36" i="21"/>
  <c r="U35" i="21"/>
  <c r="S31" i="21"/>
  <c r="W25" i="21"/>
  <c r="S23" i="21"/>
  <c r="S19" i="21"/>
  <c r="B74" i="43"/>
  <c r="C27" i="39"/>
  <c r="U15" i="21"/>
  <c r="AC15" i="21"/>
  <c r="S10" i="21"/>
  <c r="AC9" i="21"/>
  <c r="W8" i="21"/>
  <c r="F31" i="15"/>
  <c r="C6" i="15"/>
  <c r="H74" i="43"/>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s="1"/>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32" i="21"/>
  <c r="AB39" i="21"/>
  <c r="W40" i="21"/>
  <c r="AC37" i="21"/>
  <c r="W34" i="21"/>
  <c r="U27" i="21"/>
  <c r="AB23" i="21"/>
  <c r="U19" i="21"/>
  <c r="U43" i="21"/>
  <c r="U26" i="21"/>
  <c r="AB44" i="21"/>
  <c r="U30" i="21"/>
  <c r="AB36" i="21"/>
  <c r="S17" i="21"/>
  <c r="AA36" i="21"/>
  <c r="AA43" i="21"/>
  <c r="AB32"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s="1"/>
  <c r="D68" i="39" s="1"/>
  <c r="D70" i="39" s="1"/>
  <c r="C53" i="10"/>
  <c r="D124" i="9"/>
  <c r="D7" i="52"/>
  <c r="M48" i="57"/>
  <c r="D63" i="40"/>
  <c r="B58" i="60"/>
  <c r="A12" i="52"/>
  <c r="B67" i="60"/>
  <c r="C94" i="9"/>
  <c r="H49" i="43"/>
  <c r="L105" i="43"/>
  <c r="L109" i="43"/>
  <c r="H105" i="43"/>
  <c r="H107" i="43"/>
  <c r="D104" i="43"/>
  <c r="K106" i="43"/>
  <c r="K102" i="43"/>
  <c r="G105" i="43"/>
  <c r="G109" i="43"/>
  <c r="C104" i="43"/>
  <c r="C107" i="43"/>
  <c r="A4" i="52"/>
  <c r="A124" i="57"/>
  <c r="M47" i="9"/>
  <c r="N104" i="46"/>
  <c r="J17" i="43"/>
  <c r="C7" i="21"/>
  <c r="C58" i="21" s="1"/>
  <c r="D58" i="21" s="1"/>
  <c r="C7" i="33"/>
  <c r="C58" i="33" s="1"/>
  <c r="D58" i="33" s="1"/>
  <c r="C7" i="37"/>
  <c r="C52" i="37" s="1"/>
  <c r="D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C20" i="43" s="1"/>
  <c r="D115" i="43"/>
  <c r="E115" i="43"/>
  <c r="F115" i="43"/>
  <c r="G115" i="43"/>
  <c r="H115" i="43"/>
  <c r="B117" i="43"/>
  <c r="C117" i="43"/>
  <c r="M109" i="43"/>
  <c r="I107" i="43"/>
  <c r="N106" i="43"/>
  <c r="J105" i="43"/>
  <c r="F104" i="43"/>
  <c r="G37" i="47"/>
  <c r="C23" i="43"/>
  <c r="G19" i="43"/>
  <c r="M20" i="43" s="1"/>
  <c r="C19" i="43" s="1"/>
  <c r="F36" i="43"/>
  <c r="C17" i="43"/>
  <c r="F35" i="43"/>
  <c r="F37" i="43"/>
  <c r="F39" i="43"/>
  <c r="G17" i="43"/>
  <c r="C7" i="34"/>
  <c r="C59" i="34"/>
  <c r="D59" i="34" s="1"/>
  <c r="E59" i="34" s="1"/>
  <c r="C7" i="36"/>
  <c r="C46" i="36" s="1"/>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B13" i="48"/>
  <c r="D13"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C27" i="11"/>
  <c r="C18" i="12"/>
  <c r="F34" i="11"/>
  <c r="E19" i="1"/>
  <c r="D20" i="1"/>
  <c r="D18" i="1"/>
  <c r="F50" i="11"/>
  <c r="F19" i="1"/>
  <c r="F18" i="1"/>
  <c r="D19" i="1"/>
  <c r="K87" i="43"/>
  <c r="J87" i="43"/>
  <c r="D87" i="43"/>
  <c r="C16" i="43"/>
  <c r="C7" i="43"/>
  <c r="P23" i="43"/>
  <c r="D46" i="36"/>
  <c r="E46" i="36" s="1"/>
  <c r="F46" i="36" s="1"/>
  <c r="K106" i="9"/>
  <c r="E58" i="21"/>
  <c r="F58" i="21" s="1"/>
  <c r="G58" i="21"/>
  <c r="H58" i="21" s="1"/>
  <c r="I58" i="21" s="1"/>
  <c r="E68" i="39"/>
  <c r="F59" i="34"/>
  <c r="G59" i="34" s="1"/>
  <c r="H59" i="34" s="1"/>
  <c r="O19" i="43"/>
  <c r="E58" i="33"/>
  <c r="F58" i="33" s="1"/>
  <c r="G58" i="33"/>
  <c r="D65" i="40"/>
  <c r="E63" i="40"/>
  <c r="E65" i="40" s="1"/>
  <c r="B14" i="1"/>
  <c r="L49" i="15"/>
  <c r="L59" i="15"/>
  <c r="Q58" i="15" s="1"/>
  <c r="C5" i="43"/>
  <c r="C50" i="15"/>
  <c r="C115" i="43"/>
  <c r="D113" i="43"/>
  <c r="J22" i="43"/>
  <c r="C21" i="43"/>
  <c r="M84" i="43"/>
  <c r="N84" i="43"/>
  <c r="K84" i="43"/>
  <c r="J84" i="43"/>
  <c r="D84" i="43"/>
  <c r="J18" i="15"/>
  <c r="M81" i="43"/>
  <c r="N81" i="43"/>
  <c r="K81" i="43"/>
  <c r="J81" i="43"/>
  <c r="D81" i="43"/>
  <c r="M88" i="43"/>
  <c r="N88" i="43"/>
  <c r="K88" i="43"/>
  <c r="J88" i="43"/>
  <c r="D88" i="43"/>
  <c r="I55" i="15"/>
  <c r="J54" i="15"/>
  <c r="Q50" i="15" s="1"/>
  <c r="B2" i="31"/>
  <c r="C33" i="57"/>
  <c r="H124" i="57"/>
  <c r="I103" i="57"/>
  <c r="I113" i="57"/>
  <c r="M50" i="57"/>
  <c r="I104" i="57"/>
  <c r="C107" i="57"/>
  <c r="Q59" i="15"/>
  <c r="C106" i="57"/>
  <c r="D110" i="57"/>
  <c r="H125" i="57"/>
  <c r="B40" i="1"/>
  <c r="M27" i="15" s="1"/>
  <c r="C11" i="12"/>
  <c r="C34" i="11"/>
  <c r="C14" i="15"/>
  <c r="E81" i="43"/>
  <c r="F63" i="40"/>
  <c r="F65" i="40" s="1"/>
  <c r="F68" i="39"/>
  <c r="G68" i="39" s="1"/>
  <c r="G70" i="39" s="1"/>
  <c r="E70" i="39"/>
  <c r="L57" i="15"/>
  <c r="J58" i="15"/>
  <c r="J56" i="15"/>
  <c r="J59" i="15" s="1"/>
  <c r="Q48" i="15"/>
  <c r="J10" i="39"/>
  <c r="AC10" i="39" s="1"/>
  <c r="F10" i="40"/>
  <c r="AA10" i="40" s="1"/>
  <c r="J10" i="40"/>
  <c r="AC10" i="40" s="1"/>
  <c r="B79" i="43"/>
  <c r="C24" i="43"/>
  <c r="C33" i="43" s="1"/>
  <c r="C61" i="15"/>
  <c r="D109" i="57"/>
  <c r="I111" i="57"/>
  <c r="D128" i="57"/>
  <c r="B33" i="1"/>
  <c r="F41" i="15"/>
  <c r="F70" i="15"/>
  <c r="D46" i="57"/>
  <c r="M49" i="57"/>
  <c r="C15" i="12"/>
  <c r="D130" i="57"/>
  <c r="D127" i="9"/>
  <c r="H14" i="62"/>
  <c r="C15" i="15"/>
  <c r="C18" i="15"/>
  <c r="C16" i="15"/>
  <c r="C13" i="12"/>
  <c r="C12" i="12"/>
  <c r="C36" i="11"/>
  <c r="C38" i="11"/>
  <c r="C35" i="11"/>
  <c r="F70" i="39"/>
  <c r="G63" i="40"/>
  <c r="G65" i="40" s="1"/>
  <c r="W10" i="40"/>
  <c r="S10" i="40"/>
  <c r="W10" i="39"/>
  <c r="Q71" i="15"/>
  <c r="D53" i="57"/>
  <c r="C79" i="57"/>
  <c r="D54" i="57"/>
  <c r="D49" i="57"/>
  <c r="M53" i="57" s="1"/>
  <c r="C86" i="57"/>
  <c r="C73" i="57"/>
  <c r="C94" i="57"/>
  <c r="C87" i="57" s="1"/>
  <c r="D115" i="57"/>
  <c r="D116" i="57"/>
  <c r="I112" i="57"/>
  <c r="D129" i="57"/>
  <c r="D117" i="57"/>
  <c r="D118" i="57"/>
  <c r="I114" i="57"/>
  <c r="D131" i="57"/>
  <c r="D56" i="57"/>
  <c r="M54" i="57"/>
  <c r="C65" i="57"/>
  <c r="L69" i="57"/>
  <c r="M69" i="57"/>
  <c r="L68" i="57"/>
  <c r="M68" i="57"/>
  <c r="L67" i="57"/>
  <c r="M67" i="57"/>
  <c r="L66" i="57"/>
  <c r="M66" i="57"/>
  <c r="L65" i="57"/>
  <c r="M65" i="57"/>
  <c r="L64" i="57"/>
  <c r="M64" i="57"/>
  <c r="C16" i="12"/>
  <c r="C21" i="12"/>
  <c r="C22" i="12"/>
  <c r="C30" i="12"/>
  <c r="C28" i="12"/>
  <c r="C33" i="11"/>
  <c r="C19" i="15"/>
  <c r="H68" i="39"/>
  <c r="H70" i="39" s="1"/>
  <c r="H63" i="40"/>
  <c r="H65" i="40" s="1"/>
  <c r="G39" i="43"/>
  <c r="I39" i="43" s="1"/>
  <c r="D133" i="57"/>
  <c r="C64" i="57"/>
  <c r="C68" i="57"/>
  <c r="C69" i="57" s="1"/>
  <c r="D55" i="57" s="1"/>
  <c r="M70" i="57"/>
  <c r="C39" i="11"/>
  <c r="C20" i="15"/>
  <c r="I68" i="39"/>
  <c r="J68" i="39" s="1"/>
  <c r="J70" i="39" s="1"/>
  <c r="N70" i="57"/>
  <c r="M57" i="57"/>
  <c r="C46" i="11"/>
  <c r="C45" i="11"/>
  <c r="C26" i="15"/>
  <c r="J60" i="15"/>
  <c r="J61" i="15"/>
  <c r="Q46" i="15" s="1"/>
  <c r="J19" i="15"/>
  <c r="C33" i="15"/>
  <c r="K68" i="39"/>
  <c r="K70" i="39" s="1"/>
  <c r="D119" i="57"/>
  <c r="D120" i="57"/>
  <c r="I116" i="57" s="1"/>
  <c r="I115" i="57"/>
  <c r="D132" i="57" s="1"/>
  <c r="I114" i="9"/>
  <c r="D129" i="9"/>
  <c r="I14" i="62"/>
  <c r="B8" i="62" s="1"/>
  <c r="C62" i="15"/>
  <c r="L68" i="39"/>
  <c r="L70" i="39" s="1"/>
  <c r="M68" i="39"/>
  <c r="M70" i="39" s="1"/>
  <c r="N68" i="39"/>
  <c r="L61" i="15"/>
  <c r="Q55" i="15" s="1"/>
  <c r="L47" i="15"/>
  <c r="O68" i="39"/>
  <c r="O70" i="39" s="1"/>
  <c r="N70" i="39"/>
  <c r="Q64" i="15"/>
  <c r="B7" i="62"/>
  <c r="C7" i="62"/>
  <c r="D7" i="62"/>
  <c r="M56" i="9"/>
  <c r="D130" i="9"/>
  <c r="D13" i="52"/>
  <c r="D114" i="9"/>
  <c r="D115" i="9"/>
  <c r="I113" i="9"/>
  <c r="D41" i="50"/>
  <c r="B63" i="60"/>
  <c r="D39" i="50"/>
  <c r="D40" i="50"/>
  <c r="D18" i="50"/>
  <c r="D10" i="52"/>
  <c r="D128" i="9"/>
  <c r="D11" i="52"/>
  <c r="D20" i="50"/>
  <c r="D19" i="50"/>
  <c r="B32" i="60"/>
  <c r="B31" i="60"/>
  <c r="L67" i="9"/>
  <c r="M67" i="9"/>
  <c r="L65" i="9"/>
  <c r="M65" i="9"/>
  <c r="L66" i="9"/>
  <c r="M66" i="9"/>
  <c r="L68" i="9"/>
  <c r="M68" i="9"/>
  <c r="L63" i="9"/>
  <c r="M63" i="9"/>
  <c r="L64" i="9"/>
  <c r="M64" i="9"/>
  <c r="M69" i="9"/>
  <c r="N69" i="9"/>
  <c r="D116" i="9"/>
  <c r="D12" i="52"/>
  <c r="D21" i="50"/>
  <c r="D42" i="50"/>
  <c r="D43" i="50" s="1"/>
  <c r="D22" i="50"/>
  <c r="B35" i="60" s="1"/>
  <c r="B33" i="60"/>
  <c r="H23" i="31"/>
  <c r="F7" i="61"/>
  <c r="F4" i="61"/>
  <c r="D6" i="61"/>
  <c r="D3" i="61"/>
  <c r="D4" i="61"/>
  <c r="D20" i="57"/>
  <c r="E2" i="36"/>
  <c r="E2" i="33"/>
  <c r="E2" i="37"/>
  <c r="E2" i="35"/>
  <c r="E2" i="21"/>
  <c r="D19" i="57"/>
  <c r="F6" i="61"/>
  <c r="F5" i="61"/>
  <c r="D5" i="61"/>
  <c r="D7" i="61"/>
  <c r="F3" i="61"/>
  <c r="G1" i="61"/>
  <c r="C19" i="57"/>
  <c r="E2" i="34"/>
  <c r="C20" i="57"/>
  <c r="E2" i="11"/>
  <c r="F22" i="48" l="1"/>
  <c r="H22" i="48" s="1"/>
  <c r="AC33" i="21"/>
  <c r="F21" i="48"/>
  <c r="H21" i="48" s="1"/>
  <c r="B9" i="48"/>
  <c r="D9" i="48" s="1"/>
  <c r="F10" i="48"/>
  <c r="H10" i="48" s="1"/>
  <c r="F9" i="48"/>
  <c r="H9" i="48" s="1"/>
  <c r="U42" i="21"/>
  <c r="S42" i="21"/>
  <c r="S33" i="21"/>
  <c r="AC28" i="21"/>
  <c r="S28" i="21"/>
  <c r="U28" i="21"/>
  <c r="S29" i="21"/>
  <c r="W29" i="21"/>
  <c r="AB29" i="21"/>
  <c r="E33" i="43"/>
  <c r="G33" i="43"/>
  <c r="I33" i="43" s="1"/>
  <c r="E27" i="21"/>
  <c r="F27" i="21" s="1"/>
  <c r="C39" i="43"/>
  <c r="E39" i="43" s="1"/>
  <c r="C36" i="43"/>
  <c r="G36" i="43" s="1"/>
  <c r="I36" i="43" s="1"/>
  <c r="C38" i="43"/>
  <c r="AC27" i="21"/>
  <c r="F7" i="48"/>
  <c r="H7" i="48" s="1"/>
  <c r="B16" i="48"/>
  <c r="D16" i="48" s="1"/>
  <c r="B8" i="48"/>
  <c r="D8" i="48" s="1"/>
  <c r="B4" i="48"/>
  <c r="D4" i="48" s="1"/>
  <c r="F16" i="48"/>
  <c r="H16" i="48" s="1"/>
  <c r="AC26" i="21"/>
  <c r="B6" i="48"/>
  <c r="C3" i="4" s="1"/>
  <c r="B14" i="48"/>
  <c r="D14" i="48" s="1"/>
  <c r="F4" i="48"/>
  <c r="H4" i="48" s="1"/>
  <c r="B10" i="48"/>
  <c r="D10" i="48" s="1"/>
  <c r="F6" i="48"/>
  <c r="H6" i="48" s="1"/>
  <c r="F5" i="48"/>
  <c r="H5" i="48" s="1"/>
  <c r="B11" i="48"/>
  <c r="D11" i="48" s="1"/>
  <c r="B7" i="48"/>
  <c r="D7" i="48" s="1"/>
  <c r="F11" i="48"/>
  <c r="H11" i="48" s="1"/>
  <c r="B5" i="48"/>
  <c r="D5" i="48" s="1"/>
  <c r="B22" i="48"/>
  <c r="D22" i="48" s="1"/>
  <c r="F8" i="48"/>
  <c r="H8" i="48" s="1"/>
  <c r="D8" i="62"/>
  <c r="C8" i="62"/>
  <c r="E36" i="43"/>
  <c r="H58" i="33"/>
  <c r="G46" i="36"/>
  <c r="C96" i="57"/>
  <c r="I70" i="39"/>
  <c r="I63" i="40"/>
  <c r="H10" i="39"/>
  <c r="H10" i="40"/>
  <c r="F10" i="39"/>
  <c r="I59" i="34"/>
  <c r="J59" i="34" s="1"/>
  <c r="K59" i="34" s="1"/>
  <c r="L59" i="34" s="1"/>
  <c r="M59" i="34" s="1"/>
  <c r="N59" i="34" s="1"/>
  <c r="O59" i="34" s="1"/>
  <c r="J7" i="34"/>
  <c r="J58" i="21"/>
  <c r="T16" i="43"/>
  <c r="V16" i="43" s="1"/>
  <c r="C34" i="43"/>
  <c r="C35" i="43"/>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C37" i="43"/>
  <c r="C29" i="43"/>
  <c r="E52" i="37"/>
  <c r="F52" i="37" s="1"/>
  <c r="G52" i="37" s="1"/>
  <c r="H52" i="37" s="1"/>
  <c r="I52" i="37" s="1"/>
  <c r="J52" i="37" s="1"/>
  <c r="K52" i="37" s="1"/>
  <c r="L52" i="37" s="1"/>
  <c r="M52" i="37" s="1"/>
  <c r="N52" i="37" s="1"/>
  <c r="O52" i="37" s="1"/>
  <c r="F7" i="37"/>
  <c r="H7" i="37"/>
  <c r="G48" i="35"/>
  <c r="H48" i="35" s="1"/>
  <c r="I48" i="35" s="1"/>
  <c r="J48" i="35" s="1"/>
  <c r="K48" i="35" s="1"/>
  <c r="L48" i="35" s="1"/>
  <c r="M48" i="35" s="1"/>
  <c r="N48" i="35" s="1"/>
  <c r="O48" i="35" s="1"/>
  <c r="C70" i="39"/>
  <c r="H7" i="35"/>
  <c r="J7" i="35"/>
  <c r="P25" i="43"/>
  <c r="P21" i="43"/>
  <c r="B71" i="39" s="1"/>
  <c r="P24" i="43"/>
  <c r="B66" i="40" s="1"/>
  <c r="P22" i="43"/>
  <c r="J7" i="37"/>
  <c r="C75" i="57"/>
  <c r="C74" i="57" s="1"/>
  <c r="C80" i="57" s="1"/>
  <c r="C74" i="9"/>
  <c r="C30" i="11"/>
  <c r="G20" i="57"/>
  <c r="C103" i="57"/>
  <c r="C102" i="57"/>
  <c r="D22" i="57"/>
  <c r="G19" i="57"/>
  <c r="E27" i="1"/>
  <c r="D102" i="57"/>
  <c r="D103" i="57"/>
  <c r="E20" i="43"/>
  <c r="I1" i="61"/>
  <c r="B30" i="1" s="1"/>
  <c r="E38" i="43" l="1"/>
  <c r="G38" i="43"/>
  <c r="I38" i="43" s="1"/>
  <c r="AA27" i="21"/>
  <c r="S27" i="21"/>
  <c r="E3" i="4"/>
  <c r="B5" i="55" s="1"/>
  <c r="B55" i="60" s="1"/>
  <c r="D6" i="48"/>
  <c r="W7" i="37"/>
  <c r="AC7" i="37"/>
  <c r="V42" i="37" s="1"/>
  <c r="I42" i="37" s="1"/>
  <c r="U7" i="35"/>
  <c r="AB7" i="35"/>
  <c r="T38" i="35" s="1"/>
  <c r="G38" i="35" s="1"/>
  <c r="F7" i="35"/>
  <c r="AB7" i="37"/>
  <c r="T42" i="37" s="1"/>
  <c r="G42" i="37" s="1"/>
  <c r="U7" i="37"/>
  <c r="G37" i="43"/>
  <c r="I37" i="43" s="1"/>
  <c r="E37" i="43"/>
  <c r="G34" i="43"/>
  <c r="I34" i="43" s="1"/>
  <c r="E34" i="43"/>
  <c r="H7" i="34"/>
  <c r="F7" i="34"/>
  <c r="S10" i="39"/>
  <c r="AA10" i="39"/>
  <c r="AB10" i="39"/>
  <c r="U10" i="39"/>
  <c r="J63" i="40"/>
  <c r="I65" i="40"/>
  <c r="C98" i="57"/>
  <c r="D59" i="57" s="1"/>
  <c r="D57" i="57" s="1"/>
  <c r="M55" i="57" s="1"/>
  <c r="N58" i="57" s="1"/>
  <c r="C97" i="57"/>
  <c r="E97" i="57" s="1"/>
  <c r="E98" i="57" s="1"/>
  <c r="H46" i="36"/>
  <c r="C81" i="57"/>
  <c r="E81" i="57" s="1"/>
  <c r="E82" i="57" s="1"/>
  <c r="C82" i="57"/>
  <c r="B4" i="55"/>
  <c r="B53" i="60" s="1"/>
  <c r="AC7" i="35"/>
  <c r="V38" i="35" s="1"/>
  <c r="I38" i="35" s="1"/>
  <c r="W7" i="35"/>
  <c r="H7" i="39"/>
  <c r="J7" i="39"/>
  <c r="F7" i="39"/>
  <c r="S7" i="37"/>
  <c r="AA7" i="37"/>
  <c r="R42" i="37" s="1"/>
  <c r="C30" i="43"/>
  <c r="E30" i="43" s="1"/>
  <c r="C27" i="43" s="1"/>
  <c r="E29" i="43"/>
  <c r="C26" i="43" s="1"/>
  <c r="B2" i="43" s="1"/>
  <c r="B3" i="43" s="1"/>
  <c r="G35" i="43"/>
  <c r="I35" i="43" s="1"/>
  <c r="E35" i="43"/>
  <c r="K58" i="21"/>
  <c r="L58" i="21" s="1"/>
  <c r="M58" i="21" s="1"/>
  <c r="N58" i="21" s="1"/>
  <c r="O58" i="21" s="1"/>
  <c r="J7" i="21"/>
  <c r="W7" i="34"/>
  <c r="AC7" i="34"/>
  <c r="V49" i="34" s="1"/>
  <c r="I49" i="34" s="1"/>
  <c r="U10" i="40"/>
  <c r="AB10" i="40"/>
  <c r="I58" i="33"/>
  <c r="M11" i="15"/>
  <c r="J10" i="15" s="1"/>
  <c r="J5" i="15" s="1"/>
  <c r="F11" i="15"/>
  <c r="O17" i="43"/>
  <c r="M17" i="43"/>
  <c r="P17" i="43"/>
  <c r="N17" i="43"/>
  <c r="F22" i="11"/>
  <c r="F24" i="15"/>
  <c r="F25" i="12"/>
  <c r="C104" i="57"/>
  <c r="C105" i="57"/>
  <c r="B18" i="49" l="1"/>
  <c r="B4" i="60" s="1"/>
  <c r="AC7" i="21"/>
  <c r="V48" i="21" s="1"/>
  <c r="I48" i="21" s="1"/>
  <c r="W7" i="21"/>
  <c r="R43" i="37"/>
  <c r="E42" i="37"/>
  <c r="AA7" i="39"/>
  <c r="R47" i="39" s="1"/>
  <c r="S7" i="39"/>
  <c r="U7" i="39"/>
  <c r="AB7" i="39"/>
  <c r="T47" i="39" s="1"/>
  <c r="G47" i="39" s="1"/>
  <c r="I42" i="35"/>
  <c r="J42" i="35" s="1"/>
  <c r="I46" i="36"/>
  <c r="P58" i="57"/>
  <c r="N60" i="57"/>
  <c r="N59" i="57"/>
  <c r="J65" i="40"/>
  <c r="K63" i="40"/>
  <c r="U7" i="34"/>
  <c r="AB7" i="34"/>
  <c r="T49" i="34" s="1"/>
  <c r="G49" i="34" s="1"/>
  <c r="AA7" i="35"/>
  <c r="R38" i="35" s="1"/>
  <c r="S7" i="35"/>
  <c r="I53" i="34"/>
  <c r="J53" i="34" s="1"/>
  <c r="J58" i="33"/>
  <c r="AC7" i="39"/>
  <c r="V47" i="39" s="1"/>
  <c r="I47" i="39" s="1"/>
  <c r="W7" i="39"/>
  <c r="AA7" i="34"/>
  <c r="R49" i="34" s="1"/>
  <c r="S7" i="34"/>
  <c r="H7" i="21"/>
  <c r="G46" i="37"/>
  <c r="H46" i="37" s="1"/>
  <c r="G47" i="37"/>
  <c r="H47" i="37" s="1"/>
  <c r="G42" i="35"/>
  <c r="H42" i="35" s="1"/>
  <c r="G43" i="35"/>
  <c r="H43" i="35" s="1"/>
  <c r="I46" i="37"/>
  <c r="J46" i="37" s="1"/>
  <c r="I47" i="37"/>
  <c r="J47" i="37" s="1"/>
  <c r="F7" i="21"/>
  <c r="C24" i="15"/>
  <c r="C23" i="15"/>
  <c r="C54" i="15"/>
  <c r="C49" i="15" s="1"/>
  <c r="C10" i="15"/>
  <c r="C5" i="15" s="1"/>
  <c r="C26" i="12"/>
  <c r="D25" i="12" s="1"/>
  <c r="C27" i="12"/>
  <c r="C25" i="12" s="1"/>
  <c r="C44" i="11"/>
  <c r="D41" i="11" s="1"/>
  <c r="C26" i="11"/>
  <c r="D22" i="11" s="1"/>
  <c r="C23" i="11"/>
  <c r="C43" i="11"/>
  <c r="C25" i="11"/>
  <c r="C24" i="11"/>
  <c r="C42" i="11"/>
  <c r="J17" i="15"/>
  <c r="J26" i="15"/>
  <c r="J29" i="15" s="1"/>
  <c r="J24" i="15"/>
  <c r="C32" i="12" l="1"/>
  <c r="B2" i="12" s="1"/>
  <c r="C29" i="15"/>
  <c r="Q47" i="15" s="1"/>
  <c r="I51" i="39"/>
  <c r="J51" i="39" s="1"/>
  <c r="G53" i="34"/>
  <c r="H53" i="34" s="1"/>
  <c r="G54" i="34"/>
  <c r="H54" i="34" s="1"/>
  <c r="K65" i="40"/>
  <c r="L63" i="40"/>
  <c r="G51" i="39"/>
  <c r="H51" i="39" s="1"/>
  <c r="G52" i="39"/>
  <c r="H52" i="39" s="1"/>
  <c r="E46" i="37"/>
  <c r="F46" i="37" s="1"/>
  <c r="E47" i="37"/>
  <c r="F47" i="37" s="1"/>
  <c r="AA7" i="21"/>
  <c r="R48" i="21" s="1"/>
  <c r="S7" i="21"/>
  <c r="AB7" i="21"/>
  <c r="T48" i="21" s="1"/>
  <c r="G48" i="21" s="1"/>
  <c r="U7" i="21"/>
  <c r="E49" i="34"/>
  <c r="R50" i="34"/>
  <c r="K58" i="33"/>
  <c r="E38" i="35"/>
  <c r="R39" i="35"/>
  <c r="N62" i="57"/>
  <c r="N61" i="57"/>
  <c r="J46" i="36"/>
  <c r="E47" i="39"/>
  <c r="I52" i="39" s="1"/>
  <c r="J52" i="39" s="1"/>
  <c r="R48" i="39"/>
  <c r="C43" i="37"/>
  <c r="B2" i="37" s="1"/>
  <c r="B3" i="37" s="1"/>
  <c r="C42" i="37"/>
  <c r="I52" i="21"/>
  <c r="J52" i="21" s="1"/>
  <c r="B3" i="12"/>
  <c r="C31" i="15"/>
  <c r="C38" i="15"/>
  <c r="J14" i="15"/>
  <c r="C41" i="11"/>
  <c r="C49" i="11" s="1"/>
  <c r="C51" i="11" s="1"/>
  <c r="C22" i="11"/>
  <c r="C31" i="11" s="1"/>
  <c r="C67" i="15"/>
  <c r="C60" i="15"/>
  <c r="C58" i="15" l="1"/>
  <c r="C65" i="15" s="1"/>
  <c r="C36" i="15"/>
  <c r="C13" i="15"/>
  <c r="Q68" i="15" s="1"/>
  <c r="C38" i="35"/>
  <c r="C39" i="35"/>
  <c r="C50" i="34"/>
  <c r="B2" i="34" s="1"/>
  <c r="B3" i="34" s="1"/>
  <c r="C49" i="34"/>
  <c r="L65" i="40"/>
  <c r="M63" i="40"/>
  <c r="C48" i="39"/>
  <c r="C47" i="39"/>
  <c r="E51" i="39"/>
  <c r="F51" i="39" s="1"/>
  <c r="E52" i="39"/>
  <c r="F52" i="39" s="1"/>
  <c r="K46" i="36"/>
  <c r="E43" i="35"/>
  <c r="F43" i="35" s="1"/>
  <c r="E42" i="35"/>
  <c r="F42" i="35" s="1"/>
  <c r="I43" i="35"/>
  <c r="J43" i="35" s="1"/>
  <c r="L58" i="33"/>
  <c r="E54" i="34"/>
  <c r="F54" i="34" s="1"/>
  <c r="E53" i="34"/>
  <c r="F53" i="34" s="1"/>
  <c r="I54" i="34"/>
  <c r="J54" i="34" s="1"/>
  <c r="G53" i="21"/>
  <c r="H53" i="21" s="1"/>
  <c r="G52" i="21"/>
  <c r="H52" i="21" s="1"/>
  <c r="E48" i="21"/>
  <c r="R49" i="21"/>
  <c r="J13" i="15"/>
  <c r="J23" i="15" s="1"/>
  <c r="J22" i="15"/>
  <c r="C52" i="11"/>
  <c r="C37" i="15" l="1"/>
  <c r="C30" i="15" s="1"/>
  <c r="C39" i="15" s="1"/>
  <c r="C40" i="15" s="1"/>
  <c r="C57" i="15"/>
  <c r="C66" i="15" s="1"/>
  <c r="C59" i="15" s="1"/>
  <c r="C68" i="15" s="1"/>
  <c r="C69" i="15" s="1"/>
  <c r="C72" i="15" s="1"/>
  <c r="J34" i="15"/>
  <c r="J38" i="15" s="1"/>
  <c r="J39" i="15" s="1"/>
  <c r="J16" i="15"/>
  <c r="J25" i="15" s="1"/>
  <c r="E52" i="21"/>
  <c r="F52" i="21" s="1"/>
  <c r="E53" i="21"/>
  <c r="F53" i="21" s="1"/>
  <c r="I53" i="21"/>
  <c r="J53" i="21" s="1"/>
  <c r="M58" i="33"/>
  <c r="L46" i="36"/>
  <c r="M65" i="40"/>
  <c r="N63" i="40"/>
  <c r="B3" i="35"/>
  <c r="B2" i="35"/>
  <c r="C48" i="21"/>
  <c r="C49" i="2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3" i="11"/>
  <c r="B2" i="11"/>
  <c r="C56" i="11"/>
  <c r="C57" i="11" s="1"/>
  <c r="Q67" i="15" l="1"/>
  <c r="Q66" i="15" s="1"/>
  <c r="C47" i="15"/>
  <c r="M46" i="36"/>
  <c r="N58" i="33"/>
  <c r="B3" i="21"/>
  <c r="B2" i="21"/>
  <c r="O63" i="40"/>
  <c r="O65" i="40" s="1"/>
  <c r="N65" i="40"/>
  <c r="H7" i="40" s="1"/>
  <c r="C43" i="15"/>
  <c r="Q63" i="15"/>
  <c r="Q73" i="15" s="1"/>
  <c r="B2" i="15"/>
  <c r="L52" i="15"/>
  <c r="Q45" i="15"/>
  <c r="Q51" i="15" s="1"/>
  <c r="Q54" i="15"/>
  <c r="Q60" i="15" s="1"/>
  <c r="B3" i="15"/>
  <c r="J41" i="15"/>
  <c r="C20" i="9"/>
  <c r="C19" i="9"/>
  <c r="D19" i="9"/>
  <c r="D20" i="9"/>
  <c r="C101" i="9" l="1"/>
  <c r="C102" i="9"/>
  <c r="U7" i="40"/>
  <c r="AB7" i="40"/>
  <c r="T42" i="40" s="1"/>
  <c r="G42" i="40" s="1"/>
  <c r="N46" i="36"/>
  <c r="J7" i="40"/>
  <c r="O58" i="33"/>
  <c r="H7" i="33" s="1"/>
  <c r="J7" i="33"/>
  <c r="F7" i="40"/>
  <c r="D102" i="9"/>
  <c r="G20" i="9"/>
  <c r="C32" i="9" s="1"/>
  <c r="D101" i="9"/>
  <c r="G19" i="9"/>
  <c r="D22" i="9"/>
  <c r="D35" i="9"/>
  <c r="D34" i="9" s="1"/>
  <c r="J42" i="15"/>
  <c r="Q65" i="15"/>
  <c r="L58" i="15"/>
  <c r="W7" i="33" l="1"/>
  <c r="AC7" i="33"/>
  <c r="V48" i="33" s="1"/>
  <c r="I48" i="33" s="1"/>
  <c r="W7" i="40"/>
  <c r="AC7" i="40"/>
  <c r="V42" i="40" s="1"/>
  <c r="I42" i="40" s="1"/>
  <c r="O46" i="36"/>
  <c r="J7" i="36"/>
  <c r="G46" i="40"/>
  <c r="H46" i="40" s="1"/>
  <c r="AA7" i="40"/>
  <c r="R42" i="40" s="1"/>
  <c r="S7" i="40"/>
  <c r="AB7" i="33"/>
  <c r="T48" i="33" s="1"/>
  <c r="G48" i="33" s="1"/>
  <c r="U7" i="33"/>
  <c r="F7" i="33"/>
  <c r="C35" i="9"/>
  <c r="G121" i="9" s="1"/>
  <c r="I121" i="9"/>
  <c r="W7" i="36" l="1"/>
  <c r="AC7" i="36"/>
  <c r="V36" i="36" s="1"/>
  <c r="I36" i="36" s="1"/>
  <c r="I46" i="40"/>
  <c r="J46" i="40" s="1"/>
  <c r="I52" i="33"/>
  <c r="J52" i="33" s="1"/>
  <c r="AA7" i="33"/>
  <c r="R48" i="33" s="1"/>
  <c r="S7" i="33"/>
  <c r="G53" i="33"/>
  <c r="H53" i="33" s="1"/>
  <c r="G52" i="33"/>
  <c r="H52" i="33" s="1"/>
  <c r="E42" i="40"/>
  <c r="I47" i="40" s="1"/>
  <c r="J47" i="40" s="1"/>
  <c r="R43" i="40"/>
  <c r="G47" i="40"/>
  <c r="H47" i="40" s="1"/>
  <c r="F7" i="36"/>
  <c r="H7" i="36"/>
  <c r="F121" i="9"/>
  <c r="G4" i="52"/>
  <c r="B41" i="60" s="1"/>
  <c r="D107" i="9"/>
  <c r="H121" i="9"/>
  <c r="C104" i="9"/>
  <c r="I4" i="52"/>
  <c r="I103" i="9"/>
  <c r="C34" i="9"/>
  <c r="E121" i="9" s="1"/>
  <c r="AA7" i="36" l="1"/>
  <c r="R36" i="36" s="1"/>
  <c r="S7" i="36"/>
  <c r="C43" i="40"/>
  <c r="C42" i="40"/>
  <c r="I40" i="36"/>
  <c r="J40" i="36" s="1"/>
  <c r="U7" i="36"/>
  <c r="AB7" i="36"/>
  <c r="T36" i="36" s="1"/>
  <c r="G36" i="36" s="1"/>
  <c r="E46" i="40"/>
  <c r="F46" i="40" s="1"/>
  <c r="E47" i="40"/>
  <c r="F47" i="40" s="1"/>
  <c r="R49" i="33"/>
  <c r="E48" i="33"/>
  <c r="D121" i="9"/>
  <c r="E4" i="52"/>
  <c r="B38" i="60" s="1"/>
  <c r="C103" i="9"/>
  <c r="H4" i="52"/>
  <c r="H122" i="9"/>
  <c r="H5" i="52" s="1"/>
  <c r="D106" i="9"/>
  <c r="D112" i="9" s="1"/>
  <c r="I102" i="9"/>
  <c r="D14" i="62"/>
  <c r="D9" i="50"/>
  <c r="B21" i="60" s="1"/>
  <c r="D30" i="50"/>
  <c r="F4" i="52"/>
  <c r="B40" i="60" s="1"/>
  <c r="F122" i="9"/>
  <c r="F5" i="52" s="1"/>
  <c r="B42" i="60" s="1"/>
  <c r="E53" i="33" l="1"/>
  <c r="F53" i="33" s="1"/>
  <c r="E52" i="33"/>
  <c r="F52" i="33" s="1"/>
  <c r="I53" i="33"/>
  <c r="J53" i="33" s="1"/>
  <c r="G40" i="36"/>
  <c r="H40" i="36" s="1"/>
  <c r="G41" i="36"/>
  <c r="H41" i="36" s="1"/>
  <c r="C48" i="33"/>
  <c r="C49" i="33"/>
  <c r="B2" i="33" s="1"/>
  <c r="B3" i="33"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R37" i="36"/>
  <c r="E36" i="36"/>
  <c r="F14" i="62"/>
  <c r="E14" i="62"/>
  <c r="B5" i="62"/>
  <c r="D113" i="9"/>
  <c r="D117" i="9"/>
  <c r="D28" i="50"/>
  <c r="D29" i="50" s="1"/>
  <c r="M48" i="9"/>
  <c r="D7" i="50"/>
  <c r="D45" i="9"/>
  <c r="I110" i="9"/>
  <c r="D4" i="52"/>
  <c r="B37" i="60" s="1"/>
  <c r="D122" i="9"/>
  <c r="D5" i="52" s="1"/>
  <c r="B39" i="60" s="1"/>
  <c r="C36" i="36" l="1"/>
  <c r="C37" i="36"/>
  <c r="B2" i="36" s="1"/>
  <c r="B3" i="36" s="1"/>
  <c r="E41" i="36"/>
  <c r="F41" i="36" s="1"/>
  <c r="E40" i="36"/>
  <c r="F40" i="36" s="1"/>
  <c r="I41" i="36"/>
  <c r="J41" i="36" s="1"/>
  <c r="D125" i="9"/>
  <c r="D36" i="50"/>
  <c r="D37" i="50" s="1"/>
  <c r="D15" i="50"/>
  <c r="B19" i="60"/>
  <c r="D8" i="50"/>
  <c r="B22" i="60" s="1"/>
  <c r="D38" i="50"/>
  <c r="B62" i="60" s="1"/>
  <c r="I111" i="9"/>
  <c r="D59" i="9"/>
  <c r="M55" i="9" s="1"/>
  <c r="D55" i="9"/>
  <c r="M53" i="9" s="1"/>
  <c r="C78" i="9"/>
  <c r="C73" i="9" s="1"/>
  <c r="C85" i="9"/>
  <c r="C93" i="9"/>
  <c r="C86" i="9" s="1"/>
  <c r="D53" i="9"/>
  <c r="D48" i="9" s="1"/>
  <c r="M52" i="9" s="1"/>
  <c r="D52" i="9"/>
  <c r="C64" i="9"/>
  <c r="C63" i="9" s="1"/>
  <c r="C67" i="9" s="1"/>
  <c r="C68" i="9" s="1"/>
  <c r="D54" i="9" s="1"/>
  <c r="C72" i="9"/>
  <c r="C79" i="9" s="1"/>
  <c r="I115" i="9"/>
  <c r="D23" i="50" s="1"/>
  <c r="B34" i="60" s="1"/>
  <c r="D44" i="50"/>
  <c r="C5" i="62"/>
  <c r="D5" i="62"/>
  <c r="C80" i="9" l="1"/>
  <c r="E80" i="9" s="1"/>
  <c r="E81" i="9" s="1"/>
  <c r="C95" i="9"/>
  <c r="D17" i="50"/>
  <c r="D126" i="9"/>
  <c r="D9" i="52" s="1"/>
  <c r="B29" i="60"/>
  <c r="D16" i="50"/>
  <c r="B30" i="60" s="1"/>
  <c r="G14" i="62"/>
  <c r="B6" i="62" s="1"/>
  <c r="D8" i="52"/>
  <c r="C81" i="9" l="1"/>
  <c r="C96" i="9"/>
  <c r="E96" i="9" s="1"/>
  <c r="E97" i="9" s="1"/>
  <c r="D6" i="62"/>
  <c r="C6" i="62"/>
  <c r="C97" i="9" l="1"/>
  <c r="D58" i="9" s="1"/>
  <c r="D56" i="9" s="1"/>
  <c r="M54" i="9" s="1"/>
  <c r="N57" i="9" s="1"/>
  <c r="P57" i="9" l="1"/>
  <c r="N58"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<sst xmlns="http://schemas.openxmlformats.org/spreadsheetml/2006/main" count="6859" uniqueCount="2897">
  <si>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</si>
  <si>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</si>
  <si>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</si>
  <si>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</si>
  <si>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</si>
  <si>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</si>
  <si>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</si>
  <si>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</si>
  <si>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</si>
  <si>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</si>
  <si>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</si>
  <si>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</si>
  <si>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</si>
  <si>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</si>
  <si>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</si>
  <si>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</si>
  <si>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</si>
  <si>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</si>
  <si>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</si>
  <si>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</si>
  <si>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</si>
  <si>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</si>
  <si>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</si>
  <si>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</si>
  <si>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</si>
  <si>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</si>
  <si>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</si>
  <si>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</si>
  <si>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</si>
  <si>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</si>
  <si>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</si>
  <si>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</si>
  <si>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</si>
  <si>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</si>
  <si>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</si>
  <si>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</si>
  <si>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</si>
  <si>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</si>
  <si>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</si>
  <si>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</si>
  <si>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</si>
  <si>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</si>
  <si>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</si>
  <si>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</si>
  <si>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</si>
  <si>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</si>
  <si>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</si>
  <si>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</si>
  <si>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</si>
  <si>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</si>
  <si>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</si>
  <si>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</si>
  <si>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</si>
  <si>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</si>
  <si>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</si>
  <si>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</si>
  <si>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</si>
  <si>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</si>
  <si>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</si>
  <si>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</si>
  <si>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</si>
  <si>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</si>
  <si>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</si>
  <si>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</si>
  <si>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</si>
  <si>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</si>
  <si>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</si>
  <si>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</si>
  <si>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</si>
  <si>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</si>
  <si>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</si>
  <si>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</si>
  <si>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</si>
  <si>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</si>
  <si>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</si>
  <si>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</si>
  <si>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</si>
  <si>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</si>
  <si>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</si>
  <si>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</si>
  <si>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</si>
  <si>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</si>
  <si>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</si>
  <si>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</si>
  <si>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</si>
  <si>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</si>
  <si>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</si>
  <si>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</si>
  <si>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</si>
  <si>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</si>
  <si>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</si>
  <si>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</si>
  <si>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</si>
  <si>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</si>
  <si>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</si>
  <si>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</si>
  <si>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</si>
  <si>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</si>
  <si>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</si>
  <si>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</si>
  <si>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</si>
  <si>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</si>
  <si>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</si>
  <si>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</si>
  <si>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</si>
  <si>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</si>
  <si>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</si>
  <si>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</si>
  <si>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</si>
  <si>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</si>
  <si>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</si>
  <si>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</si>
  <si>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</si>
  <si>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</si>
  <si>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</si>
  <si>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</si>
  <si>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</si>
  <si>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</si>
  <si>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</si>
  <si>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</si>
  <si>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</si>
  <si>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</si>
  <si>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</si>
  <si>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</si>
  <si>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</si>
  <si>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</si>
  <si>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</si>
  <si>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</si>
  <si>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</si>
  <si>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</si>
  <si>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</si>
  <si>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</si>
  <si>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</si>
  <si>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</si>
  <si>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</si>
  <si>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</si>
  <si>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</si>
  <si>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</si>
  <si>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</si>
  <si>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</si>
  <si>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</si>
  <si>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</si>
  <si>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</si>
  <si>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</si>
  <si>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</si>
  <si>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</si>
  <si>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</si>
  <si>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</si>
  <si>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</si>
  <si>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</si>
  <si>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</si>
  <si>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</si>
  <si>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</si>
  <si>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</si>
  <si>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</si>
  <si>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</si>
  <si>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</si>
  <si>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</si>
  <si>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</si>
  <si>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</si>
  <si>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</si>
  <si>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</si>
  <si>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</si>
  <si>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</si>
  <si>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</si>
  <si>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</si>
  <si>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</si>
  <si>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</si>
  <si>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</si>
  <si>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</si>
  <si>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</si>
  <si>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</si>
  <si>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</si>
  <si>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</si>
  <si>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</si>
  <si>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</si>
  <si>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</si>
  <si>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</si>
  <si>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</si>
  <si>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</si>
  <si>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</si>
  <si>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</si>
  <si>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</si>
  <si>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</si>
  <si>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</si>
  <si>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</si>
  <si>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</si>
  <si>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</si>
  <si>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</si>
  <si>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</si>
  <si>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</si>
  <si>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</si>
  <si>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</si>
  <si>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</si>
  <si>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</si>
  <si>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</si>
  <si>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</si>
  <si>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</si>
  <si>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</si>
  <si>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</si>
  <si>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</si>
  <si>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</si>
  <si>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</si>
  <si>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</si>
  <si>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</si>
  <si>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</si>
  <si>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</si>
  <si>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</si>
  <si>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</si>
  <si>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</si>
  <si>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</si>
  <si>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</si>
  <si>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</si>
  <si>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</si>
  <si>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</si>
  <si>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</si>
  <si>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</si>
  <si>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</si>
  <si>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</si>
  <si>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</si>
  <si>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</si>
  <si>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</si>
  <si>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</si>
  <si>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</si>
  <si>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</si>
  <si>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</si>
  <si>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</si>
  <si>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</si>
  <si>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</si>
  <si>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</si>
  <si>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</si>
  <si>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</si>
  <si>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</si>
  <si>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</si>
  <si>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</si>
  <si>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</si>
  <si>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</si>
  <si>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</si>
  <si>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</si>
  <si>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</si>
  <si>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</si>
  <si>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</si>
  <si>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</si>
  <si>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</si>
  <si>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</si>
  <si>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</si>
  <si>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</si>
  <si>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</si>
  <si>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</si>
  <si>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</si>
  <si>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</si>
  <si>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</si>
  <si>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</si>
  <si>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</si>
  <si>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</si>
  <si>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</si>
  <si>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</si>
  <si>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</si>
  <si>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</si>
  <si>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</si>
  <si>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</si>
  <si>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</si>
  <si>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</si>
  <si>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</si>
  <si>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</si>
  <si>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</si>
  <si>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</si>
  <si>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</si>
  <si>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</si>
  <si>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</si>
  <si>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</si>
  <si>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</si>
  <si>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</si>
  <si>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</si>
  <si>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</si>
  <si>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</si>
  <si>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</si>
  <si>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</si>
  <si>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</si>
  <si>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</si>
  <si>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</si>
  <si>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</si>
  <si>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</si>
  <si>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</si>
  <si>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</si>
  <si>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</si>
  <si>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</si>
  <si>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</si>
  <si>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</si>
  <si>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</si>
  <si>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</si>
  <si>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</si>
  <si>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</si>
  <si>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</si>
  <si>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</si>
  <si>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</si>
  <si>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</si>
  <si>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</si>
  <si>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</si>
  <si>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</si>
  <si>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</si>
  <si>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</si>
  <si>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</si>
  <si>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</si>
  <si>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</si>
  <si>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</si>
  <si>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</si>
  <si>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</si>
  <si>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</si>
  <si>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</si>
  <si>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</si>
  <si>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</si>
  <si>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</si>
  <si>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</si>
  <si>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</si>
  <si>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</si>
  <si>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</si>
  <si>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</si>
  <si>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</si>
  <si>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</si>
  <si>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</si>
  <si>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</si>
  <si>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</si>
  <si>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</si>
  <si>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</si>
  <si>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</si>
  <si>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</si>
  <si>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</si>
  <si>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</si>
  <si>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</si>
  <si>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</si>
  <si>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</si>
  <si>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</si>
  <si>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</si>
  <si>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</si>
  <si>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</si>
  <si>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</si>
  <si>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</si>
  <si>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</si>
  <si>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</si>
  <si>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</si>
  <si>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</si>
  <si>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</si>
  <si>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</si>
  <si>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</si>
  <si>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</si>
  <si>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</si>
  <si>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</si>
  <si>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</si>
  <si>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</si>
  <si>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</si>
  <si>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</si>
  <si>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</si>
  <si>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</si>
  <si>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</si>
  <si>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</si>
  <si>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</si>
  <si>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</si>
  <si>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</si>
  <si>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</si>
  <si>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</si>
  <si>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</si>
  <si>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</si>
  <si>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</si>
  <si>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</si>
  <si>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</si>
  <si>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</si>
  <si>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</si>
  <si>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</si>
  <si>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</si>
  <si>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</si>
  <si>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</si>
  <si>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</si>
  <si>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</si>
  <si>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</si>
  <si>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</si>
  <si>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</si>
  <si>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</si>
  <si>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</si>
  <si>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</si>
  <si>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</si>
  <si>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</si>
  <si>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</si>
  <si>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</si>
  <si>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</si>
  <si>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</si>
  <si>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</si>
  <si>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</si>
  <si>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</si>
  <si>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</si>
  <si>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</si>
  <si>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</si>
  <si>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</si>
  <si>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</si>
  <si>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</si>
  <si>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</si>
  <si>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</si>
  <si>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</si>
  <si>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</si>
  <si>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</si>
  <si>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</si>
  <si>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</si>
  <si>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</si>
  <si>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</si>
  <si>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</si>
  <si>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</si>
  <si>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</si>
  <si>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</si>
  <si>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</si>
  <si>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</si>
  <si>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</si>
  <si>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</si>
  <si>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</si>
  <si>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</si>
  <si>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</si>
  <si>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</si>
  <si>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</si>
  <si>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</si>
  <si>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</si>
  <si>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</si>
  <si>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</si>
  <si>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</si>
  <si>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</si>
  <si>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</si>
  <si>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</si>
  <si>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</si>
  <si>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</si>
  <si>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</si>
  <si>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</si>
  <si>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</si>
  <si>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</si>
  <si>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</si>
  <si>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</si>
  <si>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</si>
  <si>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</si>
  <si>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</si>
  <si>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</si>
  <si>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</si>
  <si>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</si>
  <si>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</si>
  <si>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</si>
  <si>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</si>
  <si>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</si>
  <si>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</si>
  <si>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</si>
  <si>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</si>
  <si>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</si>
  <si>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</si>
  <si>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</si>
  <si>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</si>
  <si>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</si>
  <si>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</si>
  <si>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</si>
  <si>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</si>
  <si>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</si>
  <si>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</si>
  <si>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</si>
  <si>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</si>
  <si>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</si>
  <si>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</si>
  <si>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</si>
  <si>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</si>
  <si>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</si>
  <si>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</si>
  <si>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</si>
  <si>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</si>
  <si>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</si>
  <si>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</si>
  <si>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</si>
  <si>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</si>
  <si>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</si>
  <si>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</si>
  <si>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</si>
  <si>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</si>
  <si>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</si>
  <si>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</si>
  <si>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</si>
  <si>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</si>
  <si>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</si>
  <si>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</si>
  <si>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</si>
  <si>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</si>
  <si>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</si>
  <si>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</si>
  <si>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</si>
  <si>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</si>
  <si>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</si>
  <si>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</si>
  <si>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</si>
  <si>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</si>
  <si>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</si>
  <si>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</si>
  <si>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</si>
  <si>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</si>
  <si>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</si>
  <si>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</si>
  <si>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</si>
  <si>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</si>
  <si>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</si>
  <si>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</si>
  <si>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</si>
  <si>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</si>
  <si>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</si>
  <si>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</si>
  <si>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</si>
  <si>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</si>
  <si>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</si>
  <si>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</si>
  <si>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</si>
  <si>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</si>
  <si>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</si>
  <si>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</si>
  <si>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</si>
  <si>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</si>
  <si>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</si>
  <si>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</si>
  <si>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</si>
  <si>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</si>
  <si>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</si>
  <si>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</si>
  <si>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</si>
  <si>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</si>
  <si>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</si>
  <si>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</si>
  <si>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</si>
  <si>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</si>
  <si>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</si>
  <si>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</si>
  <si>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</si>
  <si>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</si>
  <si>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</si>
  <si>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</si>
  <si>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</si>
  <si>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</si>
  <si>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</si>
  <si>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</si>
  <si>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</si>
  <si>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</si>
  <si>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</si>
  <si>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</si>
  <si>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</si>
  <si>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</si>
  <si>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</si>
  <si>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</si>
  <si>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</si>
  <si>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</si>
  <si>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</si>
  <si>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</si>
  <si>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</si>
  <si>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</si>
  <si>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</si>
  <si>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</si>
  <si>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</si>
  <si>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</si>
  <si>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</si>
  <si>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</si>
  <si>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</si>
  <si>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</si>
  <si>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</si>
  <si>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</si>
  <si>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</si>
  <si>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</si>
  <si>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</si>
  <si>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</si>
  <si>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</si>
  <si>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</si>
  <si>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</si>
  <si>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</si>
  <si>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</si>
  <si>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</si>
  <si>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</si>
  <si>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</si>
  <si>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</si>
  <si>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</si>
  <si>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</si>
  <si>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</si>
  <si>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</si>
  <si>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</si>
  <si>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</si>
  <si>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</si>
  <si>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</si>
  <si>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</si>
  <si>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</si>
  <si>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</si>
  <si>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</si>
  <si>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</si>
  <si>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</si>
  <si>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</si>
  <si>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</si>
  <si>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</si>
  <si>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</si>
  <si>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</si>
  <si>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</si>
  <si>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</si>
  <si>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</si>
  <si>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</si>
  <si>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</si>
  <si>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</si>
  <si>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</si>
  <si>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</si>
  <si>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</si>
  <si>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</si>
  <si>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</si>
  <si>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</si>
  <si>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</si>
  <si>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</si>
  <si>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</si>
  <si>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</si>
  <si>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</si>
  <si>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</si>
  <si>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</si>
  <si>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</si>
  <si>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</si>
  <si>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</si>
  <si>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</si>
  <si>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</si>
  <si>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</si>
  <si>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</si>
  <si>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</si>
  <si>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</si>
  <si>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</si>
  <si>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</si>
  <si>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</si>
  <si>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</si>
  <si>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</si>
  <si>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</si>
  <si>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</si>
  <si>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</si>
  <si>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</si>
  <si>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</si>
  <si>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</si>
  <si>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</si>
  <si>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</si>
  <si>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</si>
  <si>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</si>
  <si>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</si>
  <si>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</si>
  <si>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</si>
  <si>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</si>
  <si>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</si>
  <si>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</si>
  <si>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</si>
  <si>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</si>
  <si>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</si>
  <si>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</si>
  <si>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</si>
  <si>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</si>
  <si>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</si>
  <si>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</si>
  <si>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</si>
  <si>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</si>
  <si>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</si>
  <si>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</si>
  <si>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</si>
  <si>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</si>
  <si>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</si>
  <si>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</si>
  <si>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</si>
  <si>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</si>
  <si>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</si>
  <si>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</si>
  <si>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</si>
  <si>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</si>
  <si>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</si>
  <si>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</si>
  <si>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</si>
  <si>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</si>
  <si>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</si>
  <si>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</si>
  <si>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</si>
  <si>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</si>
  <si>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</si>
  <si>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</si>
  <si>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</si>
  <si>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</si>
  <si>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</si>
  <si>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</si>
  <si>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</si>
  <si>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</si>
  <si>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</si>
  <si>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</si>
  <si>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</si>
  <si>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</si>
  <si>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</si>
  <si>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</si>
  <si>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</si>
  <si>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</si>
  <si>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</si>
  <si>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</si>
  <si>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</si>
  <si>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</si>
  <si>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</si>
  <si>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</si>
  <si>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</si>
  <si>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</si>
  <si>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</si>
  <si>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</si>
  <si>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</si>
  <si>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</si>
  <si>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</si>
  <si>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</si>
  <si>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</si>
  <si>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</si>
  <si>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</si>
  <si>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</si>
  <si>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</si>
  <si>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</si>
  <si>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</si>
  <si>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</si>
  <si>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</si>
  <si>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</si>
  <si>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</si>
  <si>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</si>
  <si>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</si>
  <si>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</si>
  <si>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</si>
  <si>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</si>
  <si>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</si>
  <si>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</si>
  <si>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</si>
  <si>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</si>
  <si>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</si>
  <si>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</si>
  <si>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</si>
  <si>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</si>
  <si>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</si>
  <si>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</si>
  <si>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</si>
  <si>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</si>
  <si>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</si>
  <si>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</si>
  <si>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</si>
  <si>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</si>
  <si>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</si>
  <si>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</si>
  <si>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</si>
  <si>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</si>
  <si>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</si>
  <si>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</si>
  <si>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</si>
  <si>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</si>
  <si>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</si>
  <si>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</si>
  <si>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</si>
  <si>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</si>
  <si>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</si>
  <si>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</si>
  <si>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</si>
  <si>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</si>
  <si>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</si>
  <si>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</si>
  <si>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</si>
  <si>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</si>
  <si>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</si>
  <si>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</si>
  <si>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</si>
  <si>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</si>
  <si>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</si>
  <si>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</si>
  <si>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</si>
  <si>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</si>
  <si>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</si>
  <si>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</si>
  <si>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</si>
  <si>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</si>
  <si>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</si>
  <si>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</si>
  <si>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</si>
  <si>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</si>
  <si>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</si>
  <si>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</si>
  <si>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</si>
  <si>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</si>
  <si>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</si>
  <si>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</si>
  <si>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</si>
  <si>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</si>
  <si>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</si>
  <si>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</si>
  <si>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</si>
  <si>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</si>
  <si>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</si>
  <si>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</si>
  <si>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</si>
  <si>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</si>
  <si>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</si>
  <si>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</si>
  <si>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</si>
  <si>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</si>
  <si>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</si>
  <si>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</si>
  <si>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</si>
  <si>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</si>
  <si>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</si>
  <si>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</si>
  <si>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</si>
  <si>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</si>
  <si>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</si>
  <si>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</si>
  <si>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</si>
  <si>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</si>
  <si>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</si>
  <si>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</si>
  <si>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</si>
  <si>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</si>
  <si>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</si>
  <si>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</si>
  <si>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</si>
  <si>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</si>
  <si>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</si>
  <si>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</si>
  <si>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</si>
  <si>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</si>
  <si>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</si>
  <si>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</si>
  <si>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</si>
  <si>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</si>
  <si>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</si>
  <si>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</si>
  <si>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</si>
  <si>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</si>
  <si>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</si>
  <si>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</si>
  <si>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</si>
  <si>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</si>
  <si>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</si>
  <si>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</si>
  <si>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</si>
  <si>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</si>
  <si>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</si>
  <si>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</si>
  <si>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</si>
  <si>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</si>
  <si>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</si>
  <si>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</si>
  <si>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</si>
  <si>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</si>
  <si>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</si>
  <si>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</si>
  <si>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</si>
  <si>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</si>
  <si>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</si>
  <si>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</si>
  <si>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</si>
  <si>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</si>
  <si>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</si>
  <si>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</si>
  <si>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</si>
  <si>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</si>
  <si>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</si>
  <si>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</si>
  <si>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</si>
  <si>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</si>
  <si>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</si>
  <si>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</si>
  <si>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</si>
  <si>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</si>
  <si>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</si>
  <si>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</si>
  <si>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</si>
  <si>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</si>
  <si>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</si>
  <si>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</si>
  <si>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</si>
  <si>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</si>
  <si>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</si>
  <si>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</si>
  <si>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</si>
  <si>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</si>
  <si>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</si>
  <si>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</si>
  <si>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</si>
  <si>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</si>
  <si>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</si>
  <si>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</si>
  <si>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</si>
  <si>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</si>
  <si>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</si>
  <si>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</si>
  <si>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</si>
  <si>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</si>
  <si>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</si>
  <si>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</si>
  <si>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</si>
  <si>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</si>
  <si>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</si>
  <si>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</si>
  <si>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</si>
  <si>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</si>
  <si>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</si>
  <si>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</si>
  <si>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</si>
  <si>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</si>
  <si>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</si>
  <si>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</si>
  <si>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</si>
  <si>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</si>
  <si>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</si>
  <si>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</si>
  <si>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</si>
  <si>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</si>
  <si>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</si>
  <si>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</si>
  <si>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</si>
  <si>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</si>
  <si>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</si>
  <si>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</si>
  <si>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</si>
  <si>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</si>
  <si>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</si>
  <si>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</si>
  <si>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</si>
  <si>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</si>
  <si>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</si>
  <si>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</si>
  <si>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</si>
  <si>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</si>
  <si>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</si>
  <si>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</si>
  <si>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</si>
  <si>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</si>
  <si>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</si>
  <si>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</si>
  <si>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</si>
  <si>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</si>
  <si>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</si>
  <si>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</si>
  <si>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</si>
  <si>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</si>
  <si>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</si>
  <si>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</si>
  <si>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</si>
  <si>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</si>
  <si>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</si>
  <si>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</si>
  <si>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</si>
  <si>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</si>
  <si>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</si>
  <si>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</si>
  <si>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</si>
  <si>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</si>
  <si>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</si>
  <si>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</si>
  <si>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</si>
  <si>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</si>
  <si>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</si>
  <si>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</si>
  <si>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</si>
  <si>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</si>
  <si>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</si>
  <si>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</si>
  <si>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</si>
  <si>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</si>
  <si>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</si>
  <si>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</si>
  <si>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</si>
  <si>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</si>
  <si>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</si>
  <si>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</si>
  <si>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</si>
  <si>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</si>
  <si>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</si>
  <si>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</si>
  <si>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</si>
  <si>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</si>
  <si>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</si>
  <si>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</si>
  <si>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</si>
  <si>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</si>
  <si>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</si>
  <si>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</si>
  <si>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</si>
  <si>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</si>
  <si>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</si>
  <si>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</si>
  <si>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</si>
  <si>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</si>
  <si>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</si>
  <si>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</si>
  <si>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</si>
  <si>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</si>
  <si>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</si>
  <si>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</si>
  <si>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</si>
  <si>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</si>
  <si>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</si>
  <si>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</si>
  <si>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</si>
  <si>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</si>
  <si>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</si>
  <si>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</si>
  <si>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</si>
  <si>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</si>
  <si>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</si>
  <si>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</si>
  <si>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</si>
  <si>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</si>
  <si>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</si>
  <si>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</si>
  <si>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</si>
  <si>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</si>
  <si>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</si>
  <si>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</si>
  <si>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</si>
  <si>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</si>
  <si>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</si>
  <si>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</si>
  <si>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</si>
  <si>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</si>
  <si>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</si>
  <si>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</si>
  <si>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</si>
  <si>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</si>
  <si>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</si>
  <si>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</si>
  <si>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</si>
  <si>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</si>
  <si>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</si>
  <si>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</si>
  <si>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</si>
  <si>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</si>
  <si>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</si>
  <si>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</si>
  <si>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</si>
  <si>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</si>
  <si>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</si>
  <si>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</si>
  <si>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</si>
  <si>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</si>
  <si>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</si>
  <si>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</si>
  <si>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</si>
  <si>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</si>
  <si>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</si>
  <si>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</si>
  <si>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</si>
  <si>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</si>
  <si>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</si>
  <si>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</si>
  <si>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</si>
  <si>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</si>
  <si>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</si>
  <si>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</si>
  <si>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</si>
  <si>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</si>
  <si>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</si>
  <si>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</si>
  <si>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</si>
  <si>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</si>
  <si>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</si>
  <si>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</si>
  <si>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</si>
  <si>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</si>
  <si>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</si>
  <si>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</si>
  <si>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</si>
  <si>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</si>
  <si>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</si>
  <si>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</si>
  <si>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</si>
  <si>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</si>
  <si>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</si>
  <si>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</si>
  <si>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</si>
  <si>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</si>
  <si>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</si>
  <si>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</si>
  <si>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</si>
  <si>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</si>
  <si>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</si>
  <si>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</si>
  <si>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</si>
  <si>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</si>
  <si>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</si>
  <si>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</si>
  <si>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</si>
  <si>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</si>
  <si>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</si>
  <si>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</si>
  <si>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</si>
  <si>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</si>
  <si>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</si>
  <si>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</si>
  <si>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</si>
  <si>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</si>
  <si>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</si>
  <si>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</si>
  <si>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</si>
  <si>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</si>
  <si>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</si>
  <si>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</si>
  <si>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</si>
  <si>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</si>
  <si>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</si>
  <si>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</si>
  <si>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</si>
  <si>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</si>
  <si>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</si>
  <si>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</si>
  <si>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</si>
  <si>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</si>
  <si>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</si>
  <si>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</si>
  <si>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</si>
  <si>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</si>
  <si>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</si>
  <si>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</si>
  <si>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</si>
  <si>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</si>
  <si>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</si>
  <si>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</si>
  <si>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</si>
  <si>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</si>
  <si>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</si>
  <si>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</si>
  <si>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</si>
  <si>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</si>
  <si>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</si>
  <si>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</si>
  <si>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</si>
  <si>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</si>
  <si>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</si>
  <si>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</si>
  <si>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</si>
  <si>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</si>
  <si>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</si>
  <si>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</si>
  <si>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</si>
  <si>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</si>
  <si>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</si>
  <si>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</si>
  <si>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</si>
  <si>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</si>
  <si>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</si>
  <si>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</si>
  <si>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</si>
  <si>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</si>
  <si>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</si>
  <si>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</si>
  <si>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</si>
  <si>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</si>
  <si>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</si>
  <si>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</si>
  <si>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</si>
  <si>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</si>
  <si>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</si>
  <si>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</si>
  <si>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</si>
  <si>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</si>
  <si>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</si>
  <si>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</si>
  <si>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</si>
  <si>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</si>
  <si>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</si>
  <si>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</si>
  <si>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</si>
  <si>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</si>
  <si>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</si>
  <si>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</si>
  <si>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</si>
  <si>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</si>
  <si>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</si>
  <si>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</si>
  <si>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</si>
  <si>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</si>
  <si>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</si>
  <si>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</si>
  <si>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</si>
  <si>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</si>
  <si>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</si>
  <si>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</si>
  <si>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</si>
  <si>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</si>
  <si>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</si>
  <si>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</si>
  <si>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</si>
  <si>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</si>
  <si>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</si>
  <si>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</si>
  <si>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</si>
  <si>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</si>
  <si>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</si>
  <si>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</si>
  <si>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</si>
  <si>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</si>
  <si>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</si>
  <si>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</si>
  <si>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</si>
  <si>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</si>
  <si>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</si>
  <si>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</si>
  <si>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</si>
  <si>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</si>
  <si>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</si>
  <si>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</si>
  <si>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</si>
  <si>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</si>
  <si>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</si>
  <si>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</si>
  <si>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</si>
  <si>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</si>
  <si>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</si>
  <si>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</si>
  <si>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</si>
  <si>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</si>
  <si>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</si>
  <si>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</si>
  <si>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</si>
  <si>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</si>
  <si>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</si>
  <si>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</si>
  <si>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</si>
  <si>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</si>
  <si>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</si>
  <si>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</si>
  <si>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</si>
  <si>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</si>
  <si>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</si>
  <si>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</si>
  <si>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</si>
  <si>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</si>
  <si>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</si>
  <si>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</si>
  <si>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</si>
  <si>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</si>
  <si>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</si>
  <si>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</si>
  <si>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</si>
  <si>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</si>
  <si>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</si>
  <si>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</si>
  <si>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</si>
  <si>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</si>
  <si>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</si>
  <si>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</si>
  <si>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</si>
  <si>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</si>
  <si>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</si>
  <si>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</si>
  <si>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</si>
  <si>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</si>
  <si>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</si>
  <si>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</si>
  <si>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</si>
  <si>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</si>
  <si>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</si>
  <si>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</si>
  <si>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</si>
  <si>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</si>
  <si>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</si>
  <si>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</si>
  <si>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</si>
  <si>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</si>
  <si>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</si>
  <si>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</si>
  <si>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</si>
  <si>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</si>
  <si>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</si>
  <si>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</si>
  <si>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</si>
  <si>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</si>
  <si>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</si>
  <si>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</si>
  <si>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</si>
  <si>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</si>
  <si>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</si>
  <si>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</si>
  <si>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</si>
  <si>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</si>
  <si>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</si>
  <si>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</si>
  <si>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</si>
  <si>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</si>
  <si>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</si>
  <si>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</si>
  <si>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</si>
  <si>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</si>
  <si>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</si>
  <si>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</si>
  <si>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</si>
  <si>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</si>
  <si>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</si>
  <si>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</si>
  <si>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</si>
  <si>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</si>
  <si>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</si>
  <si>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</si>
  <si>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</si>
  <si>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</si>
  <si>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</si>
  <si>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</si>
  <si>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</si>
  <si>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</si>
  <si>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</si>
  <si>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</si>
  <si>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</si>
  <si>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</si>
  <si>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</si>
  <si>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</si>
  <si>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</si>
  <si>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</si>
  <si>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</si>
  <si>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</si>
  <si>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</si>
  <si>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</si>
  <si>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</si>
  <si>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</si>
  <si>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</si>
  <si>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</si>
  <si>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</si>
  <si>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</si>
  <si>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</si>
  <si>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</si>
  <si>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</si>
  <si>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</si>
  <si>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</si>
  <si>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</si>
  <si>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</si>
  <si>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</si>
  <si>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</si>
  <si>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</si>
  <si>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</si>
  <si>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</si>
  <si>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</si>
  <si>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</si>
  <si>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</si>
  <si>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</si>
  <si>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</si>
  <si>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</si>
  <si>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</si>
  <si>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</si>
  <si>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</si>
  <si>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</si>
  <si>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</si>
  <si>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</si>
  <si>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</si>
  <si>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</si>
  <si>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</si>
  <si>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</si>
  <si>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</si>
  <si>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</si>
  <si>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</si>
  <si>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</si>
  <si>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</si>
  <si>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</si>
  <si>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</si>
  <si>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</si>
  <si>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</si>
  <si>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</si>
  <si>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</si>
  <si>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</si>
  <si>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</si>
  <si>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</si>
  <si>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</si>
  <si>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</si>
  <si>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</si>
  <si>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</si>
  <si>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</si>
  <si>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</si>
  <si>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</si>
  <si>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</si>
  <si>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</si>
  <si>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</si>
  <si>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</si>
  <si>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</si>
  <si>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</si>
  <si>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</si>
  <si>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</si>
  <si>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</si>
  <si>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</si>
  <si>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</si>
  <si>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</si>
  <si>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</si>
  <si>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</si>
  <si>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</si>
  <si>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</si>
  <si>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</si>
  <si>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</si>
  <si>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</si>
  <si>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</si>
  <si>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</si>
  <si>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</si>
  <si>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</si>
  <si>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</si>
  <si>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</si>
  <si>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</si>
  <si>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</si>
  <si>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</si>
  <si>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</si>
  <si>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</si>
  <si>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</si>
  <si>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</si>
  <si>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</si>
  <si>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</si>
  <si>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</si>
  <si>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</si>
  <si>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</si>
  <si>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</si>
  <si>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</si>
  <si>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</si>
  <si>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</si>
  <si>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</si>
  <si>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</si>
  <si>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</si>
  <si>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</si>
  <si>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</si>
  <si>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</si>
  <si>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</si>
  <si>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</si>
  <si>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</si>
  <si>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</si>
  <si>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</si>
  <si>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</si>
  <si>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</si>
  <si>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</si>
  <si>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</si>
  <si>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</si>
  <si>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</si>
  <si>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</si>
  <si>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</si>
  <si>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</si>
  <si>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</si>
  <si>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</si>
  <si>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</si>
  <si>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</si>
  <si>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</si>
  <si>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</si>
  <si>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</si>
  <si>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</si>
  <si>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</si>
  <si>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</si>
  <si>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</si>
  <si>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</si>
  <si>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</si>
  <si>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</si>
  <si>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</si>
  <si>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</si>
  <si>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</si>
  <si>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</si>
  <si>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</si>
  <si>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</si>
  <si>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</si>
  <si>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</si>
  <si>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</si>
  <si>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</si>
  <si>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</si>
  <si>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</si>
  <si>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</si>
  <si>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</si>
  <si>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</si>
  <si>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</si>
  <si>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</si>
  <si>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</si>
  <si>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</si>
  <si>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</si>
  <si>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</si>
  <si>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</si>
  <si>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</si>
  <si>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</si>
  <si>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</si>
  <si>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</si>
  <si>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</si>
  <si>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</si>
  <si>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</si>
  <si>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</si>
  <si>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</si>
  <si>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</si>
  <si>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</si>
  <si>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</si>
  <si>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</si>
  <si>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</si>
  <si>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</si>
  <si>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</si>
  <si>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</si>
  <si>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</si>
  <si>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</si>
  <si>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</si>
  <si>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</si>
  <si>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</si>
  <si>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</si>
  <si>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</si>
  <si>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</si>
  <si>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</si>
  <si>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</si>
  <si>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</si>
  <si>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</si>
  <si>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</si>
  <si>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</si>
  <si>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</si>
  <si>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</si>
  <si>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</si>
  <si>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</si>
  <si>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</si>
  <si>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</si>
  <si>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</si>
  <si>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</si>
  <si>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</si>
  <si>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</si>
  <si>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</si>
  <si>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</si>
  <si>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</si>
  <si>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</si>
  <si>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</si>
  <si>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</si>
  <si>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</si>
  <si>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</si>
  <si>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</si>
  <si>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</si>
  <si>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</si>
  <si>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</si>
  <si>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</si>
  <si>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</si>
  <si>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</si>
  <si>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</si>
  <si>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</si>
  <si>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</si>
  <si>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</si>
  <si>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</si>
  <si>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</si>
  <si>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</si>
  <si>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</si>
  <si>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</si>
  <si>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</si>
  <si>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</si>
  <si>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</si>
  <si>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</si>
  <si>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</si>
  <si>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</si>
  <si>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</si>
  <si>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</si>
  <si>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</si>
  <si>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</si>
  <si>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</si>
  <si>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</si>
  <si>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</si>
  <si>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</si>
  <si>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</si>
  <si>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</si>
  <si>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</si>
  <si>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</si>
  <si>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</si>
  <si>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</si>
  <si>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</si>
  <si>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</si>
  <si>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</si>
  <si>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</si>
  <si>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</si>
  <si>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</si>
  <si>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</si>
  <si>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</si>
  <si>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</si>
  <si>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</si>
  <si>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</si>
  <si>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</si>
  <si>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</si>
  <si>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</si>
  <si>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</si>
  <si>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</si>
  <si>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</si>
  <si>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</si>
  <si>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</si>
  <si>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</si>
  <si>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</si>
  <si>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</si>
  <si>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</si>
  <si>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</si>
  <si>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</si>
  <si>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</si>
  <si>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</si>
  <si>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</si>
  <si>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</si>
  <si>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</si>
  <si>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</si>
  <si>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</si>
  <si>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</si>
  <si>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</si>
  <si>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</si>
  <si>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</si>
  <si>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</si>
  <si>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</si>
  <si>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</si>
  <si>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</si>
  <si>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</si>
  <si>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</si>
  <si>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</si>
  <si>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</si>
  <si>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</si>
  <si>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</si>
  <si>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</si>
  <si>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</si>
  <si>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</si>
  <si>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</si>
  <si>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</si>
  <si>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</si>
  <si>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</si>
  <si>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</si>
  <si>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</si>
  <si>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</si>
  <si>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</si>
  <si>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</si>
  <si>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</si>
  <si>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</si>
  <si>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</si>
  <si>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</si>
  <si>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</si>
  <si>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</si>
  <si>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</si>
  <si>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</si>
  <si>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</si>
  <si>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</si>
  <si>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</si>
  <si>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</si>
  <si>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</si>
  <si>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</si>
  <si>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</si>
  <si>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</si>
  <si>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</si>
  <si>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</si>
  <si>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</si>
  <si>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</si>
  <si>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</si>
  <si>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</si>
  <si>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</si>
  <si>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</si>
  <si>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</si>
  <si>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</si>
  <si>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</si>
  <si>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</si>
  <si>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</si>
  <si>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</si>
  <si>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</si>
  <si>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</si>
  <si>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</si>
  <si>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</si>
  <si>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</si>
  <si>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</si>
  <si>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</si>
  <si>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</si>
  <si>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</si>
  <si>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</si>
  <si>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</si>
  <si>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</si>
  <si>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</si>
  <si>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</si>
  <si>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</si>
  <si>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</si>
  <si>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</si>
  <si>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</si>
  <si>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</si>
  <si>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</si>
  <si>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</si>
  <si>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</si>
  <si>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</si>
  <si>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</si>
  <si>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</si>
  <si>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</si>
  <si>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</si>
  <si>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</si>
  <si>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</si>
  <si>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</si>
  <si>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</si>
  <si>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</si>
  <si>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</si>
  <si>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</si>
  <si>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</si>
  <si>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</si>
  <si>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</si>
  <si>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</si>
  <si>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</si>
  <si>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</si>
  <si>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</si>
  <si>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</si>
  <si>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</si>
  <si>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</si>
  <si>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</si>
  <si>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</si>
  <si>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</si>
  <si>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</si>
  <si>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</si>
  <si>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</si>
  <si>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</si>
  <si>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</si>
  <si>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</si>
  <si>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</si>
  <si>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</si>
  <si>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</si>
  <si>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</si>
  <si>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</si>
  <si>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</si>
  <si>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</si>
  <si>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</si>
  <si>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</si>
  <si>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</si>
  <si>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</si>
  <si>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</si>
  <si>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</si>
  <si>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</si>
  <si>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</si>
  <si>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</si>
  <si>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</si>
  <si>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</si>
  <si>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</si>
  <si>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</si>
  <si>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</si>
  <si>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</si>
  <si>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</si>
  <si>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</si>
  <si>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</si>
  <si>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</si>
  <si>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</si>
  <si>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</si>
  <si>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</si>
  <si>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</si>
  <si>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</si>
  <si>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</si>
  <si>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</si>
  <si>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</si>
  <si>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</si>
  <si>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</si>
  <si>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</si>
  <si>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</si>
  <si>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</si>
  <si>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</si>
  <si>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</si>
  <si>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</si>
  <si>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</si>
  <si>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</si>
  <si>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</si>
  <si>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</si>
  <si>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</si>
  <si>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</si>
  <si>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</si>
  <si>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</si>
  <si>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</si>
  <si>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</si>
  <si>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</si>
  <si>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</si>
  <si>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</si>
  <si>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</si>
  <si>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</si>
  <si>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</si>
  <si>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</si>
  <si>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</si>
  <si>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</si>
  <si>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</si>
  <si>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</si>
  <si>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</si>
  <si>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</si>
  <si>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</si>
  <si>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</si>
  <si>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</si>
  <si>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</si>
  <si>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</si>
  <si>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</si>
  <si>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</si>
  <si>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</si>
  <si>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</si>
  <si>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</si>
  <si>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</si>
  <si>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</si>
  <si>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</si>
  <si>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</si>
  <si>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</si>
  <si>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</si>
  <si>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</si>
  <si>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</si>
  <si>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</si>
  <si>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</si>
  <si>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</si>
  <si>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</si>
  <si>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</si>
  <si>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</si>
  <si>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</si>
  <si>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</si>
  <si>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</si>
  <si>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</si>
  <si>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</si>
  <si>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</si>
  <si>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</si>
  <si>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</si>
  <si>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</si>
  <si>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</si>
  <si>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</si>
  <si>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</si>
  <si>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</si>
  <si>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</si>
  <si>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</si>
  <si>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</si>
  <si>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</si>
  <si>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</si>
  <si>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</si>
  <si>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</si>
  <si>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</si>
  <si>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</si>
  <si>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</si>
  <si>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</si>
  <si>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</si>
  <si>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</si>
  <si>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</si>
  <si>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</si>
  <si>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</si>
  <si>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</si>
  <si>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</si>
  <si>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</si>
  <si>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</si>
  <si>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</si>
  <si>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</si>
  <si>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</si>
  <si>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</si>
  <si>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</si>
  <si>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</si>
  <si>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</si>
  <si>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</si>
  <si>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</si>
  <si>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</si>
  <si>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</si>
  <si>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</si>
  <si>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</si>
  <si>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</si>
  <si>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</si>
  <si>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</si>
  <si>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</si>
  <si>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</si>
  <si>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</si>
  <si>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</si>
  <si>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</si>
  <si>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</si>
  <si>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</si>
  <si>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</si>
  <si>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</si>
  <si>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</si>
  <si>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</si>
  <si>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</si>
  <si>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</si>
  <si>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</si>
  <si>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</si>
  <si>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</si>
  <si>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</si>
  <si>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</si>
  <si>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</si>
  <si>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</si>
  <si>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</si>
  <si>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</si>
  <si>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</si>
  <si>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</si>
  <si>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</si>
  <si>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</si>
  <si>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</si>
  <si>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</si>
  <si>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</si>
  <si>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</si>
  <si>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</si>
  <si>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</si>
  <si>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</si>
  <si>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</si>
  <si>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</si>
  <si>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</si>
  <si>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</si>
  <si>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</si>
  <si>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</si>
  <si>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</si>
  <si>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</si>
  <si>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</si>
  <si>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</si>
  <si>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</si>
  <si>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</si>
  <si>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</si>
  <si>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</si>
  <si>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</si>
  <si>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</si>
  <si>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</si>
  <si>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</si>
  <si>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</si>
  <si>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</si>
  <si>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</si>
  <si>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</si>
  <si>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</si>
  <si>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</si>
  <si>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</si>
  <si>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</si>
  <si>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</si>
  <si>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</si>
  <si>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</si>
  <si>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</si>
  <si>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</si>
  <si>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</si>
  <si>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</si>
  <si>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</si>
  <si>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</si>
  <si>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</si>
  <si>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</si>
  <si>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</si>
  <si>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</si>
  <si>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</si>
  <si>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</si>
  <si>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</si>
  <si>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</si>
  <si>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</si>
  <si>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</si>
  <si>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</si>
  <si>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</si>
  <si>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</si>
  <si>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</si>
  <si>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</si>
  <si>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</si>
  <si>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</si>
  <si>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</si>
  <si>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</si>
  <si>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</si>
  <si>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</si>
  <si>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</si>
  <si>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</si>
  <si>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</si>
  <si>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</si>
  <si>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</si>
  <si>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</si>
  <si>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</si>
  <si>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</si>
  <si>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</si>
  <si>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</si>
  <si>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</si>
  <si>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</si>
  <si>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</si>
  <si>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</si>
  <si>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</si>
  <si>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</si>
  <si>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</si>
  <si>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</si>
  <si>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</si>
  <si>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</si>
  <si>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</si>
  <si>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</si>
  <si>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</si>
  <si>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</si>
  <si>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</si>
  <si>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</si>
  <si>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</si>
  <si>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</si>
  <si>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</si>
  <si>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</si>
  <si>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</si>
  <si>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</si>
  <si>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</si>
  <si>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</si>
  <si>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</si>
  <si>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</si>
  <si>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</si>
  <si>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</si>
  <si>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</si>
  <si>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</si>
  <si>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</si>
  <si>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</si>
  <si>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</si>
  <si>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</si>
  <si>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</si>
  <si>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</si>
  <si>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</si>
  <si>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</si>
  <si>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</si>
  <si>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</si>
  <si>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</si>
  <si>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</si>
  <si>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</si>
  <si>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</si>
  <si>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</si>
  <si>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</si>
  <si>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</si>
  <si>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</si>
  <si>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</si>
  <si>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</si>
  <si>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</si>
  <si>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</si>
  <si>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</si>
  <si>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</si>
  <si>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</si>
  <si>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</si>
  <si>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</si>
  <si>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</si>
  <si>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</si>
  <si>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</si>
  <si>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</si>
  <si>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</si>
  <si>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</si>
  <si>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</si>
  <si>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</si>
  <si>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</si>
  <si>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</si>
  <si>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</si>
  <si>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</si>
  <si>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</si>
  <si>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</si>
  <si>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</si>
  <si>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</si>
  <si>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</si>
  <si>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</si>
  <si>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</si>
  <si>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</si>
  <si>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</si>
  <si>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</si>
  <si>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</si>
  <si>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</si>
  <si>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</si>
  <si>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</si>
  <si>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</si>
  <si>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</si>
  <si>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</si>
  <si>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</si>
  <si>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</si>
  <si>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</si>
  <si>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</si>
  <si>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</si>
  <si>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</si>
  <si>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</si>
  <si>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</si>
  <si>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</si>
  <si>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</si>
  <si>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</si>
  <si>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</si>
  <si>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</si>
  <si>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</si>
  <si>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</si>
  <si>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</si>
  <si>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</si>
  <si>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</si>
  <si>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</si>
  <si>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</si>
  <si>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</si>
  <si>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</si>
  <si>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</si>
  <si>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</si>
  <si>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</si>
  <si>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</si>
  <si>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</si>
  <si>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</si>
  <si>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</si>
  <si>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</si>
  <si>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</si>
  <si>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</si>
  <si>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</si>
  <si>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</si>
  <si>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</si>
  <si>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</si>
  <si>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</si>
  <si>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</si>
  <si>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</si>
  <si>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</si>
  <si>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</si>
  <si>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</si>
  <si>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</si>
  <si>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</si>
  <si>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</si>
  <si>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</si>
  <si>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</si>
  <si>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</si>
  <si>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</si>
  <si>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</si>
  <si>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</si>
  <si>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</si>
  <si>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</si>
  <si>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</si>
  <si>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</si>
  <si>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</si>
  <si>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</si>
  <si>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</si>
  <si>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</si>
  <si>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</si>
  <si>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</si>
  <si>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</si>
  <si>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</si>
  <si>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</si>
  <si>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</si>
  <si>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</si>
  <si>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</si>
  <si>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</si>
  <si>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</si>
  <si>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</si>
  <si>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</si>
  <si>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</si>
  <si>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</si>
  <si>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</si>
  <si>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</si>
  <si>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</si>
  <si>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</si>
  <si>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</si>
  <si>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</si>
  <si>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</si>
  <si>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</si>
  <si>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</si>
  <si>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</si>
  <si>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</si>
  <si>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</si>
  <si>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</si>
  <si>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</si>
  <si>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</si>
  <si>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</si>
  <si>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</si>
  <si>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</si>
  <si>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</si>
  <si>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</si>
  <si>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</si>
  <si>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</si>
  <si>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</si>
  <si>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</si>
  <si>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</si>
  <si>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</si>
  <si>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</si>
  <si>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</si>
  <si>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</si>
  <si>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</si>
  <si>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</si>
  <si>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</si>
  <si>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</si>
  <si>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</si>
  <si>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</si>
  <si>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</si>
  <si>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</si>
  <si>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</si>
  <si>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</si>
  <si>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</si>
  <si>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</si>
  <si>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</si>
  <si>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</si>
  <si>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</si>
  <si>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</si>
  <si>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</si>
  <si>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</si>
  <si>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</si>
  <si>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</si>
  <si>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</si>
  <si>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</si>
  <si>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</si>
  <si>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</si>
  <si>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</si>
  <si>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</si>
  <si>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</si>
  <si>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</si>
  <si>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</si>
  <si>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</si>
  <si>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</si>
  <si>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</si>
  <si>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</si>
  <si>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</si>
  <si>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</si>
  <si>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</si>
  <si>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</si>
  <si>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</si>
  <si>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</si>
  <si>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</si>
  <si>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</si>
  <si>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</si>
  <si>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</si>
  <si>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</si>
  <si>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</si>
  <si>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</si>
  <si>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</si>
  <si>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</si>
  <si>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</si>
  <si>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</si>
  <si>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</si>
  <si>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</si>
  <si>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</si>
  <si>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</si>
  <si>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</si>
  <si>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</si>
  <si>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</si>
  <si>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</si>
  <si>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</si>
  <si>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</si>
  <si>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</si>
  <si>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</si>
  <si>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</si>
  <si>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</si>
  <si>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</si>
  <si>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</si>
  <si>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</si>
  <si>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</si>
  <si>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</si>
  <si>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</si>
  <si>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</si>
  <si>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</si>
  <si>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</si>
  <si>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</si>
  <si>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</si>
  <si>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</si>
  <si>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</si>
  <si>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</si>
  <si>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</si>
  <si>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</si>
  <si>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</si>
  <si>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</si>
  <si>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</si>
  <si>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</si>
  <si>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</si>
  <si>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</si>
  <si>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</si>
  <si>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</si>
  <si>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</si>
  <si>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</si>
  <si>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</si>
  <si>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</si>
  <si>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</si>
  <si>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</si>
  <si>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</si>
  <si>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</si>
  <si>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</si>
  <si>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</si>
  <si>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</si>
  <si>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</si>
  <si>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</si>
  <si>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</si>
  <si>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</si>
  <si>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</si>
  <si>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</si>
  <si>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</si>
  <si>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</si>
  <si>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</si>
  <si>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</si>
  <si>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</si>
  <si>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</si>
  <si>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</si>
  <si>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</si>
  <si>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</si>
  <si>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</si>
  <si>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</si>
  <si>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</si>
  <si>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</si>
  <si>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</si>
  <si>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</si>
  <si>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</si>
  <si>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</si>
  <si>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</si>
  <si>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</si>
  <si>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</si>
  <si>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</si>
  <si>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</si>
  <si>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</si>
  <si>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</si>
  <si>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</si>
  <si>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</si>
  <si>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</si>
  <si>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</si>
  <si>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</si>
  <si>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</si>
  <si>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</si>
  <si>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</si>
  <si>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</si>
  <si>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</si>
  <si>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</si>
  <si>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</si>
  <si>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</si>
  <si>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</si>
  <si>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</si>
  <si>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</si>
  <si>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</si>
  <si>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</si>
  <si>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</si>
  <si>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</si>
  <si>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</si>
  <si>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</si>
  <si>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</si>
  <si>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</si>
  <si>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</si>
  <si>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</si>
  <si>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</si>
  <si>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</si>
  <si>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</si>
  <si>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</si>
  <si>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</si>
  <si>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</si>
  <si>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</si>
  <si>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</si>
  <si>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</si>
  <si>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</si>
  <si>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</si>
  <si>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</si>
  <si>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</si>
  <si>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</si>
  <si>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</si>
  <si>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</si>
  <si>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</si>
  <si>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</si>
  <si>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</si>
  <si>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</si>
  <si>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</si>
  <si>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</si>
  <si>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</si>
  <si>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</si>
  <si>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</si>
  <si>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</si>
  <si>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</si>
  <si>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</si>
  <si>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</si>
  <si>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</si>
  <si>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</si>
  <si>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</si>
  <si>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</si>
  <si>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</si>
  <si>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</si>
  <si>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</si>
  <si>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</si>
  <si>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</si>
  <si>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</si>
  <si>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</si>
  <si>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</si>
  <si>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</si>
  <si>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</si>
  <si>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</si>
  <si>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</si>
  <si>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</si>
  <si>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</si>
  <si>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</si>
  <si>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</si>
  <si>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</si>
  <si>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</si>
  <si>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</si>
  <si>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</si>
  <si>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</si>
  <si>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</si>
  <si>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</si>
  <si>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</si>
  <si>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</si>
  <si>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</si>
  <si>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</si>
  <si>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</si>
  <si>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</si>
  <si>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</si>
  <si>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</si>
  <si>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</si>
  <si>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</si>
  <si>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</si>
  <si>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</si>
  <si>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</si>
  <si>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</si>
  <si>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</si>
  <si>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</si>
  <si>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</si>
  <si>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</si>
  <si>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</si>
  <si>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</si>
  <si>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</si>
  <si>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</si>
  <si>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</si>
  <si>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</si>
  <si>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</si>
  <si>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</si>
  <si>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</si>
  <si>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</si>
  <si>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</si>
  <si>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</si>
  <si>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</si>
  <si>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</si>
  <si>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</si>
  <si>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</si>
  <si>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</si>
  <si>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</si>
  <si>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</si>
  <si>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</si>
  <si>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</si>
  <si>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</si>
  <si>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</si>
  <si>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</si>
  <si>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</si>
  <si>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</si>
  <si>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</si>
  <si>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</si>
  <si>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</si>
  <si>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</si>
  <si>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</si>
  <si>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</si>
  <si>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</si>
  <si>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</si>
  <si>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</si>
  <si>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</si>
  <si>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</si>
  <si>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</si>
  <si>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</si>
  <si>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</si>
  <si>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</si>
  <si>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</si>
  <si>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</si>
  <si>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</si>
  <si>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</si>
  <si>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</si>
  <si>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</si>
  <si>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</si>
  <si>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</si>
  <si>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</si>
  <si>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</si>
  <si>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</si>
  <si>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</si>
  <si>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</si>
  <si>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</si>
  <si>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</si>
  <si>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</si>
  <si>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</si>
  <si>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</si>
  <si>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</si>
  <si>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</si>
  <si>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</si>
  <si>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</si>
  <si>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</si>
  <si>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</si>
  <si>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</si>
  <si>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</si>
  <si>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</si>
  <si>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</si>
  <si>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</si>
  <si>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</si>
  <si>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</si>
  <si>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</si>
  <si>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</si>
  <si>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</si>
  <si>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</si>
  <si>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</si>
  <si>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</si>
  <si>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</si>
  <si>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</si>
  <si>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</si>
  <si>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</si>
  <si>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</si>
  <si>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</si>
  <si>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</si>
  <si>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</si>
  <si>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</si>
  <si>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</si>
  <si>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</si>
  <si>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</si>
  <si>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</si>
  <si>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</si>
  <si>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</si>
  <si>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</si>
  <si>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</si>
  <si>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</si>
  <si>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</si>
  <si>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</si>
  <si>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</si>
  <si>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</si>
  <si>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</si>
  <si>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</si>
  <si>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</si>
  <si>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</si>
  <si>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</si>
  <si>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</si>
  <si>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</si>
  <si>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</si>
  <si>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</si>
  <si>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</si>
  <si>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</si>
  <si>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</si>
  <si>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</si>
  <si>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</si>
  <si>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</si>
  <si>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</si>
  <si>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</si>
  <si>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</si>
  <si>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</si>
  <si>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</si>
  <si>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</si>
  <si>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</si>
  <si>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</si>
  <si>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</si>
  <si>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</si>
  <si>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</si>
  <si>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</si>
  <si>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</si>
  <si>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</si>
  <si>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</si>
  <si>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</si>
  <si>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</si>
  <si>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</si>
  <si>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</si>
  <si>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</si>
  <si>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</si>
  <si>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</si>
  <si>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</si>
  <si>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</si>
  <si>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</si>
  <si>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</si>
  <si>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</si>
  <si>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</si>
  <si>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</si>
  <si>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</si>
  <si>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</si>
  <si>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</si>
  <si>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</si>
  <si>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</si>
  <si>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</si>
  <si>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</si>
  <si>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</si>
  <si>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</si>
  <si>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</si>
  <si>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</si>
  <si>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</si>
  <si>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</si>
  <si>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</si>
  <si>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</si>
  <si>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</si>
  <si>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</si>
  <si>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</si>
  <si>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</si>
  <si>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</si>
  <si>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</si>
  <si>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</si>
  <si>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</si>
  <si>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</si>
  <si>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</si>
  <si>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</si>
  <si>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</si>
  <si>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</si>
  <si>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</si>
  <si>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</si>
  <si>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</si>
  <si>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</si>
  <si>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</si>
  <si>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</si>
  <si>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</si>
  <si>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</si>
  <si>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</si>
  <si>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</si>
  <si>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</si>
  <si>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</si>
  <si>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</si>
  <si>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</si>
  <si>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</si>
  <si>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</si>
  <si>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</si>
  <si>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</si>
  <si>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</si>
  <si>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</si>
  <si>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</si>
  <si>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</si>
  <si>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</si>
  <si>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</si>
  <si>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</si>
  <si>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</si>
  <si>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</si>
  <si>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</si>
  <si>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</si>
  <si>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</si>
  <si>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</si>
  <si>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</si>
  <si>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</si>
  <si>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</si>
  <si>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</si>
  <si>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</si>
  <si>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</si>
  <si>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</si>
  <si>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</si>
  <si>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</si>
  <si>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</si>
  <si>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</si>
  <si>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</si>
  <si>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</si>
  <si>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</si>
  <si>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</si>
  <si>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</si>
  <si>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</si>
  <si>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</si>
  <si>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</si>
  <si>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</si>
  <si>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</si>
  <si>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</si>
  <si>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</si>
  <si>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</si>
  <si>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</si>
  <si>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</si>
  <si>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</si>
  <si>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</si>
  <si>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</si>
  <si>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</si>
  <si>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</si>
  <si>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</si>
  <si>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</si>
  <si>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</si>
  <si>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</si>
  <si>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</si>
  <si>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</si>
  <si>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</si>
  <si>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</si>
  <si>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</si>
  <si>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</si>
  <si>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</si>
  <si>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</si>
  <si>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</si>
  <si>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</si>
  <si>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</si>
  <si>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</si>
  <si>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</si>
  <si>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</si>
  <si>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</si>
  <si>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</si>
  <si>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</si>
  <si>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</si>
  <si>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</si>
  <si>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</si>
  <si>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</si>
  <si>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</si>
  <si>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</si>
  <si>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</si>
  <si>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</si>
  <si>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</si>
  <si>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</si>
  <si>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</si>
  <si>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</si>
  <si>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</si>
  <si>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</si>
  <si>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</si>
  <si>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</si>
  <si>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</si>
  <si>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</si>
  <si>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</si>
  <si>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</si>
  <si>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</si>
  <si>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</si>
  <si>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</si>
  <si>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</si>
  <si>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</si>
  <si>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</si>
  <si>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</si>
  <si>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</si>
  <si>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</si>
  <si>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</si>
  <si>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</si>
  <si>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</si>
  <si>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</si>
  <si>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</si>
  <si>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</si>
  <si>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</si>
  <si>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</si>
  <si>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</si>
  <si>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</si>
  <si>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</si>
  <si>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</si>
  <si>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</si>
  <si>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</si>
  <si>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</si>
  <si>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</si>
  <si>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</si>
  <si>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</si>
  <si>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</si>
  <si>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</si>
  <si>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</si>
  <si>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</si>
  <si>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</si>
  <si>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</si>
  <si>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</si>
  <si>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</si>
  <si>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</si>
  <si>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</si>
  <si>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</si>
  <si>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</si>
  <si>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</si>
  <si>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</si>
  <si>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</si>
  <si>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</si>
  <si>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</si>
  <si>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</si>
  <si>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</si>
  <si>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</si>
  <si>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</si>
  <si>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</si>
  <si>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</si>
  <si>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</si>
  <si>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</si>
  <si>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</si>
  <si>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</si>
  <si>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</si>
  <si>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</si>
  <si>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</si>
  <si>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</si>
  <si>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</si>
  <si>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</si>
  <si>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</si>
  <si>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</si>
  <si>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</si>
  <si>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</si>
  <si>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</si>
  <si>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</si>
  <si>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</si>
  <si>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</si>
  <si>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</si>
  <si>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</si>
  <si>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</si>
  <si>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</si>
  <si>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</si>
  <si>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</si>
  <si>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</si>
  <si>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</si>
  <si>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</si>
  <si>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</si>
  <si>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</si>
  <si>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</si>
  <si>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</si>
  <si>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</si>
  <si>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</si>
  <si>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</si>
  <si>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</si>
  <si>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</si>
  <si>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</si>
  <si>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</si>
  <si>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</si>
  <si>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</si>
  <si>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</si>
  <si>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</si>
  <si>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</si>
  <si>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</si>
  <si>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</si>
  <si>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</si>
  <si>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</si>
  <si>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</si>
  <si>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</si>
  <si>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</si>
  <si>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</si>
  <si>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</si>
  <si>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</si>
  <si>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</si>
  <si>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</si>
  <si>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</si>
  <si>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</si>
  <si>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</si>
  <si>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</si>
  <si>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</si>
  <si>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</si>
  <si>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</si>
  <si>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</si>
  <si>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</si>
  <si>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</si>
  <si>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</si>
  <si>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</si>
  <si>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</si>
  <si>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</si>
  <si>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</si>
  <si>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</si>
  <si>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</si>
  <si>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</si>
  <si>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</si>
  <si>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</si>
  <si>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</si>
  <si>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</si>
  <si>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</si>
  <si>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</si>
  <si>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</si>
  <si>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</si>
  <si>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</si>
  <si>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</si>
  <si>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</si>
  <si>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</si>
  <si>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</si>
  <si>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</si>
  <si>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</si>
  <si>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</si>
  <si>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</si>
  <si>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</si>
  <si>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</si>
  <si>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</si>
  <si>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</si>
  <si>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</si>
  <si>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</si>
  <si>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</si>
  <si>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</si>
  <si>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</si>
  <si>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</si>
  <si>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</si>
  <si>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</si>
  <si>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</si>
  <si>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</si>
  <si>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</si>
  <si>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</si>
  <si>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</si>
  <si>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</si>
  <si>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</si>
  <si>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</si>
  <si>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</si>
  <si>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</si>
  <si>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</si>
  <si>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</si>
  <si>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</si>
  <si>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</si>
  <si>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</si>
  <si>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</si>
  <si>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</si>
  <si>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</si>
  <si>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</si>
  <si>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</si>
  <si>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</si>
  <si>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</si>
  <si>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</si>
  <si>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</si>
  <si>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</si>
  <si>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</si>
  <si>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</si>
  <si>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</si>
  <si>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</si>
  <si>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</si>
  <si>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</si>
  <si>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</si>
  <si>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</si>
  <si>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</si>
  <si>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</si>
  <si>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</si>
  <si>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</si>
  <si>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</si>
  <si>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</si>
  <si>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</si>
  <si>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</si>
  <si>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</si>
  <si>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</si>
  <si>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</si>
  <si>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</si>
  <si>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</si>
  <si>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</si>
  <si>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</si>
  <si>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</si>
  <si>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</si>
  <si>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</si>
  <si>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</si>
  <si>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叶凌</t>
  </si>
  <si>
    <t>陈颖</t>
  </si>
  <si>
    <t>北京市</t>
  </si>
  <si>
    <t>自然人</t>
  </si>
  <si>
    <r>
      <rPr>
        <sz val="10"/>
        <color indexed="8"/>
        <rFont val="宋体"/>
        <family val="3"/>
        <charset val="134"/>
      </rPr>
      <t>北京市朝阳区外交部南街</t>
    </r>
    <r>
      <rPr>
        <sz val="10"/>
        <color indexed="8"/>
        <rFont val="Arial"/>
        <family val="2"/>
      </rPr>
      <t>8</t>
    </r>
    <r>
      <rPr>
        <sz val="10"/>
        <color indexed="8"/>
        <rFont val="宋体"/>
        <family val="3"/>
        <charset val="134"/>
      </rPr>
      <t>号（北座）</t>
    </r>
    <r>
      <rPr>
        <sz val="10"/>
        <color indexed="8"/>
        <rFont val="Arial"/>
        <family val="2"/>
      </rPr>
      <t>07A</t>
    </r>
    <r>
      <rPr>
        <sz val="10"/>
        <color indexed="8"/>
        <rFont val="宋体"/>
        <family val="3"/>
        <charset val="134"/>
      </rPr>
      <t>号）房屋及地下一层</t>
    </r>
    <r>
      <rPr>
        <sz val="10"/>
        <color indexed="8"/>
        <rFont val="Arial"/>
        <family val="2"/>
      </rPr>
      <t>31</t>
    </r>
    <r>
      <rPr>
        <sz val="10"/>
        <color indexed="8"/>
        <rFont val="宋体"/>
        <family val="3"/>
        <charset val="134"/>
      </rPr>
      <t>号车位</t>
    </r>
    <phoneticPr fontId="7" type="noConversion"/>
  </si>
  <si>
    <t>核定资产</t>
  </si>
  <si>
    <t>房地产市场价值</t>
  </si>
  <si>
    <t>住宅</t>
    <phoneticPr fontId="7" type="noConversion"/>
  </si>
  <si>
    <t>与房产证证载一致</t>
  </si>
  <si>
    <t>估价对象1（结果表）</t>
  </si>
  <si>
    <t>比较法-住宅</t>
  </si>
  <si>
    <t>收益法</t>
  </si>
  <si>
    <t>估价对象</t>
  </si>
  <si>
    <t>售价</t>
  </si>
  <si>
    <t>正常</t>
  </si>
  <si>
    <t>住宅</t>
  </si>
  <si>
    <t>住宅</t>
    <phoneticPr fontId="20" type="noConversion"/>
  </si>
  <si>
    <t>50-60（含）</t>
  </si>
  <si>
    <t>元</t>
  </si>
  <si>
    <t>楼面单价</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</si>
  <si>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</si>
  <si>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</si>
  <si>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</si>
  <si>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</si>
  <si>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</si>
  <si>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</si>
  <si>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</si>
  <si>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</si>
  <si>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</si>
  <si>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</si>
  <si>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</si>
  <si>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</si>
  <si>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</si>
  <si>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</si>
  <si>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</si>
  <si>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</si>
  <si>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</si>
  <si>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</si>
  <si>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</si>
  <si>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16</t>
    <phoneticPr fontId="4" type="noConversion"/>
  </si>
  <si>
    <t>估价对象周边有雅宝里社区、三丰里社区、建国门外外交公寓、大方家社区等，综合评价居住社区成熟度较好</t>
    <phoneticPr fontId="35" type="noConversion"/>
  </si>
  <si>
    <t>估价对象所在区域公共配套设施齐备情况较好</t>
    <phoneticPr fontId="35" type="noConversion"/>
  </si>
  <si>
    <t>估价对象周边有44路、58路、139路、特2路、特12路等多条公交线路及地铁2、6号线换乘站（朝阳门站），综合评价交通便捷度较好</t>
    <phoneticPr fontId="35" type="noConversion"/>
  </si>
  <si>
    <t>七通</t>
  </si>
  <si>
    <t>七通</t>
    <phoneticPr fontId="20" type="noConversion"/>
  </si>
  <si>
    <t>区域自然环境：日坛公园；人文环境：朝阳区政府、中国司法部、使馆区；综合评价环境状况较好</t>
    <phoneticPr fontId="35" type="noConversion"/>
  </si>
  <si>
    <t>楼层</t>
    <phoneticPr fontId="20" type="noConversion"/>
  </si>
  <si>
    <t>建成年代</t>
    <phoneticPr fontId="20" type="noConversion"/>
  </si>
  <si>
    <t>东北</t>
    <phoneticPr fontId="20" type="noConversion"/>
  </si>
  <si>
    <t>西北</t>
  </si>
  <si>
    <t>西北</t>
    <phoneticPr fontId="20" type="noConversion"/>
  </si>
  <si>
    <r>
      <t>6/21</t>
    </r>
    <r>
      <rPr>
        <sz val="11"/>
        <rFont val="宋体"/>
        <family val="3"/>
        <charset val="134"/>
      </rPr>
      <t>（低层）</t>
    </r>
    <phoneticPr fontId="20" type="noConversion"/>
  </si>
  <si>
    <t>塔楼</t>
  </si>
  <si>
    <t>塔楼</t>
    <phoneticPr fontId="20" type="noConversion"/>
  </si>
  <si>
    <t>钢混</t>
  </si>
  <si>
    <t>钢混</t>
    <phoneticPr fontId="20" type="noConversion"/>
  </si>
  <si>
    <t>中档</t>
  </si>
  <si>
    <t>中档</t>
    <phoneticPr fontId="20" type="noConversion"/>
  </si>
  <si>
    <t>普装</t>
  </si>
  <si>
    <t>普装</t>
    <phoneticPr fontId="20" type="noConversion"/>
  </si>
  <si>
    <t>物业公司</t>
  </si>
  <si>
    <t>物业公司</t>
    <phoneticPr fontId="20" type="noConversion"/>
  </si>
  <si>
    <t>七通</t>
    <phoneticPr fontId="20" type="noConversion"/>
  </si>
  <si>
    <t>平层</t>
  </si>
  <si>
    <t>平层</t>
    <phoneticPr fontId="20" type="noConversion"/>
  </si>
  <si>
    <t>简装</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</si>
  <si>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</si>
  <si>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设定收益年期(n)</t>
  </si>
  <si>
    <t>简装</t>
  </si>
  <si>
    <t>京华豪园</t>
    <phoneticPr fontId="4" type="noConversion"/>
  </si>
  <si>
    <t>京华豪园</t>
    <phoneticPr fontId="4" type="noConversion"/>
  </si>
  <si>
    <t>怡景园</t>
    <phoneticPr fontId="4" type="noConversion"/>
  </si>
  <si>
    <t>南</t>
  </si>
  <si>
    <t>南</t>
    <phoneticPr fontId="20" type="noConversion"/>
  </si>
  <si>
    <t>西</t>
  </si>
  <si>
    <t>西</t>
    <phoneticPr fontId="20" type="noConversion"/>
  </si>
  <si>
    <t>城市次干道——朝外市场街</t>
    <phoneticPr fontId="20" type="noConversion"/>
  </si>
  <si>
    <t>城市次干道——外交部南街</t>
    <phoneticPr fontId="20" type="noConversion"/>
  </si>
  <si>
    <r>
      <rPr>
        <sz val="11"/>
        <rFont val="宋体"/>
        <family val="3"/>
        <charset val="134"/>
      </rPr>
      <t>高层</t>
    </r>
    <r>
      <rPr>
        <sz val="11"/>
        <rFont val="Arial"/>
        <family val="2"/>
      </rPr>
      <t>/21</t>
    </r>
    <phoneticPr fontId="20" type="noConversion"/>
  </si>
  <si>
    <r>
      <rPr>
        <sz val="11"/>
        <rFont val="宋体"/>
        <family val="3"/>
        <charset val="134"/>
      </rPr>
      <t>中层</t>
    </r>
    <r>
      <rPr>
        <sz val="11"/>
        <rFont val="Arial"/>
        <family val="2"/>
      </rPr>
      <t>/14</t>
    </r>
    <phoneticPr fontId="20" type="noConversion"/>
  </si>
  <si>
    <t>东南</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</si>
</sst>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98</xdr:row>
      <xdr:rowOff>0</xdr:rowOff>
    </xdr:from>
    <xdr:to>
      <xdr:col>16</xdr:col>
      <xdr:colOff>65296</xdr:colOff>
      <xdr:row>111</xdr:row>
      <xdr:rowOff>37817</xdr:rowOff>
    </xdr:to>
    <xdr:pic>
      <xdr:nvPicPr>
        <xdr:cNvPr id="9" name="图片 8"/>
        <xdr:cNvPicPr>
          <a:picLocks noChangeAspect="1"/>
        </xdr:cNvPicPr>
      </xdr:nvPicPr>
      <xdr:blipFill>
        <a:blip xmlns:r="http://schemas.openxmlformats.org/officeDocument/2006/relationships" r:embed="rId1"/>
        <a:stretch>
          <a:fillRect/>
        </a:stretch>
      </xdr:blipFill>
      <xdr:spPr>
        <a:xfrm>
          <a:off x="0" y="16802100"/>
          <a:ext cx="11038096" cy="2266667"/>
        </a:xfrm>
        <a:prstGeom prst="rect">
          <a:avLst/>
        </a:prstGeom>
      </xdr:spPr>
    </xdr:pic>
    <xdr:clientData/>
  </xdr:twoCellAnchor>
  <xdr:twoCellAnchor editAs="oneCell">
    <xdr:from>
      <xdr:col>0</xdr:col>
      <xdr:colOff>0</xdr:colOff>
      <xdr:row>111</xdr:row>
      <xdr:rowOff>0</xdr:rowOff>
    </xdr:from>
    <xdr:to>
      <xdr:col>15</xdr:col>
      <xdr:colOff>455858</xdr:colOff>
      <xdr:row>124</xdr:row>
      <xdr:rowOff>18769</xdr:rowOff>
    </xdr:to>
    <xdr:pic>
      <xdr:nvPicPr>
        <xdr:cNvPr id="10" name="图片 9"/>
        <xdr:cNvPicPr>
          <a:picLocks noChangeAspect="1"/>
        </xdr:cNvPicPr>
      </xdr:nvPicPr>
      <xdr:blipFill>
        <a:blip xmlns:r="http://schemas.openxmlformats.org/officeDocument/2006/relationships" r:embed="rId2"/>
        <a:stretch>
          <a:fillRect/>
        </a:stretch>
      </xdr:blipFill>
      <xdr:spPr>
        <a:xfrm>
          <a:off x="0" y="19030950"/>
          <a:ext cx="10742858" cy="2247619"/>
        </a:xfrm>
        <a:prstGeom prst="rect">
          <a:avLst/>
        </a:prstGeom>
      </xdr:spPr>
    </xdr:pic>
    <xdr:clientData/>
  </xdr:twoCellAnchor>
  <xdr:twoCellAnchor editAs="oneCell">
    <xdr:from>
      <xdr:col>0</xdr:col>
      <xdr:colOff>0</xdr:colOff>
      <xdr:row>125</xdr:row>
      <xdr:rowOff>0</xdr:rowOff>
    </xdr:from>
    <xdr:to>
      <xdr:col>12</xdr:col>
      <xdr:colOff>322782</xdr:colOff>
      <xdr:row>136</xdr:row>
      <xdr:rowOff>18812</xdr:rowOff>
    </xdr:to>
    <xdr:pic>
      <xdr:nvPicPr>
        <xdr:cNvPr id="6" name="图片 5"/>
        <xdr:cNvPicPr>
          <a:picLocks noChangeAspect="1"/>
        </xdr:cNvPicPr>
      </xdr:nvPicPr>
      <xdr:blipFill>
        <a:blip xmlns:r="http://schemas.openxmlformats.org/officeDocument/2006/relationships" r:embed="rId3"/>
        <a:stretch>
          <a:fillRect/>
        </a:stretch>
      </xdr:blipFill>
      <xdr:spPr>
        <a:xfrm>
          <a:off x="0" y="21431250"/>
          <a:ext cx="8552382" cy="1904762"/>
        </a:xfrm>
        <a:prstGeom prst="rect">
          <a:avLst/>
        </a:prstGeom>
      </xdr:spPr>
    </xdr:pic>
    <xdr:clientData/>
  </xdr:twoCellAnchor>
  <xdr:twoCellAnchor editAs="oneCell">
    <xdr:from>
      <xdr:col>14</xdr:col>
      <xdr:colOff>28575</xdr:colOff>
      <xdr:row>0</xdr:row>
      <xdr:rowOff>0</xdr:rowOff>
    </xdr:from>
    <xdr:to>
      <xdr:col>22</xdr:col>
      <xdr:colOff>685033</xdr:colOff>
      <xdr:row>16</xdr:row>
      <xdr:rowOff>161562</xdr:rowOff>
    </xdr:to>
    <xdr:pic>
      <xdr:nvPicPr>
        <xdr:cNvPr id="12" name="图片 11"/>
        <xdr:cNvPicPr>
          <a:picLocks noChangeAspect="1"/>
        </xdr:cNvPicPr>
      </xdr:nvPicPr>
      <xdr:blipFill>
        <a:blip xmlns:r="http://schemas.openxmlformats.org/officeDocument/2006/relationships" r:embed="rId4"/>
        <a:stretch>
          <a:fillRect/>
        </a:stretch>
      </xdr:blipFill>
      <xdr:spPr>
        <a:xfrm>
          <a:off x="9629775" y="0"/>
          <a:ext cx="6142858" cy="2904762"/>
        </a:xfrm>
        <a:prstGeom prst="rect">
          <a:avLst/>
        </a:prstGeom>
      </xdr:spPr>
    </xdr:pic>
    <xdr:clientData/>
  </xdr:twoCellAnchor>
  <xdr:twoCellAnchor editAs="oneCell">
    <xdr:from>
      <xdr:col>0</xdr:col>
      <xdr:colOff>0</xdr:colOff>
      <xdr:row>32</xdr:row>
      <xdr:rowOff>0</xdr:rowOff>
    </xdr:from>
    <xdr:to>
      <xdr:col>15</xdr:col>
      <xdr:colOff>227286</xdr:colOff>
      <xdr:row>65</xdr:row>
      <xdr:rowOff>132627</xdr:rowOff>
    </xdr:to>
    <xdr:pic>
      <xdr:nvPicPr>
        <xdr:cNvPr id="13" name="图片 12"/>
        <xdr:cNvPicPr>
          <a:picLocks noChangeAspect="1"/>
        </xdr:cNvPicPr>
      </xdr:nvPicPr>
      <xdr:blipFill>
        <a:blip xmlns:r="http://schemas.openxmlformats.org/officeDocument/2006/relationships" r:embed="rId5"/>
        <a:stretch>
          <a:fillRect/>
        </a:stretch>
      </xdr:blipFill>
      <xdr:spPr>
        <a:xfrm>
          <a:off x="0" y="5486400"/>
          <a:ext cx="10514286" cy="5790477"/>
        </a:xfrm>
        <a:prstGeom prst="rect">
          <a:avLst/>
        </a:prstGeom>
      </xdr:spPr>
    </xdr:pic>
    <xdr:clientData/>
  </xdr:twoCellAnchor>
  <xdr:twoCellAnchor editAs="oneCell">
    <xdr:from>
      <xdr:col>0</xdr:col>
      <xdr:colOff>0</xdr:colOff>
      <xdr:row>0</xdr:row>
      <xdr:rowOff>0</xdr:rowOff>
    </xdr:from>
    <xdr:to>
      <xdr:col>14</xdr:col>
      <xdr:colOff>455944</xdr:colOff>
      <xdr:row>32</xdr:row>
      <xdr:rowOff>94553</xdr:rowOff>
    </xdr:to>
    <xdr:pic>
      <xdr:nvPicPr>
        <xdr:cNvPr id="14" name="图片 13"/>
        <xdr:cNvPicPr>
          <a:picLocks noChangeAspect="1"/>
        </xdr:cNvPicPr>
      </xdr:nvPicPr>
      <xdr:blipFill>
        <a:blip xmlns:r="http://schemas.openxmlformats.org/officeDocument/2006/relationships" r:embed="rId6"/>
        <a:stretch>
          <a:fillRect/>
        </a:stretch>
      </xdr:blipFill>
      <xdr:spPr>
        <a:xfrm>
          <a:off x="0" y="0"/>
          <a:ext cx="10057144" cy="5580953"/>
        </a:xfrm>
        <a:prstGeom prst="rect">
          <a:avLst/>
        </a:prstGeom>
      </xdr:spPr>
    </xdr:pic>
    <xdr:clientData/>
  </xdr:twoCellAnchor>
  <xdr:twoCellAnchor editAs="oneCell">
    <xdr:from>
      <xdr:col>15</xdr:col>
      <xdr:colOff>0</xdr:colOff>
      <xdr:row>37</xdr:row>
      <xdr:rowOff>0</xdr:rowOff>
    </xdr:from>
    <xdr:to>
      <xdr:col>24</xdr:col>
      <xdr:colOff>437324</xdr:colOff>
      <xdr:row>55</xdr:row>
      <xdr:rowOff>18662</xdr:rowOff>
    </xdr:to>
    <xdr:pic>
      <xdr:nvPicPr>
        <xdr:cNvPr id="15" name="图片 14"/>
        <xdr:cNvPicPr>
          <a:picLocks noChangeAspect="1"/>
        </xdr:cNvPicPr>
      </xdr:nvPicPr>
      <xdr:blipFill>
        <a:blip xmlns:r="http://schemas.openxmlformats.org/officeDocument/2006/relationships" r:embed="rId7"/>
        <a:stretch>
          <a:fillRect/>
        </a:stretch>
      </xdr:blipFill>
      <xdr:spPr>
        <a:xfrm>
          <a:off x="10287000" y="6343650"/>
          <a:ext cx="6609524" cy="3104762"/>
        </a:xfrm>
        <a:prstGeom prst="rect">
          <a:avLst/>
        </a:prstGeom>
      </xdr:spPr>
    </xdr:pic>
    <xdr:clientData/>
  </xdr:twoCellAnchor>
  <xdr:twoCellAnchor editAs="oneCell">
    <xdr:from>
      <xdr:col>0</xdr:col>
      <xdr:colOff>0</xdr:colOff>
      <xdr:row>64</xdr:row>
      <xdr:rowOff>104775</xdr:rowOff>
    </xdr:from>
    <xdr:to>
      <xdr:col>14</xdr:col>
      <xdr:colOff>627372</xdr:colOff>
      <xdr:row>96</xdr:row>
      <xdr:rowOff>94566</xdr:rowOff>
    </xdr:to>
    <xdr:pic>
      <xdr:nvPicPr>
        <xdr:cNvPr id="16" name="图片 15"/>
        <xdr:cNvPicPr>
          <a:picLocks noChangeAspect="1"/>
        </xdr:cNvPicPr>
      </xdr:nvPicPr>
      <xdr:blipFill>
        <a:blip xmlns:r="http://schemas.openxmlformats.org/officeDocument/2006/relationships" r:embed="rId8"/>
        <a:stretch>
          <a:fillRect/>
        </a:stretch>
      </xdr:blipFill>
      <xdr:spPr>
        <a:xfrm>
          <a:off x="0" y="11077575"/>
          <a:ext cx="10228572" cy="5476191"/>
        </a:xfrm>
        <a:prstGeom prst="rect">
          <a:avLst/>
        </a:prstGeom>
      </xdr:spPr>
    </xdr:pic>
    <xdr:clientData/>
  </xdr:twoCellAnchor>
  <xdr:twoCellAnchor editAs="oneCell">
    <xdr:from>
      <xdr:col>13</xdr:col>
      <xdr:colOff>638175</xdr:colOff>
      <xdr:row>65</xdr:row>
      <xdr:rowOff>161925</xdr:rowOff>
    </xdr:from>
    <xdr:to>
      <xdr:col>22</xdr:col>
      <xdr:colOff>599309</xdr:colOff>
      <xdr:row>84</xdr:row>
      <xdr:rowOff>18661</xdr:rowOff>
    </xdr:to>
    <xdr:pic>
      <xdr:nvPicPr>
        <xdr:cNvPr id="17" name="图片 16"/>
        <xdr:cNvPicPr>
          <a:picLocks noChangeAspect="1"/>
        </xdr:cNvPicPr>
      </xdr:nvPicPr>
      <xdr:blipFill>
        <a:blip xmlns:r="http://schemas.openxmlformats.org/officeDocument/2006/relationships" r:embed="rId9"/>
        <a:stretch>
          <a:fillRect/>
        </a:stretch>
      </xdr:blipFill>
      <xdr:spPr>
        <a:xfrm>
          <a:off x="9553575" y="11306175"/>
          <a:ext cx="6133334" cy="3114286"/>
        </a:xfrm>
        <a:prstGeom prst="rect">
          <a:avLst/>
        </a:prstGeom>
      </xdr:spPr>
    </xdr:pic>
    <xdr:clientData/>
  </xdr:twoCellAnchor>
  <xdr:twoCellAnchor editAs="oneCell">
    <xdr:from>
      <xdr:col>14</xdr:col>
      <xdr:colOff>352425</xdr:colOff>
      <xdr:row>18</xdr:row>
      <xdr:rowOff>133350</xdr:rowOff>
    </xdr:from>
    <xdr:to>
      <xdr:col>26</xdr:col>
      <xdr:colOff>113302</xdr:colOff>
      <xdr:row>28</xdr:row>
      <xdr:rowOff>75993</xdr:rowOff>
    </xdr:to>
    <xdr:pic>
      <xdr:nvPicPr>
        <xdr:cNvPr id="18" name="图片 17"/>
        <xdr:cNvPicPr>
          <a:picLocks noChangeAspect="1"/>
        </xdr:cNvPicPr>
      </xdr:nvPicPr>
      <xdr:blipFill>
        <a:blip xmlns:r="http://schemas.openxmlformats.org/officeDocument/2006/relationships" r:embed="rId10"/>
        <a:stretch>
          <a:fillRect/>
        </a:stretch>
      </xdr:blipFill>
      <xdr:spPr>
        <a:xfrm>
          <a:off x="9953625" y="3219450"/>
          <a:ext cx="7990477" cy="1657143"/>
        </a:xfrm>
        <a:prstGeom prst="rect">
          <a:avLst/>
        </a:prstGeom>
      </xdr:spPr>
    </xdr:pic>
    <xdr:clientData/>
  </xdr:twoCellAnchor>
  <xdr:twoCellAnchor editAs="oneCell">
    <xdr:from>
      <xdr:col>15</xdr:col>
      <xdr:colOff>0</xdr:colOff>
      <xdr:row>56</xdr:row>
      <xdr:rowOff>0</xdr:rowOff>
    </xdr:from>
    <xdr:to>
      <xdr:col>26</xdr:col>
      <xdr:colOff>275248</xdr:colOff>
      <xdr:row>64</xdr:row>
      <xdr:rowOff>133162</xdr:rowOff>
    </xdr:to>
    <xdr:pic>
      <xdr:nvPicPr>
        <xdr:cNvPr id="19" name="图片 18"/>
        <xdr:cNvPicPr>
          <a:picLocks noChangeAspect="1"/>
        </xdr:cNvPicPr>
      </xdr:nvPicPr>
      <xdr:blipFill>
        <a:blip xmlns:r="http://schemas.openxmlformats.org/officeDocument/2006/relationships" r:embed="rId11"/>
        <a:stretch>
          <a:fillRect/>
        </a:stretch>
      </xdr:blipFill>
      <xdr:spPr>
        <a:xfrm>
          <a:off x="10287000" y="9601200"/>
          <a:ext cx="7819048" cy="15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Z24" sqref="Z2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估价对象为北京市房地产，为所有。根据《不动产权证书》[]，估价对象建筑面积为223.09平方米，（分摊）出让国有建设用地使用权面积为平方米。估价对象用途为。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2014年11月19日</v>
      </c>
    </row>
    <row r="10" spans="1:2">
      <c r="A10" s="1702" t="s">
        <v>1117</v>
      </c>
      <c r="B10" s="1689" t="str">
        <f>'预评函-1'!A13</f>
        <v>本次估价的“房地产价值”是指在正常市场情况下，在价值时点2014年11月19日，估价对象规划用途为，假定未设立法定优先受偿款下的房地产市场价值。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223.09</v>
      </c>
    </row>
    <row r="19" spans="1:2">
      <c r="A19" s="1702" t="s">
        <v>1126</v>
      </c>
      <c r="B19" s="1689">
        <f ca="1">'预评函-2（1）'!D7</f>
        <v>8991642</v>
      </c>
    </row>
    <row r="20" spans="1:2">
      <c r="A20" s="1702" t="s">
        <v>1164</v>
      </c>
      <c r="B20" s="1689" t="str">
        <f>'预评函-2（1）'!C7</f>
        <v>总价（元）</v>
      </c>
    </row>
    <row r="21" spans="1:2">
      <c r="A21" s="1702" t="s">
        <v>1127</v>
      </c>
      <c r="B21" s="1689">
        <f ca="1">'预评函-2（1）'!D9</f>
        <v>40305</v>
      </c>
    </row>
    <row r="22" spans="1:2">
      <c r="A22" s="1702" t="s">
        <v>1128</v>
      </c>
      <c r="B22" s="1689" t="str">
        <f ca="1">'预评函-2（1）'!D8</f>
        <v>捌佰玖拾玖万壹仟陆佰肆拾贰元整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8991642</v>
      </c>
    </row>
    <row r="30" spans="1:2">
      <c r="A30" s="1702" t="s">
        <v>1134</v>
      </c>
      <c r="B30" s="1689" t="str">
        <f ca="1">'预评函-2（1）'!D16</f>
        <v>捌佰玖拾玖万壹仟陆佰肆拾贰元整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8146354</v>
      </c>
    </row>
    <row r="38" spans="1:2">
      <c r="A38" s="1702" t="s">
        <v>1142</v>
      </c>
      <c r="B38" s="1689">
        <f ca="1">'预评函-2（2）'!E4</f>
        <v>36516</v>
      </c>
    </row>
    <row r="39" spans="1:2">
      <c r="A39" s="1702" t="s">
        <v>1143</v>
      </c>
      <c r="B39" s="1689" t="str">
        <f ca="1">'预评函-2（2）'!D5</f>
        <v>捌佰壹拾肆万陆仟叁佰伍拾肆元整</v>
      </c>
    </row>
    <row r="40" spans="1:2">
      <c r="A40" s="1702" t="s">
        <v>1144</v>
      </c>
      <c r="B40" s="1689">
        <f ca="1">'预评函-2（2）'!F4</f>
        <v>845288</v>
      </c>
    </row>
    <row r="41" spans="1:2">
      <c r="A41" s="1702" t="s">
        <v>1145</v>
      </c>
      <c r="B41" s="1689">
        <f ca="1">'预评函-2（2）'!G4</f>
        <v>3789</v>
      </c>
    </row>
    <row r="42" spans="1:2" s="1699" customFormat="1" ht="15.75" thickBot="1">
      <c r="A42" s="1703" t="s">
        <v>1146</v>
      </c>
      <c r="B42" s="1691" t="str">
        <f ca="1">'预评函-2（2）'!F5</f>
        <v>捌拾肆万伍仟贰佰捌拾捌元整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40305</v>
      </c>
    </row>
    <row r="63" spans="1:2" s="1701" customFormat="1" ht="28.5">
      <c r="A63" s="1705" t="s">
        <v>1258</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3" sqref="D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北京市房地产市场价值预评估</v>
      </c>
      <c r="C1" s="1063"/>
      <c r="D1" s="1996"/>
      <c r="E1" s="1063"/>
      <c r="F1" s="1997" t="s">
        <v>1545</v>
      </c>
      <c r="G1" s="1682"/>
      <c r="I1" s="1020" t="str">
        <f>IF(B6="北京市","北京市",C6)&amp;IF(E12="房屋所有权证",B28,E28)&amp;"房地产"</f>
        <v>北京市房地产</v>
      </c>
    </row>
    <row r="2" spans="1:10" ht="13.5" thickTop="1">
      <c r="A2" s="1998" t="s">
        <v>1546</v>
      </c>
      <c r="B2" s="1088">
        <v>43199</v>
      </c>
      <c r="C2" s="1999" t="s">
        <v>1547</v>
      </c>
      <c r="D2" s="1088">
        <v>41962</v>
      </c>
      <c r="E2" s="1064"/>
      <c r="F2" s="1064"/>
      <c r="G2" s="1683"/>
      <c r="H2" s="1020"/>
    </row>
    <row r="3" spans="1:10" ht="13.5" thickBot="1">
      <c r="A3" s="2000" t="s">
        <v>1548</v>
      </c>
      <c r="B3" s="2001" t="s">
        <v>2816</v>
      </c>
      <c r="C3" s="1065">
        <f ca="1">SUMIF(注册房地产估价师,B3,估价师及机构信息!B3:B24)</f>
        <v>1119970111</v>
      </c>
      <c r="D3" s="2001" t="s">
        <v>2817</v>
      </c>
      <c r="E3" s="1066">
        <f ca="1">SUMIF(注册房地产估价师,D3,估价师及机构信息!B3:B24)</f>
        <v>1120060040</v>
      </c>
      <c r="F3" s="1067"/>
      <c r="G3" s="1684"/>
      <c r="H3" s="1020"/>
    </row>
    <row r="4" spans="1:10" ht="13.5" customHeight="1" thickTop="1">
      <c r="A4" s="2002" t="s">
        <v>1549</v>
      </c>
      <c r="B4" s="2003"/>
      <c r="C4" s="2004" t="s">
        <v>1550</v>
      </c>
      <c r="D4" s="2005" t="s">
        <v>2821</v>
      </c>
      <c r="E4" s="1064"/>
      <c r="F4" s="1064"/>
      <c r="G4" s="1683"/>
    </row>
    <row r="5" spans="1:10">
      <c r="A5" s="2006" t="s">
        <v>1551</v>
      </c>
      <c r="B5" s="2007"/>
      <c r="C5" s="2008" t="s">
        <v>1552</v>
      </c>
      <c r="D5" s="2009" t="s">
        <v>2822</v>
      </c>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2818</v>
      </c>
      <c r="C6" s="2015"/>
      <c r="D6" s="2016" t="s">
        <v>1555</v>
      </c>
      <c r="E6" s="1022"/>
      <c r="F6" s="1021"/>
      <c r="G6" s="1074"/>
      <c r="I6" s="1070" t="str">
        <f>IF(COUNTIF(B5,"*上海银行*"),"上海银行","")</f>
        <v/>
      </c>
    </row>
    <row r="7" spans="1:10" ht="13.5" thickBot="1">
      <c r="A7" s="2000" t="s">
        <v>1556</v>
      </c>
      <c r="B7" s="2017" t="s">
        <v>2819</v>
      </c>
      <c r="C7" s="2018" t="str">
        <f>IF(B7="自然人","姓名","名称")</f>
        <v>姓名</v>
      </c>
      <c r="D7" s="2019"/>
      <c r="E7" s="1068"/>
      <c r="F7" s="1067"/>
      <c r="G7" s="1684"/>
    </row>
    <row r="8" spans="1:10" ht="13.5" thickTop="1">
      <c r="A8" s="2822" t="s">
        <v>1557</v>
      </c>
      <c r="B8" s="2020" t="s">
        <v>1558</v>
      </c>
      <c r="C8" s="2834" t="s">
        <v>2820</v>
      </c>
      <c r="D8" s="2835"/>
      <c r="E8" s="2021" t="s">
        <v>1559</v>
      </c>
      <c r="F8" s="2022" t="s">
        <v>1560</v>
      </c>
      <c r="G8" s="690">
        <f>C6</f>
        <v>0</v>
      </c>
    </row>
    <row r="9" spans="1:10" ht="25.5">
      <c r="A9" s="2822"/>
      <c r="B9" s="344" t="s">
        <v>1561</v>
      </c>
      <c r="C9" s="2733" t="s">
        <v>2823</v>
      </c>
      <c r="D9" s="2023" t="s">
        <v>2824</v>
      </c>
      <c r="E9" s="1010" t="s">
        <v>1562</v>
      </c>
      <c r="F9" s="996" t="s">
        <v>161</v>
      </c>
      <c r="G9" s="1012"/>
    </row>
    <row r="10" spans="1:10" ht="13.5" thickBot="1">
      <c r="A10" s="2822"/>
      <c r="B10" s="344" t="s">
        <v>1563</v>
      </c>
      <c r="C10" s="2836"/>
      <c r="D10" s="2837"/>
      <c r="E10" s="2024" t="s">
        <v>1564</v>
      </c>
      <c r="F10" s="1013" t="s">
        <v>162</v>
      </c>
      <c r="G10" s="1014"/>
    </row>
    <row r="11" spans="1:10" ht="13.5" thickBot="1">
      <c r="A11" s="2822"/>
      <c r="B11" s="2025" t="s">
        <v>1565</v>
      </c>
      <c r="C11" s="2838"/>
      <c r="D11" s="2839"/>
      <c r="E11" s="1022"/>
      <c r="F11" s="1021"/>
      <c r="G11" s="1074"/>
    </row>
    <row r="12" spans="1:10" ht="24.75" thickBot="1">
      <c r="A12" s="2825" t="s">
        <v>1566</v>
      </c>
      <c r="B12" s="2026" t="s">
        <v>1567</v>
      </c>
      <c r="C12" s="1016">
        <v>223.09</v>
      </c>
      <c r="D12" s="2026" t="s">
        <v>1568</v>
      </c>
      <c r="E12" s="2027" t="s">
        <v>1569</v>
      </c>
      <c r="F12" s="2028" t="s">
        <v>1570</v>
      </c>
      <c r="G12" s="1074"/>
    </row>
    <row r="13" spans="1:10" ht="21" customHeight="1" thickBot="1">
      <c r="A13" s="2826"/>
      <c r="B13" s="2029" t="s">
        <v>1571</v>
      </c>
      <c r="C13" s="1017"/>
      <c r="D13" s="2029" t="s">
        <v>1572</v>
      </c>
      <c r="E13" s="2030" t="s">
        <v>1569</v>
      </c>
      <c r="F13" s="1021"/>
      <c r="G13" s="1074"/>
      <c r="I13" s="2812"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12"/>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12"/>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40" t="s">
        <v>1580</v>
      </c>
      <c r="C17" s="2841"/>
      <c r="D17" s="2842" t="s">
        <v>1581</v>
      </c>
      <c r="E17" s="2843"/>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28" t="s">
        <v>1597</v>
      </c>
      <c r="D27" s="2829"/>
      <c r="E27" s="1004"/>
      <c r="F27" s="1011" t="s">
        <v>1597</v>
      </c>
      <c r="G27" s="1004"/>
      <c r="I27" s="1071"/>
      <c r="K27" s="1071"/>
    </row>
    <row r="28" spans="1:15">
      <c r="A28" s="1008" t="s">
        <v>1598</v>
      </c>
      <c r="B28" s="978"/>
      <c r="C28" s="2830" t="s">
        <v>1599</v>
      </c>
      <c r="D28" s="2831"/>
      <c r="E28" s="978"/>
      <c r="F28" s="1894" t="s">
        <v>1599</v>
      </c>
      <c r="G28" s="978"/>
      <c r="I28" s="1071"/>
      <c r="K28" s="1071"/>
    </row>
    <row r="29" spans="1:15">
      <c r="A29" s="1008" t="s">
        <v>1600</v>
      </c>
      <c r="B29" s="978"/>
      <c r="C29" s="2830" t="s">
        <v>1600</v>
      </c>
      <c r="D29" s="2831"/>
      <c r="E29" s="978"/>
      <c r="F29" s="1894" t="s">
        <v>1601</v>
      </c>
      <c r="G29" s="978"/>
      <c r="I29" s="1071"/>
      <c r="K29" s="1071"/>
    </row>
    <row r="30" spans="1:15">
      <c r="A30" s="1008" t="s">
        <v>1602</v>
      </c>
      <c r="B30" s="978"/>
      <c r="C30" s="2819" t="s">
        <v>1603</v>
      </c>
      <c r="D30" s="2068"/>
      <c r="E30" s="1023" t="str">
        <f>E31&amp;" "&amp;E32&amp;" "&amp;E33&amp;" "&amp;E34</f>
        <v xml:space="preserve">   </v>
      </c>
      <c r="F30" s="1894" t="s">
        <v>1604</v>
      </c>
      <c r="G30" s="978"/>
    </row>
    <row r="31" spans="1:15">
      <c r="A31" s="1008" t="s">
        <v>1605</v>
      </c>
      <c r="B31" s="978"/>
      <c r="C31" s="2820"/>
      <c r="D31" s="1893" t="s">
        <v>1606</v>
      </c>
      <c r="E31" s="978"/>
      <c r="F31" s="1894" t="s">
        <v>1607</v>
      </c>
      <c r="G31" s="978"/>
    </row>
    <row r="32" spans="1:15" ht="24.75" thickBot="1">
      <c r="A32" s="1009" t="s">
        <v>1608</v>
      </c>
      <c r="B32" s="1005"/>
      <c r="C32" s="2820"/>
      <c r="D32" s="1893" t="s">
        <v>1609</v>
      </c>
      <c r="E32" s="978"/>
      <c r="F32" s="1894" t="s">
        <v>1610</v>
      </c>
      <c r="G32" s="978"/>
    </row>
    <row r="33" spans="1:7">
      <c r="A33" s="1007" t="s">
        <v>1611</v>
      </c>
      <c r="B33" s="1004"/>
      <c r="C33" s="2820"/>
      <c r="D33" s="1893" t="s">
        <v>1612</v>
      </c>
      <c r="E33" s="978"/>
      <c r="F33" s="1894" t="s">
        <v>1613</v>
      </c>
      <c r="G33" s="978"/>
    </row>
    <row r="34" spans="1:7" ht="13.5" thickBot="1">
      <c r="A34" s="1008" t="s">
        <v>1614</v>
      </c>
      <c r="B34" s="978"/>
      <c r="C34" s="2821"/>
      <c r="D34" s="1893" t="s">
        <v>1615</v>
      </c>
      <c r="E34" s="978"/>
      <c r="F34" s="1895" t="s">
        <v>1616</v>
      </c>
      <c r="G34" s="1006"/>
    </row>
    <row r="35" spans="1:7">
      <c r="A35" s="1008" t="s">
        <v>1567</v>
      </c>
      <c r="B35" s="978"/>
      <c r="C35" s="2830" t="s">
        <v>1617</v>
      </c>
      <c r="D35" s="2831"/>
      <c r="E35" s="978"/>
      <c r="F35" s="1019" t="s">
        <v>1618</v>
      </c>
      <c r="G35" s="1004"/>
    </row>
    <row r="36" spans="1:7" ht="13.5" thickBot="1">
      <c r="A36" s="1008" t="s">
        <v>1619</v>
      </c>
      <c r="B36" s="978"/>
      <c r="C36" s="2832" t="s">
        <v>1620</v>
      </c>
      <c r="D36" s="2833"/>
      <c r="E36" s="1005"/>
      <c r="F36" s="1891" t="s">
        <v>1621</v>
      </c>
      <c r="G36" s="978"/>
    </row>
    <row r="37" spans="1:7" ht="13.5" thickBot="1">
      <c r="A37" s="1008" t="s">
        <v>1622</v>
      </c>
      <c r="B37" s="978"/>
      <c r="C37" s="2817" t="s">
        <v>1623</v>
      </c>
      <c r="D37" s="2069" t="s">
        <v>1607</v>
      </c>
      <c r="E37" s="1004"/>
      <c r="F37" s="1895" t="s">
        <v>1624</v>
      </c>
      <c r="G37" s="1005"/>
    </row>
    <row r="38" spans="1:7">
      <c r="A38" s="1008" t="s">
        <v>1625</v>
      </c>
      <c r="B38" s="978"/>
      <c r="C38" s="2823"/>
      <c r="D38" s="1893" t="s">
        <v>1614</v>
      </c>
      <c r="E38" s="978"/>
      <c r="F38" s="1011" t="s">
        <v>1626</v>
      </c>
      <c r="G38" s="1004"/>
    </row>
    <row r="39" spans="1:7">
      <c r="A39" s="1008" t="s">
        <v>1627</v>
      </c>
      <c r="B39" s="978"/>
      <c r="C39" s="2823" t="s">
        <v>1628</v>
      </c>
      <c r="D39" s="1893" t="s">
        <v>1567</v>
      </c>
      <c r="E39" s="978"/>
      <c r="F39" s="1894" t="s">
        <v>1629</v>
      </c>
      <c r="G39" s="978"/>
    </row>
    <row r="40" spans="1:7" ht="24.75" customHeight="1" thickBot="1">
      <c r="A40" s="1009" t="s">
        <v>1630</v>
      </c>
      <c r="B40" s="1005"/>
      <c r="C40" s="2824"/>
      <c r="D40" s="1896" t="s">
        <v>1571</v>
      </c>
      <c r="E40" s="1005"/>
      <c r="F40" s="1895" t="s">
        <v>1631</v>
      </c>
      <c r="G40" s="1005"/>
    </row>
    <row r="41" spans="1:7">
      <c r="A41" s="1010" t="s">
        <v>1632</v>
      </c>
      <c r="B41" s="1060"/>
      <c r="C41" s="2813" t="s">
        <v>1632</v>
      </c>
      <c r="D41" s="2814"/>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15" t="s">
        <v>1635</v>
      </c>
      <c r="D48" s="2816"/>
      <c r="E48" s="1055"/>
      <c r="F48" s="1895" t="s">
        <v>1636</v>
      </c>
      <c r="G48" s="1005"/>
    </row>
    <row r="49" spans="1:15">
      <c r="A49" s="1008" t="s">
        <v>1637</v>
      </c>
      <c r="B49" s="1054"/>
      <c r="C49" s="2817" t="s">
        <v>1638</v>
      </c>
      <c r="D49" s="2818"/>
      <c r="E49" s="1056"/>
      <c r="F49" s="1084"/>
      <c r="G49" s="1085"/>
    </row>
    <row r="50" spans="1:15" ht="13.5" thickBot="1">
      <c r="A50" s="1008" t="s">
        <v>1639</v>
      </c>
      <c r="B50" s="1054"/>
      <c r="C50" s="2824" t="s">
        <v>1640</v>
      </c>
      <c r="D50" s="2827"/>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41962</v>
      </c>
      <c r="C2" s="1855"/>
      <c r="D2" s="2846"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2834</v>
      </c>
      <c r="C3" s="1855"/>
      <c r="D3" s="2847"/>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2835</v>
      </c>
      <c r="C4" s="1855"/>
      <c r="D4" s="2847"/>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223.09</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2831</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2848" t="s">
        <v>2837</v>
      </c>
      <c r="J12" s="2849"/>
      <c r="K12" s="2735"/>
      <c r="L12" s="2736"/>
      <c r="M12" s="2736"/>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54</v>
      </c>
      <c r="C13" s="2096"/>
      <c r="D13" s="2097" t="s">
        <v>1662</v>
      </c>
      <c r="E13" s="39"/>
      <c r="F13" s="1849" t="s">
        <v>1663</v>
      </c>
      <c r="G13" s="1855"/>
      <c r="H13" s="1855"/>
      <c r="I13" s="2737" t="s">
        <v>2838</v>
      </c>
      <c r="J13" s="2738">
        <v>0</v>
      </c>
      <c r="K13" s="2735"/>
      <c r="L13" s="2739"/>
      <c r="M13" s="2739"/>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1664</v>
      </c>
      <c r="B14" s="992">
        <f>IF(ISERROR(ROUND(POWER(1+B15,B11-B13)*(POWER(1+B15,B13)-1)/(POWER(1+B15,B11)-1),3)),0,ROUND(POWER(1+B15,B11-B13)*(POWER(1+B15,B13)-1)/(POWER(1+B15,B11)-1),3))</f>
        <v>0.91300000000000003</v>
      </c>
      <c r="C14" s="1855"/>
      <c r="D14" s="2098" t="s">
        <v>1665</v>
      </c>
      <c r="E14" s="709">
        <v>200</v>
      </c>
      <c r="F14" s="1848"/>
      <c r="G14" s="1855"/>
      <c r="H14" s="1855"/>
      <c r="I14" s="2737" t="s">
        <v>2839</v>
      </c>
      <c r="J14" s="2740" t="s">
        <v>2855</v>
      </c>
      <c r="K14" s="2735"/>
      <c r="L14" s="2739"/>
      <c r="M14" s="2741"/>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1666</v>
      </c>
      <c r="B15" s="30">
        <v>0.03</v>
      </c>
      <c r="C15" s="1855"/>
      <c r="D15" s="2094" t="s">
        <v>1667</v>
      </c>
      <c r="E15" s="38">
        <f>E14-E16</f>
        <v>200</v>
      </c>
      <c r="F15" s="1850"/>
      <c r="G15" s="1855"/>
      <c r="H15" s="1855"/>
      <c r="I15" s="2737" t="s">
        <v>2840</v>
      </c>
      <c r="J15" s="2740" t="s">
        <v>2841</v>
      </c>
      <c r="K15" s="2735"/>
      <c r="L15" s="2739"/>
      <c r="M15" s="2739"/>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3.5000000000000003E-2</v>
      </c>
      <c r="C16" s="1855"/>
      <c r="D16" s="2099" t="s">
        <v>1669</v>
      </c>
      <c r="E16" s="710">
        <v>0</v>
      </c>
      <c r="F16" s="1851"/>
      <c r="G16" s="1855"/>
      <c r="H16" s="1855"/>
      <c r="I16" s="2737" t="s">
        <v>2842</v>
      </c>
      <c r="J16" s="2742">
        <f>ROUND(1-(1-J13)*J14/J15,2)</f>
        <v>0.68</v>
      </c>
      <c r="K16" s="2735"/>
      <c r="L16" s="2739"/>
      <c r="M16" s="2739"/>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0.06</v>
      </c>
      <c r="C17" s="1855"/>
      <c r="D17" s="2085" t="s">
        <v>1671</v>
      </c>
      <c r="E17" s="985">
        <f>2310+500</f>
        <v>2810</v>
      </c>
      <c r="F17" s="1237"/>
      <c r="G17" s="1855"/>
      <c r="H17" s="1855"/>
      <c r="I17" s="2743" t="s">
        <v>2843</v>
      </c>
      <c r="J17" s="2744">
        <v>0.3</v>
      </c>
      <c r="K17" s="2735"/>
      <c r="L17" s="2739"/>
      <c r="M17" s="2739"/>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626883</v>
      </c>
      <c r="F18" s="1320">
        <f>ROUND(E5*E17*IF(B25=0,1,E20),0)</f>
        <v>0</v>
      </c>
      <c r="G18" s="1855"/>
      <c r="H18" s="1855"/>
      <c r="I18" s="2850" t="s">
        <v>2844</v>
      </c>
      <c r="J18" s="2850"/>
      <c r="K18" s="2850"/>
      <c r="L18" s="2850"/>
      <c r="M18" s="2850"/>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2745" t="s">
        <v>2845</v>
      </c>
      <c r="J19" s="2746" t="s">
        <v>2846</v>
      </c>
      <c r="K19" s="2746" t="s">
        <v>2847</v>
      </c>
      <c r="L19" s="2746" t="s">
        <v>2848</v>
      </c>
      <c r="M19" s="2746" t="s">
        <v>2849</v>
      </c>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0.7</v>
      </c>
      <c r="F20" s="1237"/>
      <c r="G20" s="1855"/>
      <c r="H20" s="1855"/>
      <c r="I20" s="2745" t="s">
        <v>2850</v>
      </c>
      <c r="J20" s="2746">
        <v>100</v>
      </c>
      <c r="K20" s="2746" t="s">
        <v>2851</v>
      </c>
      <c r="L20" s="2746">
        <v>75</v>
      </c>
      <c r="M20" s="2747">
        <v>0.3</v>
      </c>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0.04</v>
      </c>
      <c r="F21" s="1852" t="s">
        <v>1676</v>
      </c>
      <c r="G21" s="1855"/>
      <c r="H21" s="1855"/>
      <c r="I21" s="2745" t="s">
        <v>2852</v>
      </c>
      <c r="J21" s="2746">
        <v>100</v>
      </c>
      <c r="K21" s="2746" t="s">
        <v>2851</v>
      </c>
      <c r="L21" s="2746">
        <f>L20</f>
        <v>75</v>
      </c>
      <c r="M21" s="2747">
        <v>0.5</v>
      </c>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0.08</v>
      </c>
      <c r="F22" s="1852" t="s">
        <v>1679</v>
      </c>
      <c r="G22" s="1855"/>
      <c r="H22" s="1855"/>
      <c r="I22" s="2745" t="s">
        <v>2853</v>
      </c>
      <c r="J22" s="2746">
        <v>100</v>
      </c>
      <c r="K22" s="2746" t="s">
        <v>2854</v>
      </c>
      <c r="L22" s="2746">
        <f>L20</f>
        <v>75</v>
      </c>
      <c r="M22" s="2747">
        <f>1-M20-M21</f>
        <v>0.19999999999999996</v>
      </c>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2</v>
      </c>
      <c r="C23" s="1855"/>
      <c r="D23" s="2094" t="s">
        <v>1681</v>
      </c>
      <c r="E23" s="37">
        <v>200</v>
      </c>
      <c r="F23" s="1852" t="s">
        <v>1682</v>
      </c>
      <c r="G23" s="1855"/>
      <c r="H23" s="1855"/>
      <c r="I23" s="2748" t="s">
        <v>2843</v>
      </c>
      <c r="J23" s="2749">
        <f>1-J17</f>
        <v>0.7</v>
      </c>
      <c r="K23" s="2746" t="s">
        <v>2842</v>
      </c>
      <c r="L23" s="2750">
        <f>ROUND((L20*M20+L21*M21+L22*M22)/100,2)</f>
        <v>0.75</v>
      </c>
      <c r="M23" s="2751"/>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2000</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6.1500000000000006E-2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2836</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17500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0.03</v>
      </c>
      <c r="C30" s="1237"/>
      <c r="D30" s="2112" t="s">
        <v>1697</v>
      </c>
      <c r="E30" s="41">
        <v>0.05</v>
      </c>
      <c r="F30" s="1860">
        <f>IF(B2&lt;DATE(2016,5,1),0,E30)</f>
        <v>0</v>
      </c>
      <c r="G30" s="2077"/>
      <c r="H30" s="2077"/>
      <c r="K30" s="1855"/>
      <c r="N30" s="1855"/>
      <c r="AE30" s="1237"/>
      <c r="AF30" s="1237"/>
      <c r="AG30" s="1237"/>
      <c r="AH30" s="1237"/>
      <c r="AI30" s="1237"/>
      <c r="AJ30" s="1237"/>
      <c r="AK30" s="1237"/>
      <c r="AL30" s="1237"/>
      <c r="AM30" s="1237"/>
      <c r="AN30" s="1237"/>
      <c r="AO30" s="1237"/>
    </row>
    <row r="31" spans="1:41" ht="14.25">
      <c r="A31" s="2092" t="s">
        <v>1698</v>
      </c>
      <c r="B31" s="30">
        <v>0.03</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-14</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I12:J12"/>
    <mergeCell ref="I18:M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51" t="s">
        <v>1736</v>
      </c>
      <c r="B1" s="2852"/>
      <c r="C1" s="2852"/>
      <c r="D1" s="2852"/>
      <c r="E1" s="2852"/>
      <c r="F1" s="2852"/>
      <c r="G1" s="2852"/>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54">
      <c r="A3" s="395" t="s">
        <v>1739</v>
      </c>
      <c r="B3" s="2144" t="s">
        <v>1740</v>
      </c>
      <c r="C3" s="2752" t="s">
        <v>2856</v>
      </c>
      <c r="D3" s="2145"/>
      <c r="E3" s="411" t="s">
        <v>1739</v>
      </c>
      <c r="F3" s="2146" t="s">
        <v>1741</v>
      </c>
      <c r="G3" s="2147" t="s">
        <v>1742</v>
      </c>
      <c r="H3" s="2142"/>
      <c r="I3" s="2142"/>
      <c r="J3" s="2142"/>
      <c r="K3" s="2142"/>
      <c r="L3" s="2142"/>
      <c r="M3" s="2142"/>
      <c r="N3" s="2142"/>
      <c r="O3" s="2142"/>
      <c r="P3" s="2142"/>
      <c r="Q3" s="2142"/>
      <c r="R3" s="2142"/>
    </row>
    <row r="4" spans="1:29" ht="41.25">
      <c r="A4" s="411"/>
      <c r="B4" s="1887" t="s">
        <v>1743</v>
      </c>
      <c r="C4" s="2148" t="s">
        <v>1744</v>
      </c>
      <c r="D4" s="2145"/>
      <c r="E4" s="2149"/>
      <c r="F4" s="2150" t="s">
        <v>1745</v>
      </c>
      <c r="G4" s="2151" t="s">
        <v>1746</v>
      </c>
      <c r="H4" s="2142"/>
      <c r="I4" s="2142"/>
      <c r="J4" s="2142"/>
      <c r="K4" s="2142"/>
      <c r="L4" s="2142"/>
      <c r="M4" s="2142"/>
      <c r="N4" s="2142"/>
      <c r="O4" s="2142"/>
      <c r="P4" s="2142"/>
      <c r="Q4" s="2142"/>
      <c r="R4" s="2142"/>
    </row>
    <row r="5" spans="1:29" ht="41.25">
      <c r="A5" s="411"/>
      <c r="B5" s="1887" t="s">
        <v>1747</v>
      </c>
      <c r="C5" s="2148" t="s">
        <v>1748</v>
      </c>
      <c r="D5" s="2145"/>
      <c r="E5" s="2149"/>
      <c r="F5" s="1887" t="s">
        <v>1749</v>
      </c>
      <c r="G5" s="2151" t="s">
        <v>1750</v>
      </c>
      <c r="H5" s="2142"/>
      <c r="I5" s="2142"/>
      <c r="J5" s="2142"/>
      <c r="K5" s="2142"/>
      <c r="L5" s="2142"/>
      <c r="M5" s="2142"/>
      <c r="N5" s="2142"/>
      <c r="O5" s="2142"/>
      <c r="P5" s="2142"/>
      <c r="Q5" s="2142"/>
      <c r="R5" s="2142"/>
    </row>
    <row r="6" spans="1:29" ht="67.5">
      <c r="A6" s="411"/>
      <c r="B6" s="1887" t="s">
        <v>1751</v>
      </c>
      <c r="C6" s="2753" t="s">
        <v>2858</v>
      </c>
      <c r="D6" s="2145"/>
      <c r="E6" s="2149"/>
      <c r="F6" s="1887" t="s">
        <v>1752</v>
      </c>
      <c r="G6" s="2151" t="s">
        <v>1753</v>
      </c>
      <c r="H6" s="2142"/>
      <c r="I6" s="2142"/>
      <c r="J6" s="2142"/>
      <c r="K6" s="2142"/>
      <c r="L6" s="2142"/>
      <c r="M6" s="2142"/>
      <c r="N6" s="2142"/>
      <c r="O6" s="2142"/>
      <c r="P6" s="2142"/>
      <c r="Q6" s="2142"/>
      <c r="R6" s="2142"/>
    </row>
    <row r="7" spans="1:29" ht="36.75" customHeight="1" thickBot="1">
      <c r="A7" s="411"/>
      <c r="B7" s="1887" t="s">
        <v>1749</v>
      </c>
      <c r="C7" s="2753" t="s">
        <v>2857</v>
      </c>
      <c r="D7" s="2152"/>
      <c r="E7" s="2153"/>
      <c r="F7" s="2154" t="s">
        <v>1754</v>
      </c>
      <c r="G7" s="2155" t="s">
        <v>1755</v>
      </c>
      <c r="H7" s="2142"/>
      <c r="I7" s="2142"/>
      <c r="J7" s="2142"/>
      <c r="K7" s="2142"/>
      <c r="L7" s="2142"/>
      <c r="M7" s="2142"/>
      <c r="N7" s="2142"/>
      <c r="O7" s="2142"/>
      <c r="P7" s="2142"/>
      <c r="Q7" s="2142"/>
      <c r="R7" s="2142"/>
    </row>
    <row r="8" spans="1:29" ht="15">
      <c r="A8" s="411"/>
      <c r="B8" s="1887" t="s">
        <v>1752</v>
      </c>
      <c r="C8" s="2753" t="s">
        <v>2860</v>
      </c>
      <c r="D8" s="2152"/>
      <c r="E8" s="2152"/>
      <c r="F8" s="1246"/>
      <c r="G8" s="1246"/>
      <c r="H8" s="2142"/>
      <c r="I8" s="2142"/>
      <c r="J8" s="2142"/>
      <c r="K8" s="2142"/>
      <c r="L8" s="2142"/>
      <c r="M8" s="2142"/>
      <c r="N8" s="2142"/>
      <c r="O8" s="2142"/>
      <c r="P8" s="2142"/>
      <c r="Q8" s="2142"/>
      <c r="R8" s="2142"/>
    </row>
    <row r="9" spans="1:29" ht="54">
      <c r="A9" s="411"/>
      <c r="B9" s="1887" t="s">
        <v>1756</v>
      </c>
      <c r="C9" s="2754" t="s">
        <v>2861</v>
      </c>
      <c r="D9" s="2145"/>
      <c r="E9" s="2152"/>
      <c r="F9" s="1246"/>
      <c r="G9" s="1246"/>
      <c r="H9" s="2142"/>
      <c r="I9" s="2142"/>
      <c r="J9" s="2142"/>
      <c r="K9" s="2142"/>
      <c r="L9" s="2142"/>
      <c r="M9" s="2142"/>
      <c r="N9" s="2142"/>
      <c r="O9" s="2142"/>
      <c r="P9" s="2142"/>
      <c r="Q9" s="2142"/>
      <c r="R9" s="2142"/>
    </row>
    <row r="10" spans="1:29" s="35" customFormat="1" ht="15.75" thickBot="1">
      <c r="A10" s="2156"/>
      <c r="B10" s="2157" t="s">
        <v>1757</v>
      </c>
      <c r="C10" s="2755" t="s">
        <v>2893</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1758</v>
      </c>
      <c r="B13" s="2162"/>
      <c r="C13" s="2162"/>
      <c r="D13" s="2139"/>
      <c r="E13" s="2162"/>
      <c r="F13" s="2162"/>
      <c r="G13" s="2162"/>
    </row>
    <row r="14" spans="1:29" ht="15.75" thickBot="1">
      <c r="A14" s="2172"/>
      <c r="B14" s="2173"/>
      <c r="C14" s="2174" t="s">
        <v>1759</v>
      </c>
      <c r="D14" s="2145"/>
      <c r="E14" s="2175"/>
      <c r="F14" s="2175"/>
      <c r="G14" s="2138" t="s">
        <v>1760</v>
      </c>
    </row>
    <row r="15" spans="1:29" ht="57">
      <c r="A15" s="25" t="s">
        <v>1761</v>
      </c>
      <c r="B15" s="2176" t="s">
        <v>1740</v>
      </c>
      <c r="C15" s="2177" t="str">
        <f>C3</f>
        <v>估价对象周边有雅宝里社区、三丰里社区、建国门外外交公寓、大方家社区等，综合评价居住社区成熟度较好</v>
      </c>
      <c r="D15" s="2145"/>
      <c r="E15" s="2178" t="s">
        <v>1762</v>
      </c>
      <c r="F15" s="2176" t="s">
        <v>1763</v>
      </c>
      <c r="G15" s="51" t="str">
        <f>G3</f>
        <v>估价对象位于XX开发区，园区建设成熟度XX，产业集聚程度XX</v>
      </c>
    </row>
    <row r="16" spans="1:29" ht="42.75">
      <c r="A16" s="629"/>
      <c r="B16" s="1493" t="s">
        <v>1743</v>
      </c>
      <c r="C16" s="2179" t="str">
        <f>C4</f>
        <v>估价对象位于XX商圈，周边商业氛围成熟，人流量大，商业繁华度好</v>
      </c>
      <c r="D16" s="2145"/>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2"/>
      <c r="E17" s="2180"/>
      <c r="F17" s="2181" t="s">
        <v>1764</v>
      </c>
      <c r="G17" s="2182"/>
    </row>
    <row r="18" spans="1:18" ht="71.25">
      <c r="A18" s="629"/>
      <c r="B18" s="2181" t="s">
        <v>1751</v>
      </c>
      <c r="C18" s="52" t="str">
        <f>C6</f>
        <v>估价对象周边有44路、58路、139路、特2路、特12路等多条公交线路及地铁2、6号线换乘站（朝阳门站），综合评价交通便捷度较好</v>
      </c>
      <c r="D18" s="2152"/>
      <c r="E18" s="2180"/>
      <c r="F18" s="2181" t="s">
        <v>1754</v>
      </c>
      <c r="G18" s="52" t="str">
        <f>G7</f>
        <v>该园区内是否有污染型企业，绿化情况，卫生条件，整体环境状况判断</v>
      </c>
    </row>
    <row r="19" spans="1:18" ht="28.5">
      <c r="A19" s="629"/>
      <c r="B19" s="2181" t="s">
        <v>1765</v>
      </c>
      <c r="C19" s="2182"/>
      <c r="D19" s="2145"/>
      <c r="E19" s="2180"/>
      <c r="F19" s="1887" t="s">
        <v>1749</v>
      </c>
      <c r="G19" s="52" t="str">
        <f>G5</f>
        <v>估价对象所在区域公共配套设施齐备情况</v>
      </c>
    </row>
    <row r="20" spans="1:18" ht="57">
      <c r="A20" s="629"/>
      <c r="B20" s="2181" t="s">
        <v>1766</v>
      </c>
      <c r="C20" s="2179" t="str">
        <f>C9</f>
        <v>区域自然环境：日坛公园；人文环境：朝阳区政府、中国司法部、使馆区；综合评价环境状况较好</v>
      </c>
      <c r="D20" s="2152"/>
      <c r="E20" s="2180"/>
      <c r="F20" s="1887" t="s">
        <v>1767</v>
      </c>
      <c r="G20" s="52" t="str">
        <f>G6</f>
        <v>估价对象所在区域基础设施水平</v>
      </c>
    </row>
    <row r="21" spans="1:18" ht="28.5">
      <c r="A21" s="629"/>
      <c r="B21" s="1887" t="s">
        <v>1749</v>
      </c>
      <c r="C21" s="52" t="str">
        <f>C7</f>
        <v>估价对象所在区域公共配套设施齐备情况较好</v>
      </c>
      <c r="D21" s="2145"/>
      <c r="E21" s="2180"/>
      <c r="F21" s="2181" t="s">
        <v>1768</v>
      </c>
      <c r="G21" s="2183"/>
    </row>
    <row r="22" spans="1:18" ht="15">
      <c r="A22" s="629"/>
      <c r="B22" s="1887" t="s">
        <v>1752</v>
      </c>
      <c r="C22" s="52" t="str">
        <f>C8</f>
        <v>七通</v>
      </c>
      <c r="D22" s="2145"/>
      <c r="E22" s="2180"/>
      <c r="F22" s="2181" t="s">
        <v>1757</v>
      </c>
      <c r="G22" s="2184"/>
    </row>
    <row r="23" spans="1:18" s="2142" customFormat="1" ht="15.7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2" customFormat="1" ht="29.25" thickBot="1">
      <c r="A24" s="2188"/>
      <c r="B24" s="2186" t="s">
        <v>1770</v>
      </c>
      <c r="C24" s="53" t="str">
        <f>C10</f>
        <v>城市次干道——外交部南街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30" t="s">
        <v>1226</v>
      </c>
      <c r="B1" s="1830">
        <f>SUM(B14:B23)</f>
        <v>223.09</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41962</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899.16420000000005</v>
      </c>
      <c r="C5" s="1830">
        <f ca="1">ROUND(B5*10000/$B$1,0)</f>
        <v>40305</v>
      </c>
      <c r="D5" s="1830" t="e">
        <f ca="1">ROUND(B5*10000/$B$2,0)</f>
        <v>#DIV/0!</v>
      </c>
      <c r="E5" s="1831"/>
      <c r="F5" s="1835"/>
      <c r="G5" s="1835"/>
    </row>
    <row r="6" spans="1:9" ht="16.5">
      <c r="A6" s="1830" t="s">
        <v>1234</v>
      </c>
      <c r="B6" s="1830">
        <f ca="1">SUM(G14:G23)</f>
        <v>899.16420000000005</v>
      </c>
      <c r="C6" s="1830">
        <f t="shared" ref="C6:C8" ca="1" si="0">ROUND(B6*10000/$B$1,0)</f>
        <v>40305</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2825</v>
      </c>
      <c r="B14" s="1834">
        <f>项目基本情况!C12</f>
        <v>223.09</v>
      </c>
      <c r="C14" s="1834">
        <f>项目基本情况!C13</f>
        <v>0</v>
      </c>
      <c r="D14" s="1834">
        <f ca="1">IF('数据-取费表'!B3="万元",IF(A14="估价对象1（结果表）",结果表!H121,'结果表 (1修多)'!H124),IF(A14="估价对象1（结果表）",结果表!H121,'结果表 (1修多)'!H124)/10000)</f>
        <v>899.16420000000005</v>
      </c>
      <c r="E14" s="1834">
        <f ca="1">ROUND(D14*10000/B14,0)</f>
        <v>40305</v>
      </c>
      <c r="F14" s="1834" t="e">
        <f ca="1">ROUND(D14*10000/C14,0)</f>
        <v>#DIV/0!</v>
      </c>
      <c r="G14" s="1834">
        <f ca="1">IF('数据-取费表'!B3="万元",IF(A14="估价对象1（结果表）",结果表!D125,'结果表 (1修多)'!D128),IF(A14="估价对象1（结果表）",结果表!D125,'结果表 (1修多)'!D128)/10000)</f>
        <v>899.16420000000005</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3" sqref="G23"/>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1771</v>
      </c>
      <c r="B1" s="2195"/>
      <c r="C1" s="2195"/>
      <c r="D1" s="2195"/>
      <c r="E1" s="2195"/>
      <c r="F1" s="2195"/>
      <c r="G1" s="2195"/>
      <c r="H1" s="2195"/>
      <c r="I1" s="2195"/>
    </row>
    <row r="2" spans="1:12" ht="21.75" customHeight="1">
      <c r="A2" s="2917" t="str">
        <f>项目基本情况!B1</f>
        <v>北京市房地产市场价值预评估</v>
      </c>
      <c r="B2" s="2917"/>
      <c r="C2" s="2917"/>
      <c r="D2" s="2917"/>
      <c r="E2" s="2917"/>
      <c r="F2" s="2917"/>
      <c r="G2" s="2917"/>
      <c r="H2" s="2917"/>
      <c r="I2" s="2917"/>
    </row>
    <row r="3" spans="1:12" ht="12.75">
      <c r="A3" s="2920" t="s">
        <v>1772</v>
      </c>
      <c r="B3" s="2921"/>
      <c r="C3" s="2921"/>
      <c r="D3" s="2921"/>
      <c r="E3" s="2921"/>
      <c r="F3" s="2921"/>
      <c r="G3" s="2921"/>
      <c r="H3" s="2921"/>
      <c r="I3" s="2921"/>
    </row>
    <row r="4" spans="1:12" ht="14.25">
      <c r="A4" s="2197" t="s">
        <v>1773</v>
      </c>
      <c r="B4" s="2198" t="s">
        <v>1774</v>
      </c>
      <c r="C4" s="2199" t="s">
        <v>2826</v>
      </c>
      <c r="D4" s="2199" t="s">
        <v>2827</v>
      </c>
      <c r="E4" s="2901" t="s">
        <v>1775</v>
      </c>
      <c r="F4" s="2902"/>
      <c r="G4" s="2902"/>
      <c r="H4" s="2902"/>
      <c r="I4" s="2912"/>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4" t="s">
        <v>1776</v>
      </c>
      <c r="B5" s="2856">
        <v>25</v>
      </c>
      <c r="C5" s="2905">
        <v>8</v>
      </c>
      <c r="D5" s="2919">
        <v>2</v>
      </c>
      <c r="E5" s="56" t="s">
        <v>1777</v>
      </c>
      <c r="F5" s="2200"/>
      <c r="G5" s="2200"/>
      <c r="H5" s="2200"/>
      <c r="I5" s="2201"/>
    </row>
    <row r="6" spans="1:12" ht="12.75">
      <c r="A6" s="2894"/>
      <c r="B6" s="2856"/>
      <c r="C6" s="2922"/>
      <c r="D6" s="2919"/>
      <c r="E6" s="56" t="s">
        <v>1778</v>
      </c>
      <c r="F6" s="2200"/>
      <c r="G6" s="2200"/>
      <c r="H6" s="2200"/>
      <c r="I6" s="2201"/>
    </row>
    <row r="7" spans="1:12" ht="12.75">
      <c r="A7" s="2894"/>
      <c r="B7" s="2856"/>
      <c r="C7" s="2906"/>
      <c r="D7" s="2919"/>
      <c r="E7" s="56" t="s">
        <v>1779</v>
      </c>
      <c r="F7" s="2200"/>
      <c r="G7" s="2200"/>
      <c r="H7" s="2200"/>
      <c r="I7" s="2201"/>
    </row>
    <row r="8" spans="1:12" ht="12.75">
      <c r="A8" s="2894" t="s">
        <v>1780</v>
      </c>
      <c r="B8" s="2856">
        <v>15</v>
      </c>
      <c r="C8" s="2905"/>
      <c r="D8" s="2919"/>
      <c r="E8" s="56" t="s">
        <v>1781</v>
      </c>
      <c r="F8" s="2200"/>
      <c r="G8" s="2200"/>
      <c r="H8" s="2200"/>
      <c r="I8" s="2201"/>
    </row>
    <row r="9" spans="1:12" ht="12.75">
      <c r="A9" s="2894"/>
      <c r="B9" s="2856"/>
      <c r="C9" s="2906"/>
      <c r="D9" s="2919"/>
      <c r="E9" s="56" t="s">
        <v>1782</v>
      </c>
      <c r="F9" s="2200"/>
      <c r="G9" s="2200"/>
      <c r="H9" s="2200"/>
      <c r="I9" s="2201"/>
    </row>
    <row r="10" spans="1:12" ht="12.75">
      <c r="A10" s="2894" t="s">
        <v>1783</v>
      </c>
      <c r="B10" s="2856">
        <v>15</v>
      </c>
      <c r="C10" s="2905"/>
      <c r="D10" s="2919"/>
      <c r="E10" s="56" t="s">
        <v>1784</v>
      </c>
      <c r="F10" s="2200"/>
      <c r="G10" s="2200"/>
      <c r="H10" s="2200"/>
      <c r="I10" s="2201"/>
    </row>
    <row r="11" spans="1:12" ht="12.75">
      <c r="A11" s="2894"/>
      <c r="B11" s="2856"/>
      <c r="C11" s="2906"/>
      <c r="D11" s="2919"/>
      <c r="E11" s="56" t="s">
        <v>1785</v>
      </c>
      <c r="F11" s="2200"/>
      <c r="G11" s="2200"/>
      <c r="H11" s="2200"/>
      <c r="I11" s="2201"/>
    </row>
    <row r="12" spans="1:12" ht="12.75">
      <c r="A12" s="2894" t="s">
        <v>1786</v>
      </c>
      <c r="B12" s="2856">
        <v>15</v>
      </c>
      <c r="C12" s="2905"/>
      <c r="D12" s="2919"/>
      <c r="E12" s="56" t="s">
        <v>1787</v>
      </c>
      <c r="F12" s="2200"/>
      <c r="G12" s="2200"/>
      <c r="H12" s="2200"/>
      <c r="I12" s="2201"/>
    </row>
    <row r="13" spans="1:12" ht="12.75">
      <c r="A13" s="2894"/>
      <c r="B13" s="2856"/>
      <c r="C13" s="2906"/>
      <c r="D13" s="2919"/>
      <c r="E13" s="56" t="s">
        <v>1788</v>
      </c>
      <c r="F13" s="2200"/>
      <c r="G13" s="2200"/>
      <c r="H13" s="2200"/>
      <c r="I13" s="2201"/>
    </row>
    <row r="14" spans="1:12" ht="12.75">
      <c r="A14" s="2894" t="s">
        <v>1789</v>
      </c>
      <c r="B14" s="2856">
        <v>30</v>
      </c>
      <c r="C14" s="2905"/>
      <c r="D14" s="2919"/>
      <c r="E14" s="56" t="s">
        <v>1790</v>
      </c>
      <c r="F14" s="2200"/>
      <c r="G14" s="2200"/>
      <c r="H14" s="2200"/>
      <c r="I14" s="2201"/>
    </row>
    <row r="15" spans="1:12" ht="12.75">
      <c r="A15" s="2894"/>
      <c r="B15" s="2856"/>
      <c r="C15" s="2922"/>
      <c r="D15" s="2919"/>
      <c r="E15" s="56" t="s">
        <v>1791</v>
      </c>
      <c r="F15" s="2200"/>
      <c r="G15" s="2200"/>
      <c r="H15" s="2200"/>
      <c r="I15" s="2201"/>
    </row>
    <row r="16" spans="1:12" ht="12.75">
      <c r="A16" s="2894"/>
      <c r="B16" s="2856"/>
      <c r="C16" s="2906"/>
      <c r="D16" s="2919"/>
      <c r="E16" s="56" t="s">
        <v>1792</v>
      </c>
      <c r="F16" s="2200"/>
      <c r="G16" s="2200"/>
      <c r="H16" s="2200"/>
      <c r="I16" s="2201"/>
    </row>
    <row r="17" spans="1:35" ht="15">
      <c r="A17" s="2202" t="s">
        <v>1793</v>
      </c>
      <c r="B17" s="2203"/>
      <c r="C17" s="57">
        <f>SUM(C5:C16)</f>
        <v>8</v>
      </c>
      <c r="D17" s="57">
        <f>SUM(D5:D16)</f>
        <v>2</v>
      </c>
      <c r="E17" s="2195"/>
      <c r="F17" s="2195"/>
      <c r="G17" s="2195"/>
      <c r="H17" s="2195"/>
      <c r="I17" s="2195"/>
    </row>
    <row r="18" spans="1:35" ht="15.75" thickBot="1">
      <c r="A18" s="2204" t="s">
        <v>1794</v>
      </c>
      <c r="B18" s="2205"/>
      <c r="C18" s="58">
        <f>ROUND(C17/SUM(C17:D17),2)</f>
        <v>0.8</v>
      </c>
      <c r="D18" s="58">
        <f>1-C18</f>
        <v>0.19999999999999996</v>
      </c>
      <c r="E18" s="2195"/>
      <c r="F18" s="2195"/>
      <c r="G18" s="2195"/>
      <c r="H18" s="2195"/>
      <c r="I18" s="2195"/>
    </row>
    <row r="19" spans="1:35" ht="15">
      <c r="A19" s="2206" t="s">
        <v>1795</v>
      </c>
      <c r="B19" s="2207" t="s">
        <v>1796</v>
      </c>
      <c r="C19" s="59">
        <f ca="1">SUMIF(INDIRECT("'"&amp;C4&amp;"'"&amp;"!A:A"),结果表!B19,INDIRECT("'"&amp;C4&amp;"'"&amp;"!B:B"))</f>
        <v>9272067</v>
      </c>
      <c r="D19" s="60">
        <f ca="1">SUMIF(INDIRECT("'"&amp;D4&amp;"'"&amp;"!A:A"),结果表!B19,INDIRECT("'"&amp;D4&amp;"'"&amp;"!B:B"))</f>
        <v>7869744</v>
      </c>
      <c r="E19" s="2206" t="s">
        <v>1797</v>
      </c>
      <c r="F19" s="2207" t="s">
        <v>1796</v>
      </c>
      <c r="G19" s="61">
        <f ca="1">ROUND(C19*$C$18+D19*$D$18,0)</f>
        <v>8991602</v>
      </c>
      <c r="H19" s="2208" t="str">
        <f>'数据-取费表'!B3</f>
        <v>元</v>
      </c>
      <c r="I19" s="2195"/>
    </row>
    <row r="20" spans="1:35" ht="15">
      <c r="A20" s="2209"/>
      <c r="B20" s="2210" t="s">
        <v>1798</v>
      </c>
      <c r="C20" s="62">
        <f ca="1">SUMIF(INDIRECT("'"&amp;C4&amp;"'"&amp;"!A:A"),结果表!B20,INDIRECT("'"&amp;C4&amp;"'"&amp;"!B:B"))</f>
        <v>41562</v>
      </c>
      <c r="D20" s="63">
        <f ca="1">SUMIF(INDIRECT("'"&amp;D4&amp;"'"&amp;"!A:A"),结果表!B20,INDIRECT("'"&amp;D4&amp;"'"&amp;"!B:B"))</f>
        <v>35276</v>
      </c>
      <c r="E20" s="2209"/>
      <c r="F20" s="2210" t="s">
        <v>1798</v>
      </c>
      <c r="G20" s="64">
        <f ca="1">ROUND(C20*$C$18+D20*$D$18,0)</f>
        <v>40305</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f ca="1">IF(C19&lt;D19,D19/C19-1,C19/D19-1)</f>
        <v>0.17819169213128161</v>
      </c>
      <c r="E22" s="2195"/>
      <c r="F22" s="2195"/>
      <c r="G22" s="2195"/>
      <c r="H22" s="2195"/>
      <c r="I22" s="2195"/>
    </row>
    <row r="23" spans="1:35" ht="13.5" thickBot="1">
      <c r="A23" s="2195"/>
      <c r="B23" s="2195"/>
      <c r="C23" s="2195"/>
      <c r="D23" s="2195"/>
      <c r="E23" s="2195"/>
      <c r="F23" s="2195"/>
      <c r="G23" s="2195"/>
      <c r="H23" s="2195"/>
      <c r="I23" s="2195"/>
    </row>
    <row r="24" spans="1:35" ht="21.75" customHeight="1">
      <c r="A24" s="2925" t="s">
        <v>1801</v>
      </c>
      <c r="B24" s="2207" t="s">
        <v>1796</v>
      </c>
      <c r="C24" s="61">
        <f>D30</f>
        <v>0</v>
      </c>
      <c r="D24" s="994"/>
      <c r="E24" s="2195"/>
      <c r="F24" s="2195"/>
      <c r="G24" s="2195"/>
      <c r="H24" s="2195"/>
      <c r="I24" s="2195"/>
    </row>
    <row r="25" spans="1:35" ht="21.75" customHeight="1">
      <c r="A25" s="2926"/>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1806</v>
      </c>
      <c r="B30" s="67"/>
      <c r="C30" s="67"/>
      <c r="D30" s="67"/>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1807</v>
      </c>
      <c r="B32" s="2224" t="str">
        <f>'数据-取费表'!B4</f>
        <v>楼面单价</v>
      </c>
      <c r="C32" s="1145">
        <f ca="1">IF(B32="总价",G19-C24,G20-C25)</f>
        <v>40305</v>
      </c>
      <c r="D32" s="2195" t="str">
        <f>IF(B32="楼面单价","元/平方米",H19)</f>
        <v>元/平方米</v>
      </c>
      <c r="E32" s="2195"/>
      <c r="F32" s="2195"/>
      <c r="G32" s="2195"/>
      <c r="H32" s="2195"/>
      <c r="I32" s="2195"/>
    </row>
    <row r="33" spans="1:16" ht="15">
      <c r="A33" s="2225" t="s">
        <v>1808</v>
      </c>
      <c r="B33" s="2226"/>
      <c r="C33" s="2227"/>
      <c r="D33" s="2228"/>
      <c r="E33" s="2229" t="s">
        <v>1809</v>
      </c>
      <c r="F33" s="2230" t="str">
        <f>IF(B32="楼面单价","取值（单价）","取值（总价）")</f>
        <v>取值（单价）</v>
      </c>
      <c r="G33" s="2195"/>
      <c r="H33" s="2195"/>
      <c r="I33" s="2195"/>
    </row>
    <row r="34" spans="1:16" ht="15">
      <c r="A34" s="2231"/>
      <c r="B34" s="2232" t="s">
        <v>1810</v>
      </c>
      <c r="C34" s="72">
        <f ca="1">IF(D33="自定义",F34,C32-C35)</f>
        <v>36516</v>
      </c>
      <c r="D34" s="1091">
        <f ca="1">IF(D33="自定义",ROUND(C34/C32,3),1-D35)</f>
        <v>0.90600000000000003</v>
      </c>
      <c r="E34" s="2233" t="s">
        <v>1811</v>
      </c>
      <c r="F34" s="1828">
        <v>2000</v>
      </c>
      <c r="G34" s="2195"/>
      <c r="H34" s="2195"/>
      <c r="I34" s="2195"/>
    </row>
    <row r="35" spans="1:16" ht="15.75" thickBot="1">
      <c r="A35" s="2234"/>
      <c r="B35" s="2235" t="s">
        <v>1812</v>
      </c>
      <c r="C35" s="73">
        <f ca="1">IF(D33="自定义",F35,ROUND(C32*D35,0))</f>
        <v>3789</v>
      </c>
      <c r="D35" s="1090">
        <f ca="1">IF(D33="自定义",ROUND(C35/C32,3),IF(D33="成本法成本比率",成本法!C56,IF(D33="收益法收益比率",收益法!J38,收益法!J41)))</f>
        <v>9.4E-2</v>
      </c>
      <c r="E35" s="2236" t="s">
        <v>1813</v>
      </c>
      <c r="F35" s="79">
        <v>4460</v>
      </c>
      <c r="G35" s="2195"/>
      <c r="H35" s="2195"/>
      <c r="I35" s="2195"/>
    </row>
    <row r="36" spans="1:16" ht="15.75" thickBot="1">
      <c r="A36" s="2907" t="s">
        <v>1814</v>
      </c>
      <c r="B36" s="2237" t="s">
        <v>1815</v>
      </c>
      <c r="C36" s="69">
        <v>0</v>
      </c>
      <c r="D36" s="2238"/>
      <c r="E36" s="2239"/>
      <c r="F36" s="2239"/>
      <c r="G36" s="2195"/>
      <c r="H36" s="2195"/>
      <c r="I36" s="2195"/>
    </row>
    <row r="37" spans="1:16" ht="15.75" thickBot="1">
      <c r="A37" s="2908"/>
      <c r="B37" s="2240" t="s">
        <v>1816</v>
      </c>
      <c r="C37" s="71">
        <v>0</v>
      </c>
      <c r="D37" s="2205"/>
      <c r="E37" s="2205"/>
      <c r="F37" s="2239"/>
      <c r="G37" s="2205"/>
      <c r="H37" s="2205"/>
      <c r="I37" s="2205"/>
    </row>
    <row r="38" spans="1:16" ht="15.75" thickBot="1">
      <c r="A38" s="2909"/>
      <c r="B38" s="2241" t="s">
        <v>1817</v>
      </c>
      <c r="C38" s="712">
        <v>0</v>
      </c>
      <c r="D38" s="2242" t="s">
        <v>1818</v>
      </c>
      <c r="E38" s="2205"/>
      <c r="F38" s="2239"/>
      <c r="G38" s="2205"/>
      <c r="H38" s="2205"/>
      <c r="I38" s="2205"/>
    </row>
    <row r="39" spans="1:16" ht="15">
      <c r="A39" s="2209" t="s">
        <v>1819</v>
      </c>
      <c r="B39" s="2243" t="s">
        <v>1803</v>
      </c>
      <c r="C39" s="2244" t="s">
        <v>1804</v>
      </c>
      <c r="D39" s="2244" t="s">
        <v>1820</v>
      </c>
      <c r="E39" s="2245" t="s">
        <v>1805</v>
      </c>
      <c r="F39" s="2239"/>
      <c r="G39" s="2205"/>
      <c r="H39" s="2205"/>
      <c r="I39" s="2205"/>
    </row>
    <row r="40" spans="1:16" ht="14.25">
      <c r="A40" s="2246" t="s">
        <v>1821</v>
      </c>
      <c r="B40" s="74"/>
      <c r="C40" s="75"/>
      <c r="D40" s="75"/>
      <c r="E40" s="76"/>
      <c r="F40" s="2239"/>
      <c r="G40" s="2205"/>
      <c r="H40" s="2205"/>
      <c r="I40" s="2205"/>
    </row>
    <row r="41" spans="1:16" ht="14.25">
      <c r="A41" s="2246" t="s">
        <v>1822</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1823</v>
      </c>
      <c r="B44" s="2252"/>
      <c r="C44" s="2252"/>
      <c r="D44" s="2253"/>
      <c r="E44" s="2253"/>
      <c r="F44" s="2254"/>
      <c r="G44" s="2254"/>
      <c r="H44" s="2254"/>
      <c r="I44" s="2254"/>
      <c r="J44" s="2255" t="s">
        <v>1824</v>
      </c>
      <c r="K44" s="2256"/>
      <c r="L44" s="2256"/>
      <c r="M44" s="2256"/>
      <c r="N44" s="2256"/>
      <c r="O44" s="2256"/>
      <c r="P44" s="1845"/>
    </row>
    <row r="45" spans="1:16" ht="14.25" customHeight="1" thickBot="1">
      <c r="A45" s="2913" t="s">
        <v>1825</v>
      </c>
      <c r="B45" s="2914"/>
      <c r="C45" s="2915"/>
      <c r="D45" s="80">
        <f ca="1">ROUND(I102*F45,0)</f>
        <v>8991642</v>
      </c>
      <c r="E45" s="81" t="s">
        <v>1826</v>
      </c>
      <c r="F45" s="82">
        <v>1</v>
      </c>
      <c r="G45" s="83" t="s">
        <v>1827</v>
      </c>
      <c r="H45" s="2195"/>
      <c r="I45" s="2195"/>
      <c r="J45" s="2975" t="s">
        <v>1828</v>
      </c>
      <c r="K45" s="2975"/>
      <c r="L45" s="2975"/>
      <c r="M45" s="2975"/>
      <c r="N45" s="2975"/>
      <c r="O45" s="2975"/>
      <c r="P45" s="1845"/>
    </row>
    <row r="46" spans="1:16" ht="14.25" customHeight="1">
      <c r="A46" s="2898" t="s">
        <v>1829</v>
      </c>
      <c r="B46" s="2899"/>
      <c r="C46" s="2899"/>
      <c r="D46" s="2899"/>
      <c r="E46" s="2899"/>
      <c r="F46" s="2899"/>
      <c r="G46" s="2900"/>
      <c r="H46" s="2257"/>
      <c r="I46" s="1144"/>
      <c r="J46" s="1883">
        <v>1</v>
      </c>
      <c r="K46" s="2975" t="s">
        <v>1830</v>
      </c>
      <c r="L46" s="2975"/>
      <c r="M46" s="2976" t="str">
        <f>项目基本情况!B1</f>
        <v>北京市房地产市场价值预评估</v>
      </c>
      <c r="N46" s="2976"/>
      <c r="O46" s="2976"/>
      <c r="P46" s="1845"/>
    </row>
    <row r="47" spans="1:16" ht="12" customHeight="1">
      <c r="A47" s="85" t="s">
        <v>1831</v>
      </c>
      <c r="B47" s="86"/>
      <c r="C47" s="87"/>
      <c r="D47" s="88" t="s">
        <v>1832</v>
      </c>
      <c r="E47" s="14" t="s">
        <v>1833</v>
      </c>
      <c r="F47" s="89" t="s">
        <v>1834</v>
      </c>
      <c r="G47" s="90" t="s">
        <v>1835</v>
      </c>
      <c r="H47" s="2257"/>
      <c r="I47" s="1144"/>
      <c r="J47" s="1883">
        <v>2</v>
      </c>
      <c r="K47" s="2975" t="s">
        <v>1836</v>
      </c>
      <c r="L47" s="2975"/>
      <c r="M47" s="2977">
        <f>'数据-取费表'!B2</f>
        <v>41962</v>
      </c>
      <c r="N47" s="2977"/>
      <c r="O47" s="2977"/>
      <c r="P47" s="1845"/>
    </row>
    <row r="48" spans="1:16" ht="25.5">
      <c r="A48" s="2910" t="s">
        <v>1837</v>
      </c>
      <c r="B48" s="2911"/>
      <c r="C48" s="2911"/>
      <c r="D48" s="56">
        <f ca="1">IF(H48="情况1",0,IF(H48="情况2",D52,IF(H48="情况3",D53,IF(H48="情况4",D54))))</f>
        <v>503532</v>
      </c>
      <c r="E48" s="1893" t="str">
        <f>IF(H48="情况4","(销售额-原购置价)×税（费）率","销售额×税（费）率")</f>
        <v>销售额×税（费）率</v>
      </c>
      <c r="F48" s="91">
        <f>IF(H48="情况1","免征",'数据-取费表'!E29)</f>
        <v>5.6000000000000001E-2</v>
      </c>
      <c r="G48" s="2258" t="s">
        <v>1838</v>
      </c>
      <c r="H48" s="2259" t="s">
        <v>1839</v>
      </c>
      <c r="I48" s="2257"/>
      <c r="J48" s="1883">
        <v>3</v>
      </c>
      <c r="K48" s="2975" t="s">
        <v>1840</v>
      </c>
      <c r="L48" s="2975"/>
      <c r="M48" s="2976">
        <f ca="1">I102</f>
        <v>8991642</v>
      </c>
      <c r="N48" s="2976"/>
      <c r="O48" s="2976"/>
      <c r="P48" s="1845"/>
    </row>
    <row r="49" spans="1:16" ht="25.5" customHeight="1">
      <c r="A49" s="92" t="s">
        <v>1841</v>
      </c>
      <c r="B49" s="2903" t="s">
        <v>1842</v>
      </c>
      <c r="C49" s="2903"/>
      <c r="D49" s="93">
        <v>0</v>
      </c>
      <c r="E49" s="13" t="s">
        <v>1843</v>
      </c>
      <c r="F49" s="18" t="s">
        <v>48</v>
      </c>
      <c r="G49" s="2968"/>
      <c r="H49" s="2195"/>
      <c r="I49" s="2260"/>
      <c r="J49" s="1883">
        <v>4</v>
      </c>
      <c r="K49" s="2975" t="str">
        <f>IF(项目基本情况!F5="房地产抵押价值","房地产抵押价值","抵押担保权已注销时的房地产抵押价值")</f>
        <v>抵押担保权已注销时的房地产抵押价值</v>
      </c>
      <c r="L49" s="2975"/>
      <c r="M49" s="2976" t="str">
        <f>IF(项目基本情况!F5="房地产抵押价值",I110,I112)</f>
        <v>——</v>
      </c>
      <c r="N49" s="2976"/>
      <c r="O49" s="2976"/>
      <c r="P49" s="1845"/>
    </row>
    <row r="50" spans="1:16" ht="25.5" customHeight="1">
      <c r="A50" s="94"/>
      <c r="B50" s="2903" t="s">
        <v>1844</v>
      </c>
      <c r="C50" s="2903"/>
      <c r="D50" s="95"/>
      <c r="E50" s="21"/>
      <c r="F50" s="96"/>
      <c r="G50" s="2969"/>
      <c r="H50" s="2195"/>
      <c r="I50" s="2260"/>
      <c r="J50" s="2975" t="s">
        <v>1845</v>
      </c>
      <c r="K50" s="2975"/>
      <c r="L50" s="2975"/>
      <c r="M50" s="2975"/>
      <c r="N50" s="2975"/>
      <c r="O50" s="2975"/>
      <c r="P50" s="1845"/>
    </row>
    <row r="51" spans="1:16" ht="12" customHeight="1">
      <c r="A51" s="97"/>
      <c r="B51" s="2903" t="s">
        <v>1846</v>
      </c>
      <c r="C51" s="2903"/>
      <c r="D51" s="98"/>
      <c r="E51" s="20"/>
      <c r="F51" s="96"/>
      <c r="G51" s="2970"/>
      <c r="H51" s="2195"/>
      <c r="I51" s="2260"/>
      <c r="J51" s="2261" t="s">
        <v>1847</v>
      </c>
      <c r="K51" s="2975" t="s">
        <v>1848</v>
      </c>
      <c r="L51" s="2975"/>
      <c r="M51" s="2261" t="s">
        <v>1849</v>
      </c>
      <c r="N51" s="2261" t="s">
        <v>1850</v>
      </c>
      <c r="O51" s="2261" t="s">
        <v>1851</v>
      </c>
      <c r="P51" s="1845"/>
    </row>
    <row r="52" spans="1:16" ht="24" customHeight="1">
      <c r="A52" s="99" t="s">
        <v>1852</v>
      </c>
      <c r="B52" s="2903" t="s">
        <v>1853</v>
      </c>
      <c r="C52" s="2903"/>
      <c r="D52" s="98">
        <f ca="1">ROUND(D45*'数据-取费表'!E29/(1+'数据-取费表'!F30),0)</f>
        <v>503532</v>
      </c>
      <c r="E52" s="10" t="s">
        <v>1854</v>
      </c>
      <c r="F52" s="100">
        <f>'数据-取费表'!E29</f>
        <v>5.6000000000000001E-2</v>
      </c>
      <c r="G52" s="2262"/>
      <c r="H52" s="2195"/>
      <c r="I52" s="2260"/>
      <c r="J52" s="1883">
        <v>1</v>
      </c>
      <c r="K52" s="2935" t="s">
        <v>1855</v>
      </c>
      <c r="L52" s="2935"/>
      <c r="M52" s="778">
        <f ca="1">D48</f>
        <v>503532</v>
      </c>
      <c r="N52" s="1883" t="str">
        <f>E48</f>
        <v>销售额×税（费）率</v>
      </c>
      <c r="O52" s="779">
        <f>F48</f>
        <v>5.6000000000000001E-2</v>
      </c>
      <c r="P52" s="1845"/>
    </row>
    <row r="53" spans="1:16" ht="12" customHeight="1">
      <c r="A53" s="99" t="s">
        <v>1856</v>
      </c>
      <c r="B53" s="2904" t="s">
        <v>1857</v>
      </c>
      <c r="C53" s="2831"/>
      <c r="D53" s="98">
        <f ca="1">ROUND(D45*'数据-取费表'!E29/(1+'数据-取费表'!F30),0)</f>
        <v>503532</v>
      </c>
      <c r="E53" s="10" t="s">
        <v>1854</v>
      </c>
      <c r="F53" s="100">
        <f>'数据-取费表'!E29</f>
        <v>5.6000000000000001E-2</v>
      </c>
      <c r="G53" s="2262"/>
      <c r="H53" s="2195"/>
      <c r="I53" s="2260"/>
      <c r="J53" s="1883">
        <v>2</v>
      </c>
      <c r="K53" s="2935" t="s">
        <v>1858</v>
      </c>
      <c r="L53" s="2935"/>
      <c r="M53" s="778">
        <f t="shared" ref="M53:O54" ca="1" si="1">D55</f>
        <v>4496</v>
      </c>
      <c r="N53" s="1883" t="str">
        <f t="shared" si="1"/>
        <v>销售额×税（费）率</v>
      </c>
      <c r="O53" s="779">
        <f t="shared" si="1"/>
        <v>5.0000000000000001E-4</v>
      </c>
      <c r="P53" s="1845"/>
    </row>
    <row r="54" spans="1:16" ht="12" customHeight="1">
      <c r="A54" s="99" t="s">
        <v>1859</v>
      </c>
      <c r="B54" s="2904" t="s">
        <v>1860</v>
      </c>
      <c r="C54" s="2831"/>
      <c r="D54" s="98">
        <f ca="1">C68</f>
        <v>503532</v>
      </c>
      <c r="E54" s="20" t="s">
        <v>1861</v>
      </c>
      <c r="F54" s="100">
        <f>'数据-取费表'!E29</f>
        <v>5.6000000000000001E-2</v>
      </c>
      <c r="G54" s="2262"/>
      <c r="H54" s="2263"/>
      <c r="I54" s="2260"/>
      <c r="J54" s="1883">
        <v>3</v>
      </c>
      <c r="K54" s="2935" t="s">
        <v>1862</v>
      </c>
      <c r="L54" s="2935"/>
      <c r="M54" s="778">
        <f t="shared" ca="1" si="1"/>
        <v>5343733</v>
      </c>
      <c r="N54" s="1883" t="str">
        <f t="shared" si="1"/>
        <v>增值额×税（费）率</v>
      </c>
      <c r="O54" s="780" t="str">
        <f t="shared" si="1"/>
        <v>——</v>
      </c>
      <c r="P54" s="1845"/>
    </row>
    <row r="55" spans="1:16" ht="24" customHeight="1">
      <c r="A55" s="2823" t="s">
        <v>1863</v>
      </c>
      <c r="B55" s="2911"/>
      <c r="C55" s="2911"/>
      <c r="D55" s="101">
        <f ca="1">IF(H55="个人住宅",0,ROUND(D45*I55,0))</f>
        <v>4496</v>
      </c>
      <c r="E55" s="10" t="s">
        <v>1864</v>
      </c>
      <c r="F55" s="100">
        <f>IF(H55="正常",I55,"免征")</f>
        <v>5.0000000000000001E-4</v>
      </c>
      <c r="G55" s="2262"/>
      <c r="H55" s="2259" t="s">
        <v>1865</v>
      </c>
      <c r="I55" s="102">
        <f>'数据-取费表'!E37</f>
        <v>5.0000000000000001E-4</v>
      </c>
      <c r="J55" s="1883">
        <f>IF(H59="非个人房产","",4)</f>
        <v>4</v>
      </c>
      <c r="K55" s="2935" t="str">
        <f>IF(H59="非个人房产","——","个人所得税")</f>
        <v>个人所得税</v>
      </c>
      <c r="L55" s="2935"/>
      <c r="M55" s="781">
        <f ca="1">D59</f>
        <v>89916</v>
      </c>
      <c r="N55" s="1886" t="str">
        <f>E59</f>
        <v>销售额×税（费）率</v>
      </c>
      <c r="O55" s="782">
        <f>F59</f>
        <v>0.01</v>
      </c>
      <c r="P55" s="1845"/>
    </row>
    <row r="56" spans="1:16" ht="24.75">
      <c r="A56" s="2823" t="s">
        <v>1866</v>
      </c>
      <c r="B56" s="2911"/>
      <c r="C56" s="2911"/>
      <c r="D56" s="101">
        <f ca="1">IF(H56="个人住宅",D57,D58)</f>
        <v>5343733</v>
      </c>
      <c r="E56" s="10" t="s">
        <v>1867</v>
      </c>
      <c r="F56" s="100" t="str">
        <f>IF(H56="正常",F58,"免征")</f>
        <v>——</v>
      </c>
      <c r="G56" s="2264" t="s">
        <v>1868</v>
      </c>
      <c r="H56" s="2265" t="s">
        <v>1865</v>
      </c>
      <c r="I56" s="1022"/>
      <c r="J56" s="1883" t="str">
        <f>IF(项目基本情况!I6="上海银行",IF(J55="",4,J55+1),"")</f>
        <v/>
      </c>
      <c r="K56" s="2953" t="str">
        <f>IF(项目基本情况!I6="上海银行","其他处置费用","")</f>
        <v/>
      </c>
      <c r="L56" s="2954"/>
      <c r="M56" s="778" t="str">
        <f>IF(项目基本情况!I6="上海银行",M69,"")</f>
        <v/>
      </c>
      <c r="N56" s="2966" t="str">
        <f>IF(项目基本情况!I6="上海银行","包含处置中涉及的律师、诉讼、拍卖、评估等费用","")</f>
        <v/>
      </c>
      <c r="O56" s="2967"/>
      <c r="P56" s="1845"/>
    </row>
    <row r="57" spans="1:16" ht="12.75">
      <c r="A57" s="99" t="s">
        <v>1841</v>
      </c>
      <c r="B57" s="2901" t="s">
        <v>1869</v>
      </c>
      <c r="C57" s="2912"/>
      <c r="D57" s="103">
        <v>0</v>
      </c>
      <c r="E57" s="13" t="s">
        <v>1843</v>
      </c>
      <c r="F57" s="70"/>
      <c r="G57" s="2262"/>
      <c r="H57" s="1022"/>
      <c r="I57" s="1022"/>
      <c r="J57" s="2935">
        <f>IF(AND(J55="",J56=""),4,IF(项目基本情况!I6="上海银行",J56+1,J55+1))</f>
        <v>5</v>
      </c>
      <c r="K57" s="2935" t="s">
        <v>1870</v>
      </c>
      <c r="L57" s="2266" t="s">
        <v>1871</v>
      </c>
      <c r="M57" s="783"/>
      <c r="N57" s="784">
        <f ca="1">SUMIF(M52:M56,"&lt;9e307")</f>
        <v>5941677</v>
      </c>
      <c r="O57" s="2267"/>
      <c r="P57" s="1841" t="e">
        <f ca="1">N57/M49</f>
        <v>#VALUE!</v>
      </c>
    </row>
    <row r="58" spans="1:16" ht="24.75">
      <c r="A58" s="99" t="s">
        <v>1852</v>
      </c>
      <c r="B58" s="2901" t="s">
        <v>1872</v>
      </c>
      <c r="C58" s="2902"/>
      <c r="D58" s="101">
        <f ca="1">IF(H58="转让取得",C81,C97)</f>
        <v>5343733</v>
      </c>
      <c r="E58" s="10" t="s">
        <v>1867</v>
      </c>
      <c r="F58" s="14" t="s">
        <v>48</v>
      </c>
      <c r="G58" s="2262"/>
      <c r="H58" s="2265" t="s">
        <v>1873</v>
      </c>
      <c r="I58" s="1022"/>
      <c r="J58" s="2935"/>
      <c r="K58" s="2935"/>
      <c r="L58" s="2266" t="s">
        <v>1874</v>
      </c>
      <c r="M58" s="785"/>
      <c r="N58" s="2268" t="str">
        <f ca="1">IF(H19="元",NUMBERSTRING(INT(N57),2)&amp;"元整",NUMBERSTRING(INT(N57*10000),2)&amp;"元整")</f>
        <v>伍佰玖拾肆万壹仟陆佰柒拾柒元整</v>
      </c>
      <c r="O58" s="2269"/>
      <c r="P58" s="1845"/>
    </row>
    <row r="59" spans="1:16" ht="26.25" thickBot="1">
      <c r="A59" s="2824" t="s">
        <v>1875</v>
      </c>
      <c r="B59" s="2827"/>
      <c r="C59" s="2827"/>
      <c r="D59" s="104">
        <f ca="1">IF(H59="非个人房产","——",IF(H59="个人住宅",0,ROUND(D45*I59,0)))</f>
        <v>89916</v>
      </c>
      <c r="E59" s="105" t="str">
        <f>IF(H59="非个人房产","——","销售额×税（费）率")</f>
        <v>销售额×税（费）率</v>
      </c>
      <c r="F59" s="106">
        <f>IF(H59="非个人房产","——",IF(H59="个人住宅","免征",I59))</f>
        <v>0.01</v>
      </c>
      <c r="G59" s="2270" t="s">
        <v>1868</v>
      </c>
      <c r="H59" s="2265" t="s">
        <v>1876</v>
      </c>
      <c r="I59" s="107">
        <v>0.01</v>
      </c>
      <c r="J59" s="2933">
        <f>J57+1</f>
        <v>6</v>
      </c>
      <c r="K59" s="2935" t="s">
        <v>1877</v>
      </c>
      <c r="L59" s="1883" t="s">
        <v>1871</v>
      </c>
      <c r="M59" s="786"/>
      <c r="N59" s="787" t="e">
        <f ca="1">M49-N57</f>
        <v>#VALUE!</v>
      </c>
      <c r="O59" s="2271"/>
      <c r="P59" s="1845"/>
    </row>
    <row r="60" spans="1:16" ht="12" customHeight="1">
      <c r="A60" s="2068"/>
      <c r="B60" s="2195"/>
      <c r="C60" s="2195"/>
      <c r="D60" s="2195"/>
      <c r="E60" s="1022"/>
      <c r="F60" s="1022"/>
      <c r="G60" s="1022"/>
      <c r="H60" s="2248"/>
      <c r="I60" s="2195"/>
      <c r="J60" s="2934"/>
      <c r="K60" s="2935"/>
      <c r="L60" s="2266" t="s">
        <v>1874</v>
      </c>
      <c r="M60" s="785"/>
      <c r="N60" s="2268" t="e">
        <f ca="1">IF(H19="元",NUMBERSTRING(INT(N59),2)&amp;"元整",NUMBERSTRING(INT(N59*10000),2)&amp;"元整")</f>
        <v>#VALUE!</v>
      </c>
      <c r="O60" s="2269"/>
      <c r="P60" s="1845"/>
    </row>
    <row r="61" spans="1:16" ht="13.5" thickBot="1">
      <c r="A61" s="2916" t="s">
        <v>1878</v>
      </c>
      <c r="B61" s="2916"/>
      <c r="C61" s="2916"/>
      <c r="D61" s="2916"/>
      <c r="E61" s="2916"/>
      <c r="F61" s="1022"/>
      <c r="G61" s="1022"/>
      <c r="H61" s="2248"/>
      <c r="I61" s="2195"/>
      <c r="J61" s="1883">
        <f>J59+1</f>
        <v>7</v>
      </c>
      <c r="K61" s="2935" t="s">
        <v>1879</v>
      </c>
      <c r="L61" s="2935"/>
      <c r="M61" s="788"/>
      <c r="N61" s="789" t="e">
        <f ca="1">IF(H19="元",ROUND(N59/项目基本情况!C12,0),ROUND(N59*10000/项目基本情况!C12,0))</f>
        <v>#VALUE!</v>
      </c>
      <c r="O61" s="2272"/>
      <c r="P61" s="1845"/>
    </row>
    <row r="62" spans="1:16" ht="12.75">
      <c r="A62" s="2923" t="s">
        <v>1880</v>
      </c>
      <c r="B62" s="2924"/>
      <c r="C62" s="1885"/>
      <c r="D62" s="1885" t="s">
        <v>1881</v>
      </c>
      <c r="E62" s="108" t="s">
        <v>1882</v>
      </c>
      <c r="F62" s="1022"/>
      <c r="G62" s="1022"/>
      <c r="H62" s="2248"/>
      <c r="I62" s="2195"/>
      <c r="J62" s="1845"/>
      <c r="K62" s="1845"/>
      <c r="L62" s="1845"/>
      <c r="M62" s="1845"/>
      <c r="N62" s="1845"/>
      <c r="O62" s="1845"/>
      <c r="P62" s="1845"/>
    </row>
    <row r="63" spans="1:16" ht="12.75">
      <c r="A63" s="109">
        <v>1</v>
      </c>
      <c r="B63" s="110" t="s">
        <v>1883</v>
      </c>
      <c r="C63" s="111">
        <f ca="1">ROUND((C64+C65)/(1+'数据-取费表'!F30),0)</f>
        <v>8991642</v>
      </c>
      <c r="D63" s="112"/>
      <c r="E63" s="113"/>
      <c r="F63" s="1022"/>
      <c r="G63" s="1022"/>
      <c r="H63" s="2248"/>
      <c r="I63" s="2195"/>
      <c r="J63" s="2955" t="s">
        <v>1884</v>
      </c>
      <c r="K63" s="2273"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8991642</v>
      </c>
      <c r="D64" s="117" t="s">
        <v>41</v>
      </c>
      <c r="E64" s="118"/>
      <c r="F64" s="1022"/>
      <c r="G64" s="1022"/>
      <c r="H64" s="2248"/>
      <c r="I64" s="2195"/>
      <c r="J64" s="2955"/>
      <c r="K64" s="2273"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8"/>
      <c r="I65" s="2195"/>
      <c r="J65" s="2955"/>
      <c r="K65" s="2273"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8"/>
      <c r="I66" s="2195"/>
      <c r="J66" s="2955"/>
      <c r="K66" s="2273" t="s">
        <v>1893</v>
      </c>
      <c r="L66" s="1844" t="e">
        <f>M49*0.5%</f>
        <v>#VALUE!</v>
      </c>
      <c r="M66" s="14" t="e">
        <f>IF(L66&gt;0.5,0.5,ROUND(L66,0))</f>
        <v>#VALUE!</v>
      </c>
      <c r="N66" s="1845" t="s">
        <v>1894</v>
      </c>
      <c r="O66" s="1845"/>
      <c r="P66" s="1845"/>
    </row>
    <row r="67" spans="1:35" ht="12.75">
      <c r="A67" s="120" t="s">
        <v>42</v>
      </c>
      <c r="B67" s="121" t="s">
        <v>1895</v>
      </c>
      <c r="C67" s="124">
        <f ca="1">C63-C66</f>
        <v>8991642</v>
      </c>
      <c r="D67" s="117" t="s">
        <v>41</v>
      </c>
      <c r="E67" s="118"/>
      <c r="F67" s="1022"/>
      <c r="G67" s="1022"/>
      <c r="H67" s="2248"/>
      <c r="I67" s="2195"/>
      <c r="J67" s="2955"/>
      <c r="K67" s="2273"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503532</v>
      </c>
      <c r="D68" s="128">
        <f>'数据-取费表'!E29</f>
        <v>5.6000000000000001E-2</v>
      </c>
      <c r="E68" s="129"/>
      <c r="F68" s="1022"/>
      <c r="G68" s="1022"/>
      <c r="H68" s="2248"/>
      <c r="I68" s="2195"/>
      <c r="J68" s="2955"/>
      <c r="K68" s="2273" t="s">
        <v>1898</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55"/>
      <c r="K69" s="2273" t="s">
        <v>1899</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27" t="s">
        <v>1900</v>
      </c>
      <c r="B70" s="2928"/>
      <c r="C70" s="2928"/>
      <c r="D70" s="2928"/>
      <c r="E70" s="2928"/>
      <c r="F70" s="2928"/>
      <c r="G70" s="2928"/>
      <c r="H70" s="2928"/>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3" t="s">
        <v>1880</v>
      </c>
      <c r="B71" s="2924"/>
      <c r="C71" s="1885"/>
      <c r="D71" s="1885" t="s">
        <v>1881</v>
      </c>
      <c r="E71" s="130" t="s">
        <v>1882</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1901</v>
      </c>
      <c r="C72" s="124">
        <f ca="1">ROUND(D45/(1+'数据-取费表'!F30),0)</f>
        <v>8991642</v>
      </c>
      <c r="D72" s="117" t="s">
        <v>41</v>
      </c>
      <c r="E72" s="12" t="s">
        <v>1902</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1903</v>
      </c>
      <c r="C73" s="124">
        <f ca="1">C74+C78</f>
        <v>53950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1905</v>
      </c>
      <c r="C75" s="137"/>
      <c r="D75" s="117" t="s">
        <v>41</v>
      </c>
      <c r="E75" s="138" t="s">
        <v>1906</v>
      </c>
      <c r="F75" s="2284" t="s">
        <v>1907</v>
      </c>
      <c r="G75" s="138" t="s">
        <v>1908</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904" t="s">
        <v>1910</v>
      </c>
      <c r="F76" s="2903"/>
      <c r="G76" s="2903"/>
      <c r="H76" s="291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53950</v>
      </c>
      <c r="D78" s="145">
        <f>'数据-取费表'!E31</f>
        <v>6.000000000000001E-3</v>
      </c>
      <c r="E78" s="2895" t="s">
        <v>1915</v>
      </c>
      <c r="F78" s="2896"/>
      <c r="G78" s="2896"/>
      <c r="H78" s="2897"/>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1916</v>
      </c>
      <c r="C79" s="124">
        <f ca="1">C72-C73</f>
        <v>8937692</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1917</v>
      </c>
      <c r="C80" s="147">
        <f ca="1">IF(C79&lt;=0,0,C79/C73)</f>
        <v>165.66620945319741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1918</v>
      </c>
      <c r="C81" s="149">
        <f ca="1">ROUND(IF(C79&lt;=0,0,IF(C80&gt;=200%,C79*60%-C73*35%,IF(C80&gt;=100%,C79*50%-C73*15%,IF(C80&gt;=50%,C79*40%-C73*5%,IF(C80&lt;50%,C79*30%,0))))),0)</f>
        <v>5343733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27" t="s">
        <v>1919</v>
      </c>
      <c r="B83" s="2928"/>
      <c r="C83" s="2928"/>
      <c r="D83" s="2928"/>
      <c r="E83" s="2928"/>
      <c r="F83" s="2928"/>
      <c r="G83" s="2928"/>
      <c r="H83" s="2928"/>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3" t="s">
        <v>1880</v>
      </c>
      <c r="B84" s="2924"/>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1901</v>
      </c>
      <c r="C85" s="124">
        <f ca="1">ROUND(D45/(1+'数据-取费表'!F30),0)</f>
        <v>8991642</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1903</v>
      </c>
      <c r="C86" s="124">
        <f ca="1">IF(H88="仅含出让金",C87+C90+C91+C92+C93+C94,C87+C91+C92+C93+C94)</f>
        <v>53950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1921</v>
      </c>
      <c r="C88" s="157"/>
      <c r="D88" s="145"/>
      <c r="E88" s="158" t="s">
        <v>1922</v>
      </c>
      <c r="F88" s="1882"/>
      <c r="G88" s="159" t="s">
        <v>1923</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95" t="s">
        <v>1927</v>
      </c>
      <c r="F91" s="2896"/>
      <c r="G91" s="2896"/>
      <c r="H91" s="2288" t="s">
        <v>1928</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95" t="s">
        <v>1930</v>
      </c>
      <c r="F92" s="2896"/>
      <c r="G92" s="2896"/>
      <c r="H92" s="2897"/>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53950</v>
      </c>
      <c r="D93" s="145">
        <f>'数据-取费表'!E31</f>
        <v>6.000000000000001E-3</v>
      </c>
      <c r="E93" s="2895" t="s">
        <v>1915</v>
      </c>
      <c r="F93" s="2896"/>
      <c r="G93" s="2896"/>
      <c r="H93" s="289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95" t="s">
        <v>1932</v>
      </c>
      <c r="F94" s="2896"/>
      <c r="G94" s="2896"/>
      <c r="H94" s="289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1916</v>
      </c>
      <c r="C95" s="124">
        <f ca="1">ROUND(C85-C86,0)</f>
        <v>8937692</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1917</v>
      </c>
      <c r="C96" s="147">
        <f ca="1">IF(C95&lt;=0,0,C95/C86)</f>
        <v>165.66620945319741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1918</v>
      </c>
      <c r="C97" s="149">
        <f ca="1">ROUND(IF(C95&lt;=0,0,IF(C96&gt;=200%,C95*60%-C86*35%,IF(C96&gt;=100%,C95*50%-C86*15%,IF(C96&gt;=50%,C95*40%-C86*5%,IF(C96&lt;50%,C95*30%,0))))),0)</f>
        <v>5343733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1933</v>
      </c>
      <c r="B98" s="2195"/>
      <c r="C98" s="2195"/>
      <c r="D98" s="2195"/>
      <c r="E98" s="1022"/>
      <c r="F98" s="1022"/>
      <c r="G98" s="1022"/>
      <c r="H98" s="2248"/>
      <c r="I98" s="2195"/>
    </row>
    <row r="99" spans="1:35" ht="15.75">
      <c r="A99" s="2950" t="s">
        <v>1934</v>
      </c>
      <c r="B99" s="2951"/>
      <c r="C99" s="2951"/>
      <c r="D99" s="2952"/>
      <c r="E99" s="2195"/>
      <c r="F99" s="2961" t="s">
        <v>1935</v>
      </c>
      <c r="G99" s="2962"/>
      <c r="H99" s="2962"/>
      <c r="I99" s="2963"/>
    </row>
    <row r="100" spans="1:35" ht="15.75">
      <c r="A100" s="2964" t="s">
        <v>1936</v>
      </c>
      <c r="B100" s="2965"/>
      <c r="C100" s="720" t="str">
        <f>C4</f>
        <v>比较法-住宅</v>
      </c>
      <c r="D100" s="721" t="str">
        <f>D4</f>
        <v>收益法</v>
      </c>
      <c r="E100" s="2195"/>
      <c r="F100" s="2860" t="s">
        <v>1937</v>
      </c>
      <c r="G100" s="2861"/>
      <c r="H100" s="2860" t="s">
        <v>1938</v>
      </c>
      <c r="I100" s="2859"/>
    </row>
    <row r="101" spans="1:35" ht="15.75">
      <c r="A101" s="2942" t="s">
        <v>1939</v>
      </c>
      <c r="B101" s="2290" t="str">
        <f>IF(H19="元","总价（元）","总价（万元）")</f>
        <v>总价（元）</v>
      </c>
      <c r="C101" s="720">
        <f ca="1">C19</f>
        <v>9272067</v>
      </c>
      <c r="D101" s="721">
        <f ca="1">D19</f>
        <v>7869744</v>
      </c>
      <c r="E101" s="2195"/>
      <c r="F101" s="2860" t="str">
        <f>项目基本情况!I1</f>
        <v>北京市房地产</v>
      </c>
      <c r="G101" s="2861"/>
      <c r="H101" s="2858">
        <f>项目基本情况!C12</f>
        <v>223.09</v>
      </c>
      <c r="I101" s="2859"/>
    </row>
    <row r="102" spans="1:35" ht="15.75">
      <c r="A102" s="2942"/>
      <c r="B102" s="2290" t="s">
        <v>1940</v>
      </c>
      <c r="C102" s="722">
        <f ca="1">C20</f>
        <v>41562</v>
      </c>
      <c r="D102" s="723">
        <f ca="1">D20</f>
        <v>35276</v>
      </c>
      <c r="E102" s="2195"/>
      <c r="F102" s="2887" t="s">
        <v>1941</v>
      </c>
      <c r="G102" s="2888"/>
      <c r="H102" s="2291" t="str">
        <f>C106</f>
        <v>总价（元）</v>
      </c>
      <c r="I102" s="1862">
        <f ca="1">H121</f>
        <v>8991642</v>
      </c>
    </row>
    <row r="103" spans="1:35" ht="15">
      <c r="A103" s="2942" t="s">
        <v>1942</v>
      </c>
      <c r="B103" s="2292" t="str">
        <f>B101</f>
        <v>总价（元）</v>
      </c>
      <c r="C103" s="724">
        <f ca="1">H121</f>
        <v>8991642</v>
      </c>
      <c r="D103" s="725"/>
      <c r="E103" s="2195"/>
      <c r="F103" s="2887"/>
      <c r="G103" s="2888"/>
      <c r="H103" s="2291" t="s">
        <v>1940</v>
      </c>
      <c r="I103" s="1050">
        <f ca="1">I121</f>
        <v>40305</v>
      </c>
    </row>
    <row r="104" spans="1:35" ht="16.5" thickBot="1">
      <c r="A104" s="2943"/>
      <c r="B104" s="2293" t="s">
        <v>1940</v>
      </c>
      <c r="C104" s="726">
        <f ca="1">I121</f>
        <v>40305</v>
      </c>
      <c r="D104" s="727"/>
      <c r="E104" s="2195"/>
      <c r="F104" s="2959"/>
      <c r="G104" s="2960"/>
      <c r="H104" s="2944"/>
      <c r="I104" s="2945"/>
    </row>
    <row r="105" spans="1:35" ht="15.75">
      <c r="A105" s="2950" t="s">
        <v>1943</v>
      </c>
      <c r="B105" s="2951"/>
      <c r="C105" s="2951"/>
      <c r="D105" s="2952"/>
      <c r="E105" s="2195"/>
      <c r="F105" s="2948" t="s">
        <v>1944</v>
      </c>
      <c r="G105" s="2949"/>
      <c r="H105" s="2294" t="str">
        <f>C108</f>
        <v>总额（元）</v>
      </c>
      <c r="I105" s="1862">
        <f>SUMIF(I106:I108,"&lt;9E307")</f>
        <v>0</v>
      </c>
    </row>
    <row r="106" spans="1:35" ht="15">
      <c r="A106" s="2874" t="s">
        <v>1945</v>
      </c>
      <c r="B106" s="2875"/>
      <c r="C106" s="2291" t="str">
        <f>B101</f>
        <v>总价（元）</v>
      </c>
      <c r="D106" s="1051">
        <f ca="1">H121</f>
        <v>8991642</v>
      </c>
      <c r="E106" s="2195"/>
      <c r="F106" s="2876" t="s">
        <v>1946</v>
      </c>
      <c r="G106" s="2877"/>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74"/>
      <c r="B107" s="2875"/>
      <c r="C107" s="2291" t="s">
        <v>1940</v>
      </c>
      <c r="D107" s="1052">
        <f ca="1">I121</f>
        <v>40305</v>
      </c>
      <c r="E107" s="2195"/>
      <c r="F107" s="2876" t="s">
        <v>1947</v>
      </c>
      <c r="G107" s="2877"/>
      <c r="H107" s="2294" t="str">
        <f>C110</f>
        <v>总额（元）</v>
      </c>
      <c r="I107" s="1050">
        <f>C37</f>
        <v>0</v>
      </c>
      <c r="K107" s="2295"/>
    </row>
    <row r="108" spans="1:35" ht="15">
      <c r="A108" s="2881" t="s">
        <v>1948</v>
      </c>
      <c r="B108" s="2882"/>
      <c r="C108" s="2294" t="str">
        <f>IF(H19="元","总额（元）","总额（万元）")</f>
        <v>总额（元）</v>
      </c>
      <c r="D108" s="1051">
        <f>IF(D36="正常操作",I106+I107+I108,I107+I108)</f>
        <v>0</v>
      </c>
      <c r="E108" s="2195"/>
      <c r="F108" s="2876" t="s">
        <v>1949</v>
      </c>
      <c r="G108" s="2877"/>
      <c r="H108" s="2294" t="str">
        <f>C111</f>
        <v>总额（元）</v>
      </c>
      <c r="I108" s="1050">
        <f>C38</f>
        <v>0</v>
      </c>
    </row>
    <row r="109" spans="1:35" ht="15.75">
      <c r="A109" s="2876" t="s">
        <v>1946</v>
      </c>
      <c r="B109" s="2877"/>
      <c r="C109" s="2294" t="str">
        <f>C108</f>
        <v>总额（元）</v>
      </c>
      <c r="D109" s="637">
        <f>IF(D36="同一抵押权人同一抵押物续贷",C36&amp;"（未扣减，详见特别提示）",C36)</f>
        <v>0</v>
      </c>
      <c r="E109" s="2195"/>
      <c r="F109" s="2959"/>
      <c r="G109" s="2960"/>
      <c r="H109" s="2946"/>
      <c r="I109" s="2947"/>
    </row>
    <row r="110" spans="1:35" ht="28.5" customHeight="1">
      <c r="A110" s="2876" t="s">
        <v>1947</v>
      </c>
      <c r="B110" s="2877"/>
      <c r="C110" s="2294" t="str">
        <f>C108</f>
        <v>总额（元）</v>
      </c>
      <c r="D110" s="637">
        <f>C37</f>
        <v>0</v>
      </c>
      <c r="E110" s="2195"/>
      <c r="F110" s="2862" t="str">
        <f>IF(项目基本情况!F5="已注销","——","3.房地产抵押价值")</f>
        <v>3.房地产抵押价值</v>
      </c>
      <c r="G110" s="2863"/>
      <c r="H110" s="2296" t="str">
        <f>C112</f>
        <v>总价（元）</v>
      </c>
      <c r="I110" s="1863">
        <f ca="1">IF(F110="——","——",I102-I105)</f>
        <v>8991642</v>
      </c>
    </row>
    <row r="111" spans="1:35" ht="15">
      <c r="A111" s="2876" t="s">
        <v>1949</v>
      </c>
      <c r="B111" s="2877"/>
      <c r="C111" s="2294" t="str">
        <f>C108</f>
        <v>总额（元）</v>
      </c>
      <c r="D111" s="637">
        <f>C38</f>
        <v>0</v>
      </c>
      <c r="E111" s="2195"/>
      <c r="F111" s="2978"/>
      <c r="G111" s="2979"/>
      <c r="H111" s="2291" t="s">
        <v>1940</v>
      </c>
      <c r="I111" s="2297">
        <f ca="1">D113</f>
        <v>40305</v>
      </c>
    </row>
    <row r="112" spans="1:35" ht="26.25" customHeight="1">
      <c r="A112" s="2874" t="str">
        <f>IF(项目基本情况!F5="已注销","——","3.房地产抵押价值")</f>
        <v>3.房地产抵押价值</v>
      </c>
      <c r="B112" s="2875"/>
      <c r="C112" s="2291" t="str">
        <f>B101</f>
        <v>总价（元）</v>
      </c>
      <c r="D112" s="1051">
        <f ca="1">IF(A112="——","——",D106-D108)</f>
        <v>8991642</v>
      </c>
      <c r="E112" s="2195"/>
      <c r="F112" s="2862" t="str">
        <f>IF(项目基本情况!F5="已注销及未注销","4.抵押担保权已注销时的房地产抵押价值",IF(项目基本情况!F5="已注销","3.抵押担保权已注销时的房地产抵押价值","——"))</f>
        <v>——</v>
      </c>
      <c r="G112" s="2863"/>
      <c r="H112" s="2296" t="str">
        <f>C114</f>
        <v>总价（元）</v>
      </c>
      <c r="I112" s="1863" t="str">
        <f>IF(F112="——","——",I102-I107-I108)</f>
        <v>——</v>
      </c>
    </row>
    <row r="113" spans="1:15" ht="15">
      <c r="A113" s="2874"/>
      <c r="B113" s="2875"/>
      <c r="C113" s="2291" t="s">
        <v>1940</v>
      </c>
      <c r="D113" s="1052">
        <f ca="1">ROUND(IF(D112=D106,D107,IF(H19="元",D112/项目基本情况!C12,D112*10000/项目基本情况!C12)),0)</f>
        <v>40305</v>
      </c>
      <c r="E113" s="2195"/>
      <c r="F113" s="2978"/>
      <c r="G113" s="2979"/>
      <c r="H113" s="2291" t="s">
        <v>1940</v>
      </c>
      <c r="I113" s="2298" t="str">
        <f>D115</f>
        <v>——</v>
      </c>
    </row>
    <row r="114" spans="1:15" ht="15.75">
      <c r="A114" s="2874" t="str">
        <f>IF(项目基本情况!F5="已注销及未注销","4.抵押担保权已注销时的房地产抵押价值",IF(项目基本情况!F5="已注销","3.抵押担保权已注销时的房地产抵押价值","——"))</f>
        <v>——</v>
      </c>
      <c r="B114" s="2875"/>
      <c r="C114" s="2291" t="str">
        <f>B101</f>
        <v>总价（元）</v>
      </c>
      <c r="D114" s="1051" t="str">
        <f>IF(A114="——","——",D106-D110-D111)</f>
        <v>——</v>
      </c>
      <c r="E114" s="2195"/>
      <c r="F114" s="2862" t="str">
        <f>IF(项目基本情况!G5="抵押净值",IF(OR(项目基本情况!F5="已注销",项目基本情况!F5="房地产抵押价值"),"4.抵押净值","5.抵押净值"),"——")</f>
        <v>——</v>
      </c>
      <c r="G114" s="2863"/>
      <c r="H114" s="2291" t="str">
        <f>C116</f>
        <v>总价（元）</v>
      </c>
      <c r="I114" s="1862" t="str">
        <f>IF(F114="——","——",N59)</f>
        <v>——</v>
      </c>
    </row>
    <row r="115" spans="1:15" ht="15.75" thickBot="1">
      <c r="A115" s="2874"/>
      <c r="B115" s="2875"/>
      <c r="C115" s="2291" t="s">
        <v>1940</v>
      </c>
      <c r="D115" s="1052" t="str">
        <f>IF(A114="——","——",ROUND(IF(D114=D106,D107,IF(H19="元",D114/项目基本情况!C12,D114*10000/项目基本情况!C12)),0))</f>
        <v>——</v>
      </c>
      <c r="E115" s="2195"/>
      <c r="F115" s="2864"/>
      <c r="G115" s="2865"/>
      <c r="H115" s="2299" t="s">
        <v>1940</v>
      </c>
      <c r="I115" s="1864" t="str">
        <f ca="1">D117</f>
        <v>——</v>
      </c>
    </row>
    <row r="116" spans="1:15" ht="15.75">
      <c r="A116" s="2874" t="str">
        <f>IF(项目基本情况!G5="抵押净值",IF(OR(项目基本情况!F5="已注销",项目基本情况!F5="房地产抵押价值"),"4.抵押净值","5.抵押净值"),"——")</f>
        <v>——</v>
      </c>
      <c r="B116" s="2875"/>
      <c r="C116" s="2291" t="str">
        <f>B101</f>
        <v>总价（元）</v>
      </c>
      <c r="D116" s="1051" t="str">
        <f>IF(A116="——","——",N59)</f>
        <v>——</v>
      </c>
      <c r="E116" s="2195"/>
      <c r="F116" s="2974"/>
      <c r="G116" s="2974"/>
      <c r="H116" s="2930"/>
      <c r="I116" s="2930"/>
      <c r="N116" s="55"/>
      <c r="O116" s="55"/>
    </row>
    <row r="117" spans="1:15" ht="15.75" thickBot="1">
      <c r="A117" s="2879"/>
      <c r="B117" s="2880"/>
      <c r="C117" s="2299" t="s">
        <v>1940</v>
      </c>
      <c r="D117" s="1053" t="str">
        <f ca="1">IF(D116=D112,D113,IF(A116="——","——",N61))</f>
        <v>——</v>
      </c>
      <c r="E117" s="2195"/>
      <c r="F117" s="2854" t="str">
        <f>IF(B32="总价","（以上估价结果中单价为总价除以建筑面积得出）","（以上估价结果中总价为楼面单价乘以建筑面积得出）")</f>
        <v>（以上估价结果中总价为楼面单价乘以建筑面积得出）</v>
      </c>
      <c r="G117" s="2854"/>
      <c r="H117" s="2854"/>
      <c r="I117" s="2854"/>
      <c r="N117" s="55"/>
      <c r="O117" s="55"/>
    </row>
    <row r="118" spans="1:15" ht="15">
      <c r="A118" s="2931" t="s">
        <v>1950</v>
      </c>
      <c r="B118" s="2932"/>
      <c r="C118" s="2932"/>
      <c r="D118" s="2932"/>
      <c r="E118" s="2932"/>
      <c r="F118" s="2932"/>
      <c r="G118" s="2932"/>
      <c r="H118" s="2932"/>
      <c r="I118" s="2932"/>
    </row>
    <row r="119" spans="1:15" ht="14.25">
      <c r="A119" s="2855" t="s">
        <v>1951</v>
      </c>
      <c r="B119" s="2885" t="s">
        <v>1952</v>
      </c>
      <c r="C119" s="2885" t="s">
        <v>1953</v>
      </c>
      <c r="D119" s="2957" t="s">
        <v>1954</v>
      </c>
      <c r="E119" s="2958"/>
      <c r="F119" s="2856" t="s">
        <v>1812</v>
      </c>
      <c r="G119" s="2856"/>
      <c r="H119" s="2856" t="s">
        <v>1955</v>
      </c>
      <c r="I119" s="2956"/>
    </row>
    <row r="120" spans="1:15" ht="14.25">
      <c r="A120" s="2855"/>
      <c r="B120" s="2886"/>
      <c r="C120" s="2886"/>
      <c r="D120" s="1887" t="s">
        <v>1956</v>
      </c>
      <c r="E120" s="1887" t="s">
        <v>1957</v>
      </c>
      <c r="F120" s="1887" t="s">
        <v>1956</v>
      </c>
      <c r="G120" s="1887" t="s">
        <v>1958</v>
      </c>
      <c r="H120" s="1887" t="s">
        <v>1956</v>
      </c>
      <c r="I120" s="637" t="s">
        <v>1958</v>
      </c>
    </row>
    <row r="121" spans="1:15" ht="14.25">
      <c r="A121" s="2181" t="str">
        <f>项目基本情况!I1</f>
        <v>北京市房地产</v>
      </c>
      <c r="B121" s="1887">
        <f>项目基本情况!C12</f>
        <v>223.09</v>
      </c>
      <c r="C121" s="1887">
        <f>项目基本情况!C13</f>
        <v>0</v>
      </c>
      <c r="D121" s="1887">
        <f ca="1">ROUND(IF(B32="总价",C34,IF('数据-取费表'!B3="万元",E121*B121/10000,E121*B121)),0)</f>
        <v>8146354</v>
      </c>
      <c r="E121" s="1887">
        <f ca="1">ROUND(IF(B32="楼面单价",C34,IF(H19="元",D121/B121,D121*10000/B121)),0)</f>
        <v>36516</v>
      </c>
      <c r="F121" s="1887">
        <f ca="1">ROUND(IF(B32="总价",C35,IF('数据-取费表'!B3="万元",G121*B121/10000,G121*B121)),0)</f>
        <v>845288</v>
      </c>
      <c r="G121" s="1887">
        <f ca="1">ROUND(IF(B32="楼面单价",C35,IF(H19="元",F121/B121,F121*10000/B121)),0)</f>
        <v>3789</v>
      </c>
      <c r="H121" s="1887">
        <f ca="1">ROUND(IF(B32="总价",C32,IF('数据-取费表'!B3="万元",I121*B121/10000,I121*B121)),0)</f>
        <v>8991642</v>
      </c>
      <c r="I121" s="637">
        <f ca="1">ROUND(IF(B32="楼面单价",C32,IF(H19="元",H121/B121,H121*10000/B121)),0)</f>
        <v>40305</v>
      </c>
    </row>
    <row r="122" spans="1:15" ht="14.25">
      <c r="A122" s="2855" t="s">
        <v>1959</v>
      </c>
      <c r="B122" s="2856"/>
      <c r="C122" s="2856"/>
      <c r="D122" s="2889" t="str">
        <f ca="1">IF(H19="元",NUMBERSTRING(INT(D121),2)&amp;"元整",NUMBERSTRING(INT(D121*10000),2)&amp;"元整")</f>
        <v>捌佰壹拾肆万陆仟叁佰伍拾肆元整</v>
      </c>
      <c r="E122" s="2936"/>
      <c r="F122" s="2889" t="str">
        <f ca="1">IF(H19="元",NUMBERSTRING(INT(F121),2)&amp;"元整",NUMBERSTRING(INT(F121*10000),2)&amp;"元整")</f>
        <v>捌拾肆万伍仟贰佰捌拾捌元整</v>
      </c>
      <c r="G122" s="2936"/>
      <c r="H122" s="2889" t="str">
        <f ca="1">IF(H19="元",NUMBERSTRING(INT(H121),2)&amp;"元整",NUMBERSTRING(INT(H121*10000),2)&amp;"元整")</f>
        <v>捌佰玖拾玖万壹仟陆佰肆拾贰元整</v>
      </c>
      <c r="I122" s="2890"/>
    </row>
    <row r="123" spans="1:15" ht="15">
      <c r="A123" s="2937" t="str">
        <f>IF(项目基本情况!D5="房地产市场价值","——",MID(A108,3,LEN(A108)-2))</f>
        <v>——</v>
      </c>
      <c r="B123" s="2867"/>
      <c r="C123" s="2938"/>
      <c r="D123" s="2866">
        <f>I105</f>
        <v>0</v>
      </c>
      <c r="E123" s="2867"/>
      <c r="F123" s="2867"/>
      <c r="G123" s="2867"/>
      <c r="H123" s="2867"/>
      <c r="I123" s="2868"/>
    </row>
    <row r="124" spans="1:15" ht="14.25">
      <c r="A124" s="2939" t="s">
        <v>1959</v>
      </c>
      <c r="B124" s="2940"/>
      <c r="C124" s="2941"/>
      <c r="D124" s="2869">
        <f>H109</f>
        <v>0</v>
      </c>
      <c r="E124" s="2870"/>
      <c r="F124" s="2870"/>
      <c r="G124" s="2870"/>
      <c r="H124" s="2870"/>
      <c r="I124" s="2871"/>
    </row>
    <row r="125" spans="1:15" ht="15">
      <c r="A125" s="2872" t="str">
        <f>IF(项目基本情况!D5="房地产市场价值","——",MID(A112,3,LEN(A112)-2))</f>
        <v>——</v>
      </c>
      <c r="B125" s="2873"/>
      <c r="C125" s="2873"/>
      <c r="D125" s="2866">
        <f ca="1">I110</f>
        <v>8991642</v>
      </c>
      <c r="E125" s="2867"/>
      <c r="F125" s="2867"/>
      <c r="G125" s="2867"/>
      <c r="H125" s="2867"/>
      <c r="I125" s="2868"/>
    </row>
    <row r="126" spans="1:15" ht="14.25">
      <c r="A126" s="2855" t="s">
        <v>1959</v>
      </c>
      <c r="B126" s="2856"/>
      <c r="C126" s="2856"/>
      <c r="D126" s="2869">
        <f ca="1">I111</f>
        <v>40305</v>
      </c>
      <c r="E126" s="2870"/>
      <c r="F126" s="2870"/>
      <c r="G126" s="2870"/>
      <c r="H126" s="2870"/>
      <c r="I126" s="2871"/>
    </row>
    <row r="127" spans="1:15" ht="15.75" thickBot="1">
      <c r="A127" s="2872" t="str">
        <f>IF(项目基本情况!D5="房地产市场价值","——",MID(A114,3,LEN(A114)-2))</f>
        <v>——</v>
      </c>
      <c r="B127" s="2873"/>
      <c r="C127" s="2873"/>
      <c r="D127" s="2971" t="str">
        <f>I112</f>
        <v>——</v>
      </c>
      <c r="E127" s="2972"/>
      <c r="F127" s="2972"/>
      <c r="G127" s="2972"/>
      <c r="H127" s="2972"/>
      <c r="I127" s="2973"/>
    </row>
    <row r="128" spans="1:15" ht="15.75" thickTop="1" thickBot="1">
      <c r="A128" s="2855" t="s">
        <v>1959</v>
      </c>
      <c r="B128" s="2856"/>
      <c r="C128" s="2857"/>
      <c r="D128" s="2929" t="str">
        <f>I113</f>
        <v>——</v>
      </c>
      <c r="E128" s="2929"/>
      <c r="F128" s="2929"/>
      <c r="G128" s="2929"/>
      <c r="H128" s="2929"/>
      <c r="I128" s="2929"/>
    </row>
    <row r="129" spans="1:9" ht="16.5" thickTop="1" thickBot="1">
      <c r="A129" s="2872" t="str">
        <f>IF(项目基本情况!D5="房地产市场价值","——",MID(F114,3,LEN(F114)-2))</f>
        <v>——</v>
      </c>
      <c r="B129" s="2873"/>
      <c r="C129" s="2866"/>
      <c r="D129" s="2878" t="str">
        <f>I114</f>
        <v>——</v>
      </c>
      <c r="E129" s="2878"/>
      <c r="F129" s="2878"/>
      <c r="G129" s="2878"/>
      <c r="H129" s="2878"/>
      <c r="I129" s="2878"/>
    </row>
    <row r="130" spans="1:9" ht="15.75" thickTop="1" thickBot="1">
      <c r="A130" s="2883" t="s">
        <v>1959</v>
      </c>
      <c r="B130" s="2884"/>
      <c r="C130" s="2884"/>
      <c r="D130" s="2891">
        <f>H116</f>
        <v>0</v>
      </c>
      <c r="E130" s="2892"/>
      <c r="F130" s="2892"/>
      <c r="G130" s="2892"/>
      <c r="H130" s="2892"/>
      <c r="I130" s="2893"/>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53" t="str">
        <f>IF(B32="总价","（以上估价结果中楼面单价为总价除以建筑面积得出）","（以上估价结果中总价为楼面单价乘以建筑面积得出）")</f>
        <v>（以上估价结果中总价为楼面单价乘以建筑面积得出）</v>
      </c>
      <c r="B132" s="2853"/>
      <c r="C132" s="2853"/>
      <c r="D132" s="2853"/>
      <c r="E132" s="2853"/>
      <c r="F132" s="2853"/>
      <c r="G132" s="2853"/>
      <c r="H132" s="2853"/>
      <c r="I132" s="2853"/>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1962</v>
      </c>
      <c r="G139" s="2314"/>
      <c r="H139" s="2314"/>
      <c r="I139" s="2315" t="s">
        <v>1963</v>
      </c>
    </row>
    <row r="140" spans="1:9" ht="21.75" customHeight="1">
      <c r="A140" s="798"/>
      <c r="B140" s="2316"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1965</v>
      </c>
    </row>
    <row r="143" spans="1:9" ht="21.75" customHeight="1">
      <c r="A143" s="798"/>
      <c r="B143" s="2316" t="s">
        <v>1966</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1965</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1967</v>
      </c>
      <c r="B1" s="2195"/>
      <c r="C1" s="2195"/>
      <c r="D1" s="2195"/>
      <c r="E1" s="2195"/>
      <c r="F1" s="2195"/>
      <c r="G1" s="2195"/>
      <c r="H1" s="2195"/>
      <c r="I1" s="2195"/>
    </row>
    <row r="2" spans="1:12" ht="21.75" customHeight="1">
      <c r="A2" s="2990" t="s">
        <v>1968</v>
      </c>
      <c r="B2" s="2990"/>
      <c r="C2" s="2990"/>
      <c r="D2" s="2990"/>
      <c r="E2" s="2990"/>
      <c r="F2" s="2990"/>
      <c r="G2" s="2990"/>
      <c r="H2" s="2990"/>
      <c r="I2" s="2990"/>
    </row>
    <row r="3" spans="1:12" ht="12.75">
      <c r="A3" s="2920" t="s">
        <v>1772</v>
      </c>
      <c r="B3" s="2921"/>
      <c r="C3" s="2921"/>
      <c r="D3" s="2921"/>
      <c r="E3" s="2921"/>
      <c r="F3" s="2921"/>
      <c r="G3" s="2921"/>
      <c r="H3" s="2921"/>
      <c r="I3" s="2921"/>
    </row>
    <row r="4" spans="1:12" ht="14.25">
      <c r="A4" s="2197" t="s">
        <v>1773</v>
      </c>
      <c r="B4" s="2198" t="s">
        <v>1774</v>
      </c>
      <c r="C4" s="2199"/>
      <c r="D4" s="2199"/>
      <c r="E4" s="2901" t="s">
        <v>1969</v>
      </c>
      <c r="F4" s="2902"/>
      <c r="G4" s="2902"/>
      <c r="H4" s="2902"/>
      <c r="I4" s="2912"/>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4" t="s">
        <v>1776</v>
      </c>
      <c r="B5" s="2856">
        <v>25</v>
      </c>
      <c r="C5" s="2905"/>
      <c r="D5" s="2919"/>
      <c r="E5" s="56" t="s">
        <v>1777</v>
      </c>
      <c r="F5" s="2200"/>
      <c r="G5" s="2200"/>
      <c r="H5" s="2200"/>
      <c r="I5" s="2201"/>
    </row>
    <row r="6" spans="1:12" ht="12.75">
      <c r="A6" s="2894"/>
      <c r="B6" s="2856"/>
      <c r="C6" s="2922"/>
      <c r="D6" s="2919"/>
      <c r="E6" s="56" t="s">
        <v>1778</v>
      </c>
      <c r="F6" s="2200"/>
      <c r="G6" s="2200"/>
      <c r="H6" s="2200"/>
      <c r="I6" s="2201"/>
    </row>
    <row r="7" spans="1:12" ht="12.75">
      <c r="A7" s="2894"/>
      <c r="B7" s="2856"/>
      <c r="C7" s="2906"/>
      <c r="D7" s="2919"/>
      <c r="E7" s="56" t="s">
        <v>1779</v>
      </c>
      <c r="F7" s="2200"/>
      <c r="G7" s="2200"/>
      <c r="H7" s="2200"/>
      <c r="I7" s="2201"/>
    </row>
    <row r="8" spans="1:12" ht="12.75">
      <c r="A8" s="2894" t="s">
        <v>1780</v>
      </c>
      <c r="B8" s="2856">
        <v>15</v>
      </c>
      <c r="C8" s="2905"/>
      <c r="D8" s="2919"/>
      <c r="E8" s="56" t="s">
        <v>1781</v>
      </c>
      <c r="F8" s="2200"/>
      <c r="G8" s="2200"/>
      <c r="H8" s="2200"/>
      <c r="I8" s="2201"/>
    </row>
    <row r="9" spans="1:12" ht="12.75">
      <c r="A9" s="2894"/>
      <c r="B9" s="2856"/>
      <c r="C9" s="2906"/>
      <c r="D9" s="2919"/>
      <c r="E9" s="56" t="s">
        <v>1782</v>
      </c>
      <c r="F9" s="2200"/>
      <c r="G9" s="2200"/>
      <c r="H9" s="2200"/>
      <c r="I9" s="2201"/>
    </row>
    <row r="10" spans="1:12" ht="12.75">
      <c r="A10" s="2894" t="s">
        <v>1783</v>
      </c>
      <c r="B10" s="2856">
        <v>15</v>
      </c>
      <c r="C10" s="2905"/>
      <c r="D10" s="2919"/>
      <c r="E10" s="56" t="s">
        <v>1784</v>
      </c>
      <c r="F10" s="2200"/>
      <c r="G10" s="2200"/>
      <c r="H10" s="2200"/>
      <c r="I10" s="2201"/>
    </row>
    <row r="11" spans="1:12" ht="12.75">
      <c r="A11" s="2894"/>
      <c r="B11" s="2856"/>
      <c r="C11" s="2906"/>
      <c r="D11" s="2919"/>
      <c r="E11" s="56" t="s">
        <v>1785</v>
      </c>
      <c r="F11" s="2200"/>
      <c r="G11" s="2200"/>
      <c r="H11" s="2200"/>
      <c r="I11" s="2201"/>
    </row>
    <row r="12" spans="1:12" ht="12.75">
      <c r="A12" s="2894" t="s">
        <v>1786</v>
      </c>
      <c r="B12" s="2856">
        <v>15</v>
      </c>
      <c r="C12" s="2905"/>
      <c r="D12" s="2919"/>
      <c r="E12" s="56" t="s">
        <v>1787</v>
      </c>
      <c r="F12" s="2200"/>
      <c r="G12" s="2200"/>
      <c r="H12" s="2200"/>
      <c r="I12" s="2201"/>
    </row>
    <row r="13" spans="1:12" ht="12.75">
      <c r="A13" s="2894"/>
      <c r="B13" s="2856"/>
      <c r="C13" s="2906"/>
      <c r="D13" s="2919"/>
      <c r="E13" s="56" t="s">
        <v>1788</v>
      </c>
      <c r="F13" s="2200"/>
      <c r="G13" s="2200"/>
      <c r="H13" s="2200"/>
      <c r="I13" s="2201"/>
    </row>
    <row r="14" spans="1:12" ht="12.75">
      <c r="A14" s="2894" t="s">
        <v>1789</v>
      </c>
      <c r="B14" s="2856">
        <v>30</v>
      </c>
      <c r="C14" s="2905"/>
      <c r="D14" s="2919"/>
      <c r="E14" s="56" t="s">
        <v>1790</v>
      </c>
      <c r="F14" s="2200"/>
      <c r="G14" s="2200"/>
      <c r="H14" s="2200"/>
      <c r="I14" s="2201"/>
    </row>
    <row r="15" spans="1:12" ht="12.75">
      <c r="A15" s="2894"/>
      <c r="B15" s="2856"/>
      <c r="C15" s="2922"/>
      <c r="D15" s="2919"/>
      <c r="E15" s="56" t="s">
        <v>1791</v>
      </c>
      <c r="F15" s="2200"/>
      <c r="G15" s="2200"/>
      <c r="H15" s="2200"/>
      <c r="I15" s="2201"/>
    </row>
    <row r="16" spans="1:12" ht="12.75">
      <c r="A16" s="2894"/>
      <c r="B16" s="2856"/>
      <c r="C16" s="2906"/>
      <c r="D16" s="2919"/>
      <c r="E16" s="56" t="s">
        <v>1792</v>
      </c>
      <c r="F16" s="2200"/>
      <c r="G16" s="2200"/>
      <c r="H16" s="2200"/>
      <c r="I16" s="2201"/>
    </row>
    <row r="17" spans="1:35" ht="15">
      <c r="A17" s="2202" t="s">
        <v>1793</v>
      </c>
      <c r="B17" s="2203"/>
      <c r="C17" s="57">
        <f>SUM(C5:C16)</f>
        <v>0</v>
      </c>
      <c r="D17" s="57">
        <f>SUM(D5:D16)</f>
        <v>0</v>
      </c>
      <c r="E17" s="2195"/>
      <c r="F17" s="2195"/>
      <c r="G17" s="2195"/>
      <c r="H17" s="2195"/>
      <c r="I17" s="2195"/>
    </row>
    <row r="18" spans="1:35" ht="15.75" thickBot="1">
      <c r="A18" s="2204" t="s">
        <v>1794</v>
      </c>
      <c r="B18" s="2205"/>
      <c r="C18" s="58" t="e">
        <f>ROUND(C17/SUM(C17:D17),2)</f>
        <v>#DIV/0!</v>
      </c>
      <c r="D18" s="58" t="e">
        <f>1-C18</f>
        <v>#DIV/0!</v>
      </c>
      <c r="E18" s="2195"/>
      <c r="F18" s="2195"/>
      <c r="G18" s="2195"/>
      <c r="H18" s="2195"/>
      <c r="I18" s="2195"/>
    </row>
    <row r="19" spans="1:35" ht="15">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元</v>
      </c>
      <c r="I19" s="2195"/>
    </row>
    <row r="20" spans="1:35" ht="15">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25" t="s">
        <v>1801</v>
      </c>
      <c r="B24" s="2207" t="s">
        <v>1796</v>
      </c>
      <c r="C24" s="61">
        <f>D30</f>
        <v>0</v>
      </c>
      <c r="D24" s="994"/>
      <c r="E24" s="2195"/>
      <c r="F24" s="2195"/>
      <c r="G24" s="2195"/>
      <c r="H24" s="2195"/>
      <c r="I24" s="2195"/>
    </row>
    <row r="25" spans="1:35" ht="21.75" customHeight="1">
      <c r="A25" s="2926"/>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t="s">
        <v>1970</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1971</v>
      </c>
      <c r="B30" s="2718"/>
      <c r="C30" s="2718"/>
      <c r="D30" s="2718"/>
      <c r="E30" s="2716" t="s">
        <v>2809</v>
      </c>
      <c r="F30" s="2195"/>
      <c r="G30" s="2195"/>
      <c r="H30" s="2195"/>
      <c r="I30" s="2195"/>
    </row>
    <row r="31" spans="1:35" s="2222" customFormat="1" ht="15.75" thickBot="1">
      <c r="A31" s="2981" t="s">
        <v>1972</v>
      </c>
      <c r="B31" s="2981"/>
      <c r="C31" s="2981"/>
      <c r="D31" s="2981"/>
      <c r="E31" s="2981"/>
      <c r="F31" s="2981"/>
      <c r="G31" s="2981"/>
      <c r="H31" s="2981"/>
      <c r="I31" s="2981"/>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1973</v>
      </c>
      <c r="C32" s="1308">
        <f>典型户型修正!R27</f>
        <v>0</v>
      </c>
      <c r="D32" s="2195" t="s">
        <v>1974</v>
      </c>
      <c r="E32" s="2195"/>
      <c r="F32" s="2195"/>
      <c r="G32" s="2195"/>
      <c r="H32" s="2195"/>
      <c r="I32" s="2195"/>
    </row>
    <row r="33" spans="1:16" ht="15">
      <c r="A33" s="2322" t="s">
        <v>1975</v>
      </c>
      <c r="B33" s="2323" t="s">
        <v>1976</v>
      </c>
      <c r="C33" s="1309">
        <f>典型户型修正!B2</f>
        <v>0</v>
      </c>
      <c r="D33" s="2324" t="str">
        <f>IF('数据-取费表'!B3="万元","万元","元")</f>
        <v>元</v>
      </c>
      <c r="E33" s="2195"/>
      <c r="F33" s="2195"/>
      <c r="G33" s="2195"/>
      <c r="H33" s="2195"/>
      <c r="I33" s="2195"/>
    </row>
    <row r="34" spans="1:16" ht="15.75" thickBot="1">
      <c r="A34" s="2325"/>
      <c r="B34" s="2326" t="s">
        <v>1977</v>
      </c>
      <c r="C34" s="771" t="e">
        <f>典型户型修正!B3</f>
        <v>#DIV/0!</v>
      </c>
      <c r="D34" s="2195" t="s">
        <v>1978</v>
      </c>
      <c r="E34" s="2195"/>
      <c r="F34" s="2195"/>
      <c r="G34" s="2195"/>
      <c r="H34" s="2195"/>
      <c r="I34" s="2195"/>
    </row>
    <row r="35" spans="1:16" ht="15">
      <c r="A35" s="2327"/>
      <c r="B35" s="2328" t="s">
        <v>1979</v>
      </c>
      <c r="C35" s="1316">
        <f>IF('数据-取费表'!B3="万元",典型户型修正!V25,典型户型修正!U25)</f>
        <v>0</v>
      </c>
      <c r="D35" s="2195" t="str">
        <f>D33</f>
        <v>元</v>
      </c>
      <c r="E35" s="2195"/>
      <c r="F35" s="2195"/>
      <c r="G35" s="2195"/>
      <c r="H35" s="2195"/>
      <c r="I35" s="2195"/>
    </row>
    <row r="36" spans="1:16" ht="15.75" thickBot="1">
      <c r="A36" s="2234"/>
      <c r="B36" s="2329" t="s">
        <v>1980</v>
      </c>
      <c r="C36" s="1317">
        <f>IF('数据-取费表'!B3="万元",典型户型修正!Y25,典型户型修正!X25)</f>
        <v>0</v>
      </c>
      <c r="D36" s="2195" t="str">
        <f>D33</f>
        <v>元</v>
      </c>
      <c r="E36" s="2195"/>
      <c r="F36" s="2195"/>
      <c r="G36" s="2195"/>
      <c r="H36" s="2195"/>
      <c r="I36" s="2195"/>
    </row>
    <row r="37" spans="1:16" ht="15.75" thickBot="1">
      <c r="A37" s="2907" t="s">
        <v>1981</v>
      </c>
      <c r="B37" s="2237" t="s">
        <v>1982</v>
      </c>
      <c r="C37" s="69"/>
      <c r="D37" s="2238"/>
      <c r="E37" s="2239"/>
      <c r="F37" s="2239"/>
      <c r="G37" s="2195"/>
      <c r="H37" s="2195"/>
      <c r="I37" s="2195"/>
    </row>
    <row r="38" spans="1:16" ht="15.75" thickBot="1">
      <c r="A38" s="2908"/>
      <c r="B38" s="2240" t="s">
        <v>1983</v>
      </c>
      <c r="C38" s="71"/>
      <c r="D38" s="2205"/>
      <c r="E38" s="2205"/>
      <c r="F38" s="2239"/>
      <c r="G38" s="2205"/>
      <c r="H38" s="2205"/>
      <c r="I38" s="2205"/>
    </row>
    <row r="39" spans="1:16" ht="15.75" thickBot="1">
      <c r="A39" s="2909"/>
      <c r="B39" s="2241" t="s">
        <v>1984</v>
      </c>
      <c r="C39" s="712"/>
      <c r="D39" s="2242" t="s">
        <v>1985</v>
      </c>
      <c r="E39" s="2205"/>
      <c r="F39" s="2239"/>
      <c r="G39" s="2205"/>
      <c r="H39" s="2205"/>
      <c r="I39" s="2205"/>
    </row>
    <row r="40" spans="1:16" ht="15">
      <c r="A40" s="2209" t="s">
        <v>1986</v>
      </c>
      <c r="B40" s="2243" t="s">
        <v>1987</v>
      </c>
      <c r="C40" s="2244" t="s">
        <v>1988</v>
      </c>
      <c r="D40" s="2244" t="s">
        <v>1989</v>
      </c>
      <c r="E40" s="2245" t="s">
        <v>1990</v>
      </c>
      <c r="F40" s="2239"/>
      <c r="G40" s="2205"/>
      <c r="H40" s="2205"/>
      <c r="I40" s="2205"/>
    </row>
    <row r="41" spans="1:16" ht="14.25">
      <c r="A41" s="2246" t="s">
        <v>1991</v>
      </c>
      <c r="B41" s="74"/>
      <c r="C41" s="75"/>
      <c r="D41" s="75"/>
      <c r="E41" s="76"/>
      <c r="F41" s="2239"/>
      <c r="G41" s="2205"/>
      <c r="H41" s="2205"/>
      <c r="I41" s="2205"/>
    </row>
    <row r="42" spans="1:16" ht="14.25">
      <c r="A42" s="2246" t="s">
        <v>1992</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1993</v>
      </c>
      <c r="B45" s="2252"/>
      <c r="C45" s="2252"/>
      <c r="D45" s="2253"/>
      <c r="E45" s="2253"/>
      <c r="F45" s="2254"/>
      <c r="G45" s="2254"/>
      <c r="H45" s="2254"/>
      <c r="I45" s="2254"/>
      <c r="J45" s="2255" t="s">
        <v>1824</v>
      </c>
      <c r="K45" s="2256"/>
      <c r="L45" s="2256"/>
      <c r="M45" s="2256"/>
      <c r="N45" s="2256"/>
      <c r="O45" s="2256"/>
      <c r="P45" s="1845"/>
    </row>
    <row r="46" spans="1:16" ht="14.25" customHeight="1" thickBot="1">
      <c r="A46" s="2913" t="s">
        <v>1994</v>
      </c>
      <c r="B46" s="2914"/>
      <c r="C46" s="2915"/>
      <c r="D46" s="80">
        <f>ROUND(I103*F46,0)</f>
        <v>0</v>
      </c>
      <c r="E46" s="81" t="s">
        <v>1995</v>
      </c>
      <c r="F46" s="82">
        <v>1</v>
      </c>
      <c r="G46" s="83" t="s">
        <v>1996</v>
      </c>
      <c r="H46" s="2195"/>
      <c r="I46" s="2195"/>
      <c r="J46" s="2975" t="s">
        <v>1828</v>
      </c>
      <c r="K46" s="2975"/>
      <c r="L46" s="2975"/>
      <c r="M46" s="2975"/>
      <c r="N46" s="2975"/>
      <c r="O46" s="2975"/>
      <c r="P46" s="1845"/>
    </row>
    <row r="47" spans="1:16" ht="14.25" customHeight="1">
      <c r="A47" s="2898" t="s">
        <v>1829</v>
      </c>
      <c r="B47" s="2899"/>
      <c r="C47" s="2899"/>
      <c r="D47" s="2899"/>
      <c r="E47" s="2899"/>
      <c r="F47" s="2899"/>
      <c r="G47" s="2900"/>
      <c r="H47" s="2257"/>
      <c r="I47" s="1144"/>
      <c r="J47" s="1883">
        <v>1</v>
      </c>
      <c r="K47" s="2975" t="s">
        <v>1830</v>
      </c>
      <c r="L47" s="2975"/>
      <c r="M47" s="2991"/>
      <c r="N47" s="2991"/>
      <c r="O47" s="2991"/>
      <c r="P47" s="1845"/>
    </row>
    <row r="48" spans="1:16" ht="12" customHeight="1">
      <c r="A48" s="85" t="s">
        <v>1831</v>
      </c>
      <c r="B48" s="86"/>
      <c r="C48" s="87"/>
      <c r="D48" s="88" t="s">
        <v>1832</v>
      </c>
      <c r="E48" s="14" t="s">
        <v>1833</v>
      </c>
      <c r="F48" s="89" t="s">
        <v>1834</v>
      </c>
      <c r="G48" s="90" t="s">
        <v>1835</v>
      </c>
      <c r="H48" s="2257"/>
      <c r="I48" s="1144"/>
      <c r="J48" s="1883">
        <v>2</v>
      </c>
      <c r="K48" s="2975" t="s">
        <v>1836</v>
      </c>
      <c r="L48" s="2975"/>
      <c r="M48" s="2977">
        <f>'数据-取费表'!B2</f>
        <v>41962</v>
      </c>
      <c r="N48" s="2977"/>
      <c r="O48" s="2977"/>
      <c r="P48" s="1845"/>
    </row>
    <row r="49" spans="1:16" ht="25.5">
      <c r="A49" s="2910" t="s">
        <v>1837</v>
      </c>
      <c r="B49" s="2911"/>
      <c r="C49" s="2911"/>
      <c r="D49" s="56">
        <f>IF(H49="情况1",0,IF(H49="情况2",D53,IF(H49="情况3",D54,IF(H49="情况4",D55))))</f>
        <v>0</v>
      </c>
      <c r="E49" s="1893" t="str">
        <f>IF(H49="情况4","(销售额-原购置价)×税（费）率","销售额×税（费）率")</f>
        <v>销售额×税（费）率</v>
      </c>
      <c r="F49" s="91">
        <f>IF(H49="情况1","免征",'数据-取费表'!E29)</f>
        <v>5.6000000000000001E-2</v>
      </c>
      <c r="G49" s="2258" t="s">
        <v>1838</v>
      </c>
      <c r="H49" s="2259" t="s">
        <v>1839</v>
      </c>
      <c r="I49" s="2257"/>
      <c r="J49" s="1883">
        <v>3</v>
      </c>
      <c r="K49" s="2975" t="s">
        <v>1840</v>
      </c>
      <c r="L49" s="2975"/>
      <c r="M49" s="2976">
        <f>I103</f>
        <v>0</v>
      </c>
      <c r="N49" s="2976"/>
      <c r="O49" s="2976"/>
      <c r="P49" s="1845"/>
    </row>
    <row r="50" spans="1:16" ht="25.5" customHeight="1">
      <c r="A50" s="92" t="s">
        <v>1841</v>
      </c>
      <c r="B50" s="2903" t="s">
        <v>1842</v>
      </c>
      <c r="C50" s="2903"/>
      <c r="D50" s="93">
        <v>0</v>
      </c>
      <c r="E50" s="13" t="s">
        <v>1843</v>
      </c>
      <c r="F50" s="18" t="s">
        <v>48</v>
      </c>
      <c r="G50" s="2968"/>
      <c r="H50" s="2195"/>
      <c r="I50" s="2260"/>
      <c r="J50" s="1883">
        <v>4</v>
      </c>
      <c r="K50" s="2975" t="str">
        <f>IF(项目基本情况!F5="房地产抵押价值","房地产抵押价值","抵押担保权已注销时的房地产抵押价值")</f>
        <v>抵押担保权已注销时的房地产抵押价值</v>
      </c>
      <c r="L50" s="2975"/>
      <c r="M50" s="2976" t="str">
        <f>IF(项目基本情况!F5="房地产抵押价值",I111,I113)</f>
        <v>——</v>
      </c>
      <c r="N50" s="2976"/>
      <c r="O50" s="2976"/>
      <c r="P50" s="1845"/>
    </row>
    <row r="51" spans="1:16" ht="25.5" customHeight="1">
      <c r="A51" s="94"/>
      <c r="B51" s="2903" t="s">
        <v>1844</v>
      </c>
      <c r="C51" s="2903"/>
      <c r="D51" s="95"/>
      <c r="E51" s="21"/>
      <c r="F51" s="96"/>
      <c r="G51" s="2969"/>
      <c r="H51" s="2195"/>
      <c r="I51" s="2260"/>
      <c r="J51" s="2975" t="s">
        <v>1845</v>
      </c>
      <c r="K51" s="2975"/>
      <c r="L51" s="2975"/>
      <c r="M51" s="2975"/>
      <c r="N51" s="2975"/>
      <c r="O51" s="2975"/>
      <c r="P51" s="1845"/>
    </row>
    <row r="52" spans="1:16" ht="12" customHeight="1">
      <c r="A52" s="97"/>
      <c r="B52" s="2903" t="s">
        <v>1846</v>
      </c>
      <c r="C52" s="2903"/>
      <c r="D52" s="98"/>
      <c r="E52" s="20"/>
      <c r="F52" s="96"/>
      <c r="G52" s="2970"/>
      <c r="H52" s="2195"/>
      <c r="I52" s="2260"/>
      <c r="J52" s="2261" t="s">
        <v>1847</v>
      </c>
      <c r="K52" s="2975" t="s">
        <v>1848</v>
      </c>
      <c r="L52" s="2975"/>
      <c r="M52" s="2261" t="s">
        <v>1849</v>
      </c>
      <c r="N52" s="2261" t="s">
        <v>1850</v>
      </c>
      <c r="O52" s="2261" t="s">
        <v>1851</v>
      </c>
      <c r="P52" s="1845"/>
    </row>
    <row r="53" spans="1:16" ht="24" customHeight="1">
      <c r="A53" s="99" t="s">
        <v>1852</v>
      </c>
      <c r="B53" s="2903" t="s">
        <v>1853</v>
      </c>
      <c r="C53" s="2903"/>
      <c r="D53" s="98">
        <f>ROUND(D46*'数据-取费表'!E29/(1+'数据-取费表'!F30),0)</f>
        <v>0</v>
      </c>
      <c r="E53" s="10" t="s">
        <v>1854</v>
      </c>
      <c r="F53" s="100">
        <f>'数据-取费表'!E29</f>
        <v>5.6000000000000001E-2</v>
      </c>
      <c r="G53" s="2262"/>
      <c r="H53" s="2195"/>
      <c r="I53" s="2260"/>
      <c r="J53" s="1883">
        <v>1</v>
      </c>
      <c r="K53" s="2935" t="s">
        <v>1855</v>
      </c>
      <c r="L53" s="2935"/>
      <c r="M53" s="778">
        <f>D49</f>
        <v>0</v>
      </c>
      <c r="N53" s="1883" t="str">
        <f>E49</f>
        <v>销售额×税（费）率</v>
      </c>
      <c r="O53" s="779">
        <f>F49</f>
        <v>5.6000000000000001E-2</v>
      </c>
      <c r="P53" s="1845"/>
    </row>
    <row r="54" spans="1:16" ht="12" customHeight="1">
      <c r="A54" s="99" t="s">
        <v>1856</v>
      </c>
      <c r="B54" s="2904" t="s">
        <v>1857</v>
      </c>
      <c r="C54" s="2831"/>
      <c r="D54" s="98">
        <f>ROUND(D46*'数据-取费表'!E29/(1+'数据-取费表'!F30),0)</f>
        <v>0</v>
      </c>
      <c r="E54" s="10" t="s">
        <v>1854</v>
      </c>
      <c r="F54" s="100">
        <f>'数据-取费表'!E29</f>
        <v>5.6000000000000001E-2</v>
      </c>
      <c r="G54" s="2262"/>
      <c r="H54" s="2195"/>
      <c r="I54" s="2260"/>
      <c r="J54" s="1883">
        <v>2</v>
      </c>
      <c r="K54" s="2935" t="s">
        <v>1858</v>
      </c>
      <c r="L54" s="2935"/>
      <c r="M54" s="778">
        <f t="shared" ref="M54:O55" si="1">D56</f>
        <v>0</v>
      </c>
      <c r="N54" s="1883" t="str">
        <f t="shared" si="1"/>
        <v>销售额×税（费）率</v>
      </c>
      <c r="O54" s="779">
        <f t="shared" si="1"/>
        <v>5.0000000000000001E-4</v>
      </c>
      <c r="P54" s="1845"/>
    </row>
    <row r="55" spans="1:16" ht="12" customHeight="1">
      <c r="A55" s="99" t="s">
        <v>1859</v>
      </c>
      <c r="B55" s="2904" t="s">
        <v>1860</v>
      </c>
      <c r="C55" s="2831"/>
      <c r="D55" s="98">
        <f>C69</f>
        <v>0</v>
      </c>
      <c r="E55" s="20" t="s">
        <v>1861</v>
      </c>
      <c r="F55" s="100">
        <f>'数据-取费表'!E29</f>
        <v>5.6000000000000001E-2</v>
      </c>
      <c r="G55" s="2262"/>
      <c r="H55" s="2263"/>
      <c r="I55" s="2260"/>
      <c r="J55" s="1883">
        <v>3</v>
      </c>
      <c r="K55" s="2935" t="s">
        <v>1862</v>
      </c>
      <c r="L55" s="2935"/>
      <c r="M55" s="778">
        <f t="shared" si="1"/>
        <v>0</v>
      </c>
      <c r="N55" s="1883" t="str">
        <f t="shared" si="1"/>
        <v>增值额×税（费）率</v>
      </c>
      <c r="O55" s="780" t="str">
        <f t="shared" si="1"/>
        <v>——</v>
      </c>
      <c r="P55" s="1845"/>
    </row>
    <row r="56" spans="1:16" ht="24" customHeight="1">
      <c r="A56" s="2823" t="s">
        <v>1863</v>
      </c>
      <c r="B56" s="2911"/>
      <c r="C56" s="2911"/>
      <c r="D56" s="101">
        <f>IF(H56="个人住宅",0,ROUND(D46*I56,0))</f>
        <v>0</v>
      </c>
      <c r="E56" s="10" t="s">
        <v>1864</v>
      </c>
      <c r="F56" s="100">
        <f>IF(H56="正常",I56,"免征")</f>
        <v>5.0000000000000001E-4</v>
      </c>
      <c r="G56" s="2262"/>
      <c r="H56" s="2259" t="s">
        <v>1865</v>
      </c>
      <c r="I56" s="102">
        <f>'数据-取费表'!E37</f>
        <v>5.0000000000000001E-4</v>
      </c>
      <c r="J56" s="1883" t="str">
        <f>IF(H60="非个人房产","",4)</f>
        <v/>
      </c>
      <c r="K56" s="2935" t="str">
        <f>IF(H60="非个人房产","——","个人所得税")</f>
        <v>——</v>
      </c>
      <c r="L56" s="2935"/>
      <c r="M56" s="781" t="str">
        <f>D60</f>
        <v>——</v>
      </c>
      <c r="N56" s="1886" t="str">
        <f>E60</f>
        <v>——</v>
      </c>
      <c r="O56" s="782" t="str">
        <f>F60</f>
        <v>——</v>
      </c>
      <c r="P56" s="1845"/>
    </row>
    <row r="57" spans="1:16" ht="24.75">
      <c r="A57" s="2823" t="s">
        <v>1866</v>
      </c>
      <c r="B57" s="2911"/>
      <c r="C57" s="2911"/>
      <c r="D57" s="101">
        <f>IF(H57="个人住宅",D58,D59)</f>
        <v>0</v>
      </c>
      <c r="E57" s="10" t="s">
        <v>1867</v>
      </c>
      <c r="F57" s="100" t="str">
        <f>IF(H57="正常",F59,"免征")</f>
        <v>——</v>
      </c>
      <c r="G57" s="2264" t="s">
        <v>1868</v>
      </c>
      <c r="H57" s="2265" t="s">
        <v>1865</v>
      </c>
      <c r="I57" s="1022"/>
      <c r="J57" s="1883" t="str">
        <f>IF(项目基本情况!I6="上海银行",IF(J56="",4,J56+1),"")</f>
        <v/>
      </c>
      <c r="K57" s="2953" t="str">
        <f>IF(项目基本情况!I6="上海银行","其他处置费用","")</f>
        <v/>
      </c>
      <c r="L57" s="2954"/>
      <c r="M57" s="778" t="str">
        <f>IF(项目基本情况!I6="上海银行",M70,"")</f>
        <v/>
      </c>
      <c r="N57" s="2966" t="str">
        <f>IF(项目基本情况!I6="上海银行","包含处置中涉及的律师、诉讼、拍卖、评估等费用","")</f>
        <v/>
      </c>
      <c r="O57" s="2967"/>
      <c r="P57" s="1845"/>
    </row>
    <row r="58" spans="1:16" ht="12.75">
      <c r="A58" s="99" t="s">
        <v>1841</v>
      </c>
      <c r="B58" s="2901" t="s">
        <v>1869</v>
      </c>
      <c r="C58" s="2912"/>
      <c r="D58" s="103">
        <v>0</v>
      </c>
      <c r="E58" s="13" t="s">
        <v>1843</v>
      </c>
      <c r="F58" s="70"/>
      <c r="G58" s="2262"/>
      <c r="H58" s="1022"/>
      <c r="I58" s="1022"/>
      <c r="J58" s="2935">
        <f>IF(AND(J56="",J57=""),4,IF(项目基本情况!I6="上海银行",J57+1,J56+1))</f>
        <v>4</v>
      </c>
      <c r="K58" s="2935" t="s">
        <v>1870</v>
      </c>
      <c r="L58" s="2266" t="s">
        <v>1871</v>
      </c>
      <c r="M58" s="783"/>
      <c r="N58" s="784">
        <f>SUMIF(M53:M57,"&lt;9e307")</f>
        <v>0</v>
      </c>
      <c r="O58" s="2267"/>
      <c r="P58" s="1841" t="e">
        <f>N58/M50</f>
        <v>#VALUE!</v>
      </c>
    </row>
    <row r="59" spans="1:16" ht="24.75">
      <c r="A59" s="99" t="s">
        <v>1852</v>
      </c>
      <c r="B59" s="2901" t="s">
        <v>1872</v>
      </c>
      <c r="C59" s="2902"/>
      <c r="D59" s="101">
        <f>IF(H59="转让取得",C82,C98)</f>
        <v>0</v>
      </c>
      <c r="E59" s="10" t="s">
        <v>1867</v>
      </c>
      <c r="F59" s="14" t="s">
        <v>48</v>
      </c>
      <c r="G59" s="2262"/>
      <c r="H59" s="2265" t="s">
        <v>1873</v>
      </c>
      <c r="I59" s="1022"/>
      <c r="J59" s="2935"/>
      <c r="K59" s="2935"/>
      <c r="L59" s="2266" t="s">
        <v>1874</v>
      </c>
      <c r="M59" s="785"/>
      <c r="N59" s="2268" t="str">
        <f>IF(H19="元",NUMBERSTRING(INT(N58),2)&amp;"元整",NUMBERSTRING(INT(N58*10000),2)&amp;"元整")</f>
        <v>零元整</v>
      </c>
      <c r="O59" s="2269"/>
      <c r="P59" s="1845"/>
    </row>
    <row r="60" spans="1:16" ht="24.75" thickBot="1">
      <c r="A60" s="2824" t="s">
        <v>1875</v>
      </c>
      <c r="B60" s="2827"/>
      <c r="C60" s="2827"/>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933">
        <f>J58+1</f>
        <v>5</v>
      </c>
      <c r="K60" s="2935" t="s">
        <v>1877</v>
      </c>
      <c r="L60" s="1883" t="s">
        <v>1871</v>
      </c>
      <c r="M60" s="786"/>
      <c r="N60" s="787" t="e">
        <f>M50-N58</f>
        <v>#VALUE!</v>
      </c>
      <c r="O60" s="2271"/>
      <c r="P60" s="1845"/>
    </row>
    <row r="61" spans="1:16" ht="12" customHeight="1">
      <c r="A61" s="2068"/>
      <c r="B61" s="2195"/>
      <c r="C61" s="2195"/>
      <c r="D61" s="2195"/>
      <c r="E61" s="1022"/>
      <c r="F61" s="1022"/>
      <c r="G61" s="1022"/>
      <c r="H61" s="2248"/>
      <c r="I61" s="2195"/>
      <c r="J61" s="2934"/>
      <c r="K61" s="2935"/>
      <c r="L61" s="2266" t="s">
        <v>1874</v>
      </c>
      <c r="M61" s="785"/>
      <c r="N61" s="2268" t="e">
        <f>IF(H19="元",NUMBERSTRING(INT(N60),2)&amp;"元整",NUMBERSTRING(INT(N60*10000),2)&amp;"元整")</f>
        <v>#VALUE!</v>
      </c>
      <c r="O61" s="2269"/>
      <c r="P61" s="1845"/>
    </row>
    <row r="62" spans="1:16" ht="13.5" thickBot="1">
      <c r="A62" s="2916" t="s">
        <v>1878</v>
      </c>
      <c r="B62" s="2916"/>
      <c r="C62" s="2916"/>
      <c r="D62" s="2916"/>
      <c r="E62" s="2916"/>
      <c r="F62" s="1022"/>
      <c r="G62" s="1022"/>
      <c r="H62" s="2248"/>
      <c r="I62" s="2195"/>
      <c r="J62" s="1883">
        <f>J60+1</f>
        <v>6</v>
      </c>
      <c r="K62" s="2935" t="s">
        <v>1879</v>
      </c>
      <c r="L62" s="2935"/>
      <c r="M62" s="788"/>
      <c r="N62" s="789" t="e">
        <f>IF(H19="元",ROUND(N60/项目基本情况!C12,0),ROUND(N60*10000/项目基本情况!C12,0))</f>
        <v>#VALUE!</v>
      </c>
      <c r="O62" s="2272"/>
      <c r="P62" s="1845"/>
    </row>
    <row r="63" spans="1:16" ht="12.75">
      <c r="A63" s="2923" t="s">
        <v>1880</v>
      </c>
      <c r="B63" s="2924"/>
      <c r="C63" s="1885"/>
      <c r="D63" s="1885" t="s">
        <v>1881</v>
      </c>
      <c r="E63" s="108" t="s">
        <v>1882</v>
      </c>
      <c r="F63" s="1022"/>
      <c r="G63" s="1022"/>
      <c r="H63" s="2248"/>
      <c r="I63" s="2195"/>
      <c r="J63" s="1845"/>
      <c r="K63" s="1845"/>
      <c r="L63" s="1845"/>
      <c r="M63" s="1845"/>
      <c r="N63" s="1845"/>
      <c r="O63" s="1845"/>
      <c r="P63" s="1845"/>
    </row>
    <row r="64" spans="1:16" ht="12.75">
      <c r="A64" s="109">
        <v>1</v>
      </c>
      <c r="B64" s="110" t="s">
        <v>1883</v>
      </c>
      <c r="C64" s="111">
        <f>ROUND((C65+C66)/(1+'数据-取费表'!F30),0)</f>
        <v>0</v>
      </c>
      <c r="D64" s="112"/>
      <c r="E64" s="113"/>
      <c r="F64" s="1022"/>
      <c r="G64" s="1022"/>
      <c r="H64" s="2248"/>
      <c r="I64" s="2195"/>
      <c r="J64" s="2955" t="s">
        <v>1884</v>
      </c>
      <c r="K64" s="2273"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8"/>
      <c r="I65" s="2195"/>
      <c r="J65" s="2955"/>
      <c r="K65" s="2273"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8"/>
      <c r="I66" s="2195"/>
      <c r="J66" s="2955"/>
      <c r="K66" s="2273"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8"/>
      <c r="I67" s="2195"/>
      <c r="J67" s="2955"/>
      <c r="K67" s="2273"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8"/>
      <c r="I68" s="2195"/>
      <c r="J68" s="2955"/>
      <c r="K68" s="2273"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8"/>
      <c r="I69" s="2195"/>
      <c r="J69" s="2955"/>
      <c r="K69" s="2273" t="s">
        <v>1898</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55"/>
      <c r="K70" s="2273" t="s">
        <v>1899</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27" t="s">
        <v>1900</v>
      </c>
      <c r="B71" s="2928"/>
      <c r="C71" s="2928"/>
      <c r="D71" s="2928"/>
      <c r="E71" s="2928"/>
      <c r="F71" s="2928"/>
      <c r="G71" s="2928"/>
      <c r="H71" s="2928"/>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3" t="s">
        <v>1880</v>
      </c>
      <c r="B72" s="2924"/>
      <c r="C72" s="1885"/>
      <c r="D72" s="1885" t="s">
        <v>1881</v>
      </c>
      <c r="E72" s="130" t="s">
        <v>1882</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1901</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1903</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1904</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1905</v>
      </c>
      <c r="C76" s="137"/>
      <c r="D76" s="117" t="s">
        <v>41</v>
      </c>
      <c r="E76" s="138" t="s">
        <v>1906</v>
      </c>
      <c r="F76" s="2284"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904" t="s">
        <v>1910</v>
      </c>
      <c r="F77" s="2903"/>
      <c r="G77" s="2903"/>
      <c r="H77" s="291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1914</v>
      </c>
      <c r="C79" s="144">
        <f>ROUND(D46*D79/(1+'数据-取费表'!F30),0)</f>
        <v>0</v>
      </c>
      <c r="D79" s="145">
        <f>'数据-取费表'!E31</f>
        <v>6.000000000000001E-3</v>
      </c>
      <c r="E79" s="2895" t="s">
        <v>1915</v>
      </c>
      <c r="F79" s="2896"/>
      <c r="G79" s="2896"/>
      <c r="H79" s="2897"/>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1916</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27" t="s">
        <v>1919</v>
      </c>
      <c r="B84" s="2928"/>
      <c r="C84" s="2928"/>
      <c r="D84" s="2928"/>
      <c r="E84" s="2928"/>
      <c r="F84" s="2928"/>
      <c r="G84" s="2928"/>
      <c r="H84" s="2928"/>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3" t="s">
        <v>1880</v>
      </c>
      <c r="B85" s="2924"/>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1921</v>
      </c>
      <c r="C89" s="157"/>
      <c r="D89" s="145"/>
      <c r="E89" s="158" t="s">
        <v>1922</v>
      </c>
      <c r="F89" s="1882"/>
      <c r="G89" s="159" t="s">
        <v>1923</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95" t="s">
        <v>1927</v>
      </c>
      <c r="F92" s="2896"/>
      <c r="G92" s="2896"/>
      <c r="H92" s="2288" t="s">
        <v>1928</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95" t="s">
        <v>1930</v>
      </c>
      <c r="F93" s="2896"/>
      <c r="G93" s="2896"/>
      <c r="H93" s="2897"/>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1914</v>
      </c>
      <c r="C94" s="144">
        <f>ROUND(D46*D94/(1+'数据-取费表'!F30),0)</f>
        <v>0</v>
      </c>
      <c r="D94" s="145">
        <f>'数据-取费表'!E31</f>
        <v>6.000000000000001E-3</v>
      </c>
      <c r="E94" s="2895" t="s">
        <v>1915</v>
      </c>
      <c r="F94" s="2896"/>
      <c r="G94" s="2896"/>
      <c r="H94" s="2897"/>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95" t="s">
        <v>1932</v>
      </c>
      <c r="F95" s="2896"/>
      <c r="G95" s="2896"/>
      <c r="H95" s="2897"/>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1933</v>
      </c>
      <c r="B99" s="2195"/>
      <c r="C99" s="2195"/>
      <c r="D99" s="2195"/>
      <c r="E99" s="1022"/>
      <c r="F99" s="1022"/>
      <c r="G99" s="1022"/>
      <c r="H99" s="2248"/>
      <c r="I99" s="2195"/>
    </row>
    <row r="100" spans="1:35" ht="15.75">
      <c r="A100" s="2950" t="s">
        <v>1934</v>
      </c>
      <c r="B100" s="2951"/>
      <c r="C100" s="2951"/>
      <c r="D100" s="2952"/>
      <c r="E100" s="2195"/>
      <c r="F100" s="2961" t="s">
        <v>1935</v>
      </c>
      <c r="G100" s="2962"/>
      <c r="H100" s="2962"/>
      <c r="I100" s="2963"/>
    </row>
    <row r="101" spans="1:35" ht="15.75">
      <c r="A101" s="2964" t="s">
        <v>1936</v>
      </c>
      <c r="B101" s="2965"/>
      <c r="C101" s="720">
        <f>C4</f>
        <v>0</v>
      </c>
      <c r="D101" s="721">
        <f>D4</f>
        <v>0</v>
      </c>
      <c r="E101" s="2195"/>
      <c r="F101" s="2860" t="s">
        <v>1937</v>
      </c>
      <c r="G101" s="2861"/>
      <c r="H101" s="2986" t="s">
        <v>1938</v>
      </c>
      <c r="I101" s="2859"/>
    </row>
    <row r="102" spans="1:35" ht="15.75">
      <c r="A102" s="2987" t="s">
        <v>1998</v>
      </c>
      <c r="B102" s="2290" t="str">
        <f>IF(H19="元","总价（元）","总价（万元）")</f>
        <v>总价（元）</v>
      </c>
      <c r="C102" s="720" t="e">
        <f ca="1">C19</f>
        <v>#REF!</v>
      </c>
      <c r="D102" s="721" t="e">
        <f ca="1">D19</f>
        <v>#REF!</v>
      </c>
      <c r="E102" s="2195"/>
      <c r="F102" s="2988"/>
      <c r="G102" s="2989"/>
      <c r="H102" s="2858">
        <f>典型户型修正!B25</f>
        <v>0</v>
      </c>
      <c r="I102" s="2859"/>
    </row>
    <row r="103" spans="1:35" ht="15.75">
      <c r="A103" s="2987"/>
      <c r="B103" s="2290" t="s">
        <v>1940</v>
      </c>
      <c r="C103" s="722" t="e">
        <f ca="1">C20</f>
        <v>#REF!</v>
      </c>
      <c r="D103" s="723" t="e">
        <f ca="1">D20</f>
        <v>#REF!</v>
      </c>
      <c r="E103" s="2195"/>
      <c r="F103" s="2887" t="s">
        <v>1941</v>
      </c>
      <c r="G103" s="2888"/>
      <c r="H103" s="2291" t="str">
        <f>C109</f>
        <v>总价（元）</v>
      </c>
      <c r="I103" s="1862">
        <f>H124</f>
        <v>0</v>
      </c>
    </row>
    <row r="104" spans="1:35" ht="15">
      <c r="A104" s="2987" t="s">
        <v>1999</v>
      </c>
      <c r="B104" s="2292" t="str">
        <f>B102</f>
        <v>总价（元）</v>
      </c>
      <c r="C104" s="1190" t="e">
        <f ca="1">ROUND(IF('数据-取费表'!B4="总价",G19,IF(H19="元",G20*'数据-取费表'!E5,G20*'数据-取费表'!E5/10000)),0)</f>
        <v>#REF!</v>
      </c>
      <c r="D104" s="725"/>
      <c r="E104" s="2195"/>
      <c r="F104" s="2887"/>
      <c r="G104" s="2888"/>
      <c r="H104" s="2291" t="s">
        <v>1940</v>
      </c>
      <c r="I104" s="1050" t="e">
        <f>I124</f>
        <v>#DIV/0!</v>
      </c>
    </row>
    <row r="105" spans="1:35" ht="15.75">
      <c r="A105" s="2987"/>
      <c r="B105" s="2290" t="s">
        <v>1940</v>
      </c>
      <c r="C105" s="1191" t="e">
        <f ca="1">ROUND(IF('数据-取费表'!B4="楼面单价",G20,IF(H19="元",G19/'数据-取费表'!E5,G19*10000/'数据-取费表'!E5)),0)</f>
        <v>#REF!</v>
      </c>
      <c r="D105" s="725"/>
      <c r="E105" s="2195"/>
      <c r="F105" s="2959"/>
      <c r="G105" s="2960"/>
      <c r="H105" s="2944"/>
      <c r="I105" s="2945"/>
    </row>
    <row r="106" spans="1:35" ht="15.75">
      <c r="A106" s="2980" t="s">
        <v>2000</v>
      </c>
      <c r="B106" s="2330" t="str">
        <f>B102</f>
        <v>总价（元）</v>
      </c>
      <c r="C106" s="724">
        <f>H124</f>
        <v>0</v>
      </c>
      <c r="D106" s="1189"/>
      <c r="E106" s="2195"/>
      <c r="F106" s="2948" t="s">
        <v>1944</v>
      </c>
      <c r="G106" s="2949"/>
      <c r="H106" s="2294" t="str">
        <f>C111</f>
        <v>总额（元）</v>
      </c>
      <c r="I106" s="1862">
        <f>SUMIF(I107:I109,"&lt;9E307")</f>
        <v>0</v>
      </c>
    </row>
    <row r="107" spans="1:35" ht="15.75" thickBot="1">
      <c r="A107" s="2943"/>
      <c r="B107" s="2293" t="s">
        <v>1940</v>
      </c>
      <c r="C107" s="726" t="e">
        <f>I124</f>
        <v>#DIV/0!</v>
      </c>
      <c r="D107" s="727"/>
      <c r="E107" s="2195"/>
      <c r="F107" s="2876" t="s">
        <v>1946</v>
      </c>
      <c r="G107" s="2877"/>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83" t="s">
        <v>1943</v>
      </c>
      <c r="B108" s="2984"/>
      <c r="C108" s="2984"/>
      <c r="D108" s="2985"/>
      <c r="E108" s="2195"/>
      <c r="F108" s="2876" t="s">
        <v>1947</v>
      </c>
      <c r="G108" s="2877"/>
      <c r="H108" s="2294" t="str">
        <f>C113</f>
        <v>总额（元）</v>
      </c>
      <c r="I108" s="1050">
        <f>C38</f>
        <v>0</v>
      </c>
      <c r="K108" s="2295"/>
    </row>
    <row r="109" spans="1:35" ht="15">
      <c r="A109" s="2874" t="s">
        <v>2001</v>
      </c>
      <c r="B109" s="2875"/>
      <c r="C109" s="2291" t="str">
        <f>B102</f>
        <v>总价（元）</v>
      </c>
      <c r="D109" s="1051">
        <f>H124</f>
        <v>0</v>
      </c>
      <c r="E109" s="2195"/>
      <c r="F109" s="2876" t="s">
        <v>1949</v>
      </c>
      <c r="G109" s="2877"/>
      <c r="H109" s="2294" t="str">
        <f>C114</f>
        <v>总额（元）</v>
      </c>
      <c r="I109" s="1050">
        <f>C39</f>
        <v>0</v>
      </c>
    </row>
    <row r="110" spans="1:35" ht="15.75">
      <c r="A110" s="2874"/>
      <c r="B110" s="2875"/>
      <c r="C110" s="2291" t="s">
        <v>1940</v>
      </c>
      <c r="D110" s="1052" t="e">
        <f>I124</f>
        <v>#DIV/0!</v>
      </c>
      <c r="E110" s="2195"/>
      <c r="F110" s="2959"/>
      <c r="G110" s="2960"/>
      <c r="H110" s="2946"/>
      <c r="I110" s="2947"/>
    </row>
    <row r="111" spans="1:35" ht="28.5" customHeight="1">
      <c r="A111" s="2881" t="s">
        <v>1948</v>
      </c>
      <c r="B111" s="2882"/>
      <c r="C111" s="2294" t="str">
        <f>IF(H19="元","总额（元）","总额（万元）")</f>
        <v>总额（元）</v>
      </c>
      <c r="D111" s="1051">
        <f>IF(D37="正常操作",I107+I108+I109,I108+I109)</f>
        <v>0</v>
      </c>
      <c r="E111" s="2195"/>
      <c r="F111" s="2862" t="str">
        <f>IF(项目基本情况!F5="已注销","——","3.房地产抵押价值")</f>
        <v>3.房地产抵押价值</v>
      </c>
      <c r="G111" s="2863"/>
      <c r="H111" s="2331" t="str">
        <f>C115</f>
        <v>总价（元）</v>
      </c>
      <c r="I111" s="1862">
        <f>IF(F111="——","——",I103-I106)</f>
        <v>0</v>
      </c>
    </row>
    <row r="112" spans="1:35" ht="15">
      <c r="A112" s="2876" t="s">
        <v>1946</v>
      </c>
      <c r="B112" s="2877"/>
      <c r="C112" s="2294" t="str">
        <f>C111</f>
        <v>总额（元）</v>
      </c>
      <c r="D112" s="637">
        <f>IF(D37="同一抵押权人同一抵押物续贷",C37&amp;"（未扣减，详见特别提示）",C37)</f>
        <v>0</v>
      </c>
      <c r="E112" s="2195"/>
      <c r="F112" s="2978"/>
      <c r="G112" s="2979"/>
      <c r="H112" s="2291" t="s">
        <v>1940</v>
      </c>
      <c r="I112" s="2297" t="e">
        <f>D116</f>
        <v>#DIV/0!</v>
      </c>
    </row>
    <row r="113" spans="1:26" ht="15.75">
      <c r="A113" s="2876" t="s">
        <v>1947</v>
      </c>
      <c r="B113" s="2877"/>
      <c r="C113" s="2294" t="str">
        <f>C111</f>
        <v>总额（元）</v>
      </c>
      <c r="D113" s="637">
        <f>C38</f>
        <v>0</v>
      </c>
      <c r="E113" s="2195"/>
      <c r="F113" s="2862" t="str">
        <f>IF(项目基本情况!F5="已注销及未注销","4.抵押担保权已注销时的房地产抵押价值",IF(项目基本情况!F5="已注销","3.抵押担保权已注销时的房地产抵押价值","——"))</f>
        <v>——</v>
      </c>
      <c r="G113" s="2863"/>
      <c r="H113" s="2331" t="str">
        <f>C117</f>
        <v>总价（元）</v>
      </c>
      <c r="I113" s="1862" t="str">
        <f>IF(F113="——","——",I103-I108-I109)</f>
        <v>——</v>
      </c>
    </row>
    <row r="114" spans="1:26" ht="15">
      <c r="A114" s="2876" t="s">
        <v>1949</v>
      </c>
      <c r="B114" s="2877"/>
      <c r="C114" s="2294" t="str">
        <f>C111</f>
        <v>总额（元）</v>
      </c>
      <c r="D114" s="637">
        <f>C39</f>
        <v>0</v>
      </c>
      <c r="E114" s="2195"/>
      <c r="F114" s="2978"/>
      <c r="G114" s="2979"/>
      <c r="H114" s="2291" t="s">
        <v>1940</v>
      </c>
      <c r="I114" s="1050" t="str">
        <f>D118</f>
        <v>——</v>
      </c>
    </row>
    <row r="115" spans="1:26" ht="15.75">
      <c r="A115" s="2874" t="str">
        <f>IF(项目基本情况!F5="已注销","——","3.房地产抵押价值")</f>
        <v>3.房地产抵押价值</v>
      </c>
      <c r="B115" s="2875"/>
      <c r="C115" s="2291" t="str">
        <f>B102</f>
        <v>总价（元）</v>
      </c>
      <c r="D115" s="1051">
        <f>IF(A115="——","——",D109-D111)</f>
        <v>0</v>
      </c>
      <c r="E115" s="2195"/>
      <c r="F115" s="2862" t="str">
        <f>IF(项目基本情况!G5="抵押净值",IF(OR(项目基本情况!F5="已注销",项目基本情况!F5="房地产抵押价值"),"4.抵押净值","5.抵押净值"),"——")</f>
        <v>——</v>
      </c>
      <c r="G115" s="2863"/>
      <c r="H115" s="2291" t="str">
        <f>C119</f>
        <v>总价（元）</v>
      </c>
      <c r="I115" s="1862" t="str">
        <f>IF(F115="——","——",N60)</f>
        <v>——</v>
      </c>
    </row>
    <row r="116" spans="1:26" ht="15.75" thickBot="1">
      <c r="A116" s="2874"/>
      <c r="B116" s="2875"/>
      <c r="C116" s="2291" t="s">
        <v>2002</v>
      </c>
      <c r="D116" s="1052" t="e">
        <f>ROUND(IF(D115=D109,D110,IF(H19="元",D115/B124,D115*10000/B124)),0)</f>
        <v>#DIV/0!</v>
      </c>
      <c r="E116" s="2195"/>
      <c r="F116" s="2864"/>
      <c r="G116" s="2865"/>
      <c r="H116" s="2299" t="s">
        <v>2002</v>
      </c>
      <c r="I116" s="1864" t="str">
        <f>D120</f>
        <v>——</v>
      </c>
    </row>
    <row r="117" spans="1:26" ht="15.75">
      <c r="A117" s="2874" t="str">
        <f>IF(项目基本情况!F5="已注销及未注销","4.抵押担保权已注销时的房地产抵押价值",IF(项目基本情况!F5="已注销","3.抵押担保权已注销时的房地产抵押价值","——"))</f>
        <v>——</v>
      </c>
      <c r="B117" s="2875"/>
      <c r="C117" s="2291" t="str">
        <f>B102</f>
        <v>总价（元）</v>
      </c>
      <c r="D117" s="1051" t="str">
        <f>IF(A117="——","——",D109-D113-D114)</f>
        <v>——</v>
      </c>
      <c r="E117" s="2195"/>
      <c r="F117" s="2974"/>
      <c r="G117" s="2974"/>
      <c r="H117" s="2930"/>
      <c r="I117" s="2930"/>
      <c r="N117" s="55"/>
      <c r="O117" s="55"/>
    </row>
    <row r="118" spans="1:26" s="1845" customFormat="1" ht="15">
      <c r="A118" s="2874"/>
      <c r="B118" s="2875"/>
      <c r="C118" s="2291" t="s">
        <v>2002</v>
      </c>
      <c r="D118" s="1052" t="str">
        <f>IF(A117="——","——",IF(H19="元",ROUND(D117/B124,0),ROUND(D117*10000/B124,0)))</f>
        <v>——</v>
      </c>
      <c r="E118" s="2195"/>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8"/>
      <c r="K118" s="798"/>
      <c r="L118" s="798"/>
      <c r="M118" s="798"/>
      <c r="N118" s="55"/>
      <c r="O118" s="55"/>
      <c r="P118" s="798"/>
      <c r="Q118" s="798"/>
      <c r="R118" s="798"/>
      <c r="S118" s="798"/>
      <c r="T118" s="798"/>
      <c r="U118" s="798"/>
      <c r="V118" s="798"/>
      <c r="W118" s="798"/>
      <c r="X118" s="798"/>
      <c r="Y118" s="798"/>
      <c r="Z118" s="798"/>
    </row>
    <row r="119" spans="1:26" s="1845" customFormat="1" ht="15">
      <c r="A119" s="2874" t="str">
        <f>IF(项目基本情况!G5="抵押净值",IF(OR(项目基本情况!F5="已注销",项目基本情况!F5="房地产抵押价值"),"4.抵押净值","5.抵押净值"),"——")</f>
        <v>——</v>
      </c>
      <c r="B119" s="2875"/>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9"/>
      <c r="B120" s="2880"/>
      <c r="C120" s="2299" t="s">
        <v>2002</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31" t="s">
        <v>2003</v>
      </c>
      <c r="B121" s="2932"/>
      <c r="C121" s="2932"/>
      <c r="D121" s="2932"/>
      <c r="E121" s="2932"/>
      <c r="F121" s="2932"/>
      <c r="G121" s="2932"/>
      <c r="H121" s="2932"/>
      <c r="I121" s="2932"/>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5" t="s">
        <v>1951</v>
      </c>
      <c r="B122" s="2885" t="s">
        <v>2004</v>
      </c>
      <c r="C122" s="2885" t="s">
        <v>2005</v>
      </c>
      <c r="D122" s="2957" t="s">
        <v>1954</v>
      </c>
      <c r="E122" s="2958"/>
      <c r="F122" s="2856" t="s">
        <v>2006</v>
      </c>
      <c r="G122" s="2856"/>
      <c r="H122" s="2856" t="s">
        <v>1955</v>
      </c>
      <c r="I122" s="295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5"/>
      <c r="B123" s="2886"/>
      <c r="C123" s="2886"/>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5" t="s">
        <v>1959</v>
      </c>
      <c r="B125" s="2856"/>
      <c r="C125" s="2856"/>
      <c r="D125" s="2889" t="str">
        <f>IF(H19="元",NUMBERSTRING(INT(D124),2)&amp;"元整",NUMBERSTRING(INT(D124*10000),2)&amp;"元整")</f>
        <v>零元整</v>
      </c>
      <c r="E125" s="2936"/>
      <c r="F125" s="2889" t="str">
        <f>IF(H19="元",NUMBERSTRING(INT(F124),2)&amp;"元整",NUMBERSTRING(INT(F124*10000),2)&amp;"元整")</f>
        <v>零元整</v>
      </c>
      <c r="G125" s="2936"/>
      <c r="H125" s="2889" t="str">
        <f>IF(H19="元",NUMBERSTRING(INT(H124),2)&amp;"元整",NUMBERSTRING(INT(H124*10000),2)&amp;"元整")</f>
        <v>零元整</v>
      </c>
      <c r="I125" s="2890"/>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7" t="str">
        <f>IF(项目基本情况!D5="房地产市场价值","——",MID(A111,3,LEN(A111)-2))</f>
        <v>——</v>
      </c>
      <c r="B126" s="2867"/>
      <c r="C126" s="2938"/>
      <c r="D126" s="2866">
        <f>I106</f>
        <v>0</v>
      </c>
      <c r="E126" s="2867"/>
      <c r="F126" s="2867"/>
      <c r="G126" s="2867"/>
      <c r="H126" s="2867"/>
      <c r="I126" s="2868"/>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9" t="s">
        <v>1959</v>
      </c>
      <c r="B127" s="2940"/>
      <c r="C127" s="2941"/>
      <c r="D127" s="2869">
        <f>H110</f>
        <v>0</v>
      </c>
      <c r="E127" s="2870"/>
      <c r="F127" s="2870"/>
      <c r="G127" s="2870"/>
      <c r="H127" s="2870"/>
      <c r="I127" s="2871"/>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2" t="str">
        <f>IF(项目基本情况!D5="房地产市场价值","——",MID(A115,3,LEN(A115)-2))</f>
        <v>——</v>
      </c>
      <c r="B128" s="2873"/>
      <c r="C128" s="2873"/>
      <c r="D128" s="2866">
        <f>I111</f>
        <v>0</v>
      </c>
      <c r="E128" s="2867"/>
      <c r="F128" s="2867"/>
      <c r="G128" s="2867"/>
      <c r="H128" s="2867"/>
      <c r="I128" s="2868"/>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5" t="s">
        <v>1959</v>
      </c>
      <c r="B129" s="2856"/>
      <c r="C129" s="2856"/>
      <c r="D129" s="2869" t="e">
        <f>I112</f>
        <v>#DIV/0!</v>
      </c>
      <c r="E129" s="2870"/>
      <c r="F129" s="2870"/>
      <c r="G129" s="2870"/>
      <c r="H129" s="2870"/>
      <c r="I129" s="2871"/>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2" t="str">
        <f>IF(项目基本情况!D5="房地产市场价值","——",MID(A117,3,LEN(A117)-2))</f>
        <v>——</v>
      </c>
      <c r="B130" s="2873"/>
      <c r="C130" s="2873"/>
      <c r="D130" s="2971" t="str">
        <f>I113</f>
        <v>——</v>
      </c>
      <c r="E130" s="2972"/>
      <c r="F130" s="2972"/>
      <c r="G130" s="2972"/>
      <c r="H130" s="2972"/>
      <c r="I130" s="297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5" t="s">
        <v>1959</v>
      </c>
      <c r="B131" s="2856"/>
      <c r="C131" s="2857"/>
      <c r="D131" s="2929" t="str">
        <f>I114</f>
        <v>——</v>
      </c>
      <c r="E131" s="2929"/>
      <c r="F131" s="2929"/>
      <c r="G131" s="2929"/>
      <c r="H131" s="2929"/>
      <c r="I131" s="292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2" t="str">
        <f>IF(项目基本情况!D5="房地产市场价值","——",MID(F115,3,LEN(F115)-2))</f>
        <v>——</v>
      </c>
      <c r="B132" s="2873"/>
      <c r="C132" s="2866"/>
      <c r="D132" s="2878" t="str">
        <f>I115</f>
        <v>——</v>
      </c>
      <c r="E132" s="2878"/>
      <c r="F132" s="2878"/>
      <c r="G132" s="2878"/>
      <c r="H132" s="2878"/>
      <c r="I132" s="2878"/>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83" t="s">
        <v>1959</v>
      </c>
      <c r="B133" s="2884"/>
      <c r="C133" s="2884"/>
      <c r="D133" s="2891">
        <f>H117</f>
        <v>0</v>
      </c>
      <c r="E133" s="2892"/>
      <c r="F133" s="2892"/>
      <c r="G133" s="2892"/>
      <c r="H133" s="2892"/>
      <c r="I133" s="2893"/>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53" t="str">
        <f>IF(B32="总价","（以上估价结果中楼面单价为总价除以建筑面积得出）","（以上估价结果中总价为楼面单价乘以建筑面积得出）")</f>
        <v>（以上估价结果中总价为楼面单价乘以建筑面积得出）</v>
      </c>
      <c r="B135" s="2853"/>
      <c r="C135" s="2853"/>
      <c r="D135" s="2853"/>
      <c r="E135" s="2853"/>
      <c r="F135" s="2853"/>
      <c r="G135" s="2853"/>
      <c r="H135" s="2853"/>
      <c r="I135" s="285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1960</v>
      </c>
      <c r="B136" s="2301"/>
      <c r="C136" s="2302" t="s">
        <v>1961</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1962</v>
      </c>
      <c r="G142" s="2314"/>
      <c r="H142" s="2314"/>
      <c r="I142" s="2315"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2323277</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2009</v>
      </c>
      <c r="B3" s="168">
        <f ca="1">ROUND(C52/IF(B1="仅计算典型户型",'数据-取费表'!E5,'数据-取费表'!B5),0)</f>
        <v>10414</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5"/>
    </row>
    <row r="9" spans="1:7" s="175" customFormat="1" ht="13.5" customHeight="1">
      <c r="A9" s="1304" t="s">
        <v>954</v>
      </c>
      <c r="B9" s="181" t="s">
        <v>2023</v>
      </c>
      <c r="C9" s="1537">
        <f>ROUND(D9*E9,0)</f>
        <v>35694</v>
      </c>
      <c r="D9" s="1538">
        <f>IF('数据-取费表'!B10="住宅",IF(B1="仅计算典型户型",'数据-取费表'!E5,'数据-取费表'!B5),0)</f>
        <v>223.09</v>
      </c>
      <c r="E9" s="1537">
        <f>'数据-取费表'!E11</f>
        <v>160</v>
      </c>
      <c r="F9" s="1535"/>
      <c r="G9" s="182"/>
    </row>
    <row r="10" spans="1:7" s="175" customFormat="1" ht="13.5" customHeight="1">
      <c r="A10" s="1304" t="s">
        <v>955</v>
      </c>
      <c r="B10" s="181" t="s">
        <v>2024</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44618</v>
      </c>
      <c r="D19" s="1541">
        <f>IF(B1="仅计算典型户型",'数据-取费表'!E5,'数据-取费表'!B5)</f>
        <v>223.09</v>
      </c>
      <c r="E19" s="195">
        <f>'数据-取费表'!E15</f>
        <v>200</v>
      </c>
      <c r="F19" s="196"/>
      <c r="G19" s="2335"/>
    </row>
    <row r="20" spans="1:7" s="175" customFormat="1" ht="13.5" customHeight="1">
      <c r="A20" s="204" t="s">
        <v>2036</v>
      </c>
      <c r="B20" s="173" t="s">
        <v>2037</v>
      </c>
      <c r="C20" s="183">
        <f>ROUND((C5+C19)*F20,0)</f>
        <v>21502</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137628</v>
      </c>
      <c r="D22" s="185">
        <f ca="1">C26</f>
        <v>1.1999999999999999E-3</v>
      </c>
      <c r="E22" s="186" t="s">
        <v>2041</v>
      </c>
      <c r="F22" s="187">
        <f ca="1">'数据-取费表'!E27</f>
        <v>6.1500000000000006E-2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130649</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5657</v>
      </c>
      <c r="D24" s="188"/>
      <c r="E24" s="188"/>
      <c r="F24" s="189"/>
      <c r="G24" s="190" t="s">
        <v>2049</v>
      </c>
    </row>
    <row r="25" spans="1:7" s="175" customFormat="1" ht="24">
      <c r="A25" s="176" t="s">
        <v>2021</v>
      </c>
      <c r="B25" s="177" t="s">
        <v>2050</v>
      </c>
      <c r="C25" s="1455">
        <f ca="1">ROUND(IF('数据-取费表'!B23&lt;=1,C20*F22*'数据-取费表'!B24/2,C20*(POWER((1+F22),'数据-取费表'!B24/2)-1)),0)</f>
        <v>1322</v>
      </c>
      <c r="D25" s="188"/>
      <c r="E25" s="191"/>
      <c r="F25" s="189"/>
      <c r="G25" s="192" t="s">
        <v>2051</v>
      </c>
    </row>
    <row r="26" spans="1:7" s="175" customFormat="1">
      <c r="A26" s="176" t="s">
        <v>2052</v>
      </c>
      <c r="B26" s="177" t="s">
        <v>2053</v>
      </c>
      <c r="C26" s="188">
        <f ca="1">ROUND(IF('数据-取费表'!B23&lt;=1,F21*F22*'数据-取费表'!B24/2,F21*(POWER((1+F22),'数据-取费表'!B24/2)-1)),4)</f>
        <v>1.1999999999999999E-3</v>
      </c>
      <c r="D26" s="188"/>
      <c r="E26" s="191"/>
      <c r="F26" s="189"/>
      <c r="G26" s="193"/>
    </row>
    <row r="27" spans="1:7" s="175" customFormat="1" ht="25.5">
      <c r="A27" s="1305" t="s">
        <v>2054</v>
      </c>
      <c r="B27" s="194" t="s">
        <v>2055</v>
      </c>
      <c r="C27" s="195">
        <f>C28</f>
        <v>219324</v>
      </c>
      <c r="D27" s="185">
        <f>C29</f>
        <v>4.0000000000000001E-3</v>
      </c>
      <c r="E27" s="186" t="s">
        <v>2041</v>
      </c>
      <c r="F27" s="196">
        <f>'数据-取费表'!E28</f>
        <v>0.2</v>
      </c>
      <c r="G27" s="197" t="s">
        <v>2056</v>
      </c>
    </row>
    <row r="28" spans="1:7" s="175" customFormat="1" ht="13.5" customHeight="1">
      <c r="A28" s="176" t="s">
        <v>2045</v>
      </c>
      <c r="B28" s="198" t="s">
        <v>2057</v>
      </c>
      <c r="C28" s="199">
        <f>ROUND((C5+C19+C20)*F27*'数据-取费表'!B22/'数据-取费表'!B21,0)</f>
        <v>219324</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5" t="s">
        <v>2059</v>
      </c>
      <c r="B30" s="173" t="s">
        <v>2060</v>
      </c>
      <c r="C30" s="185">
        <f>ROUND(F30/(1+'数据-取费表'!F30),4)</f>
        <v>5.6000000000000001E-2</v>
      </c>
      <c r="D30" s="186" t="s">
        <v>2041</v>
      </c>
      <c r="E30" s="191"/>
      <c r="F30" s="187">
        <f>'数据-取费表'!E29</f>
        <v>5.6000000000000001E-2</v>
      </c>
      <c r="G30" s="184" t="s">
        <v>2061</v>
      </c>
    </row>
    <row r="31" spans="1:7" ht="16.5" customHeight="1">
      <c r="A31" s="204">
        <v>1</v>
      </c>
      <c r="B31" s="173" t="s">
        <v>2062</v>
      </c>
      <c r="C31" s="195">
        <f ca="1">ROUND((C5+C19+C20+C22+C27)/(1-C21-D22-D27-C30),0)</f>
        <v>1582033</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756130</v>
      </c>
      <c r="D33" s="183"/>
      <c r="E33" s="1532"/>
      <c r="F33" s="191"/>
      <c r="G33" s="184"/>
    </row>
    <row r="34" spans="1:7" s="206" customFormat="1" ht="13.5" customHeight="1">
      <c r="A34" s="176" t="s">
        <v>2045</v>
      </c>
      <c r="B34" s="177" t="s">
        <v>2067</v>
      </c>
      <c r="C34" s="199">
        <f>IF(B1="仅计算典型户型",'数据-取费表'!F18,'数据-取费表'!E18)</f>
        <v>626883</v>
      </c>
      <c r="D34" s="1533"/>
      <c r="E34" s="199"/>
      <c r="F34" s="1544" t="str">
        <f>IF('数据-取费表'!B25=0,"",'数据-取费表'!E20)</f>
        <v/>
      </c>
      <c r="G34" s="179"/>
    </row>
    <row r="35" spans="1:7" ht="13.5" customHeight="1">
      <c r="A35" s="176" t="s">
        <v>2019</v>
      </c>
      <c r="B35" s="177" t="s">
        <v>2068</v>
      </c>
      <c r="C35" s="199">
        <f>ROUND(C34*F35,0)</f>
        <v>25075</v>
      </c>
      <c r="D35" s="199"/>
      <c r="E35" s="199"/>
      <c r="F35" s="1545">
        <f>'数据-取费表'!E21</f>
        <v>0.04</v>
      </c>
      <c r="G35" s="179" t="s">
        <v>2069</v>
      </c>
    </row>
    <row r="36" spans="1:7" ht="24">
      <c r="A36" s="176" t="s">
        <v>2021</v>
      </c>
      <c r="B36" s="177" t="s">
        <v>2070</v>
      </c>
      <c r="C36" s="199">
        <f>ROUND(IF('数据-取费表'!B10="住宅",C34*F36,0),0)</f>
        <v>50151</v>
      </c>
      <c r="D36" s="199"/>
      <c r="E36" s="199"/>
      <c r="F36" s="1545">
        <f>'数据-取费表'!E22</f>
        <v>0.08</v>
      </c>
      <c r="G36" s="207" t="s">
        <v>2071</v>
      </c>
    </row>
    <row r="37" spans="1:7" s="206" customFormat="1" ht="13.5" customHeight="1">
      <c r="A37" s="176" t="s">
        <v>2052</v>
      </c>
      <c r="B37" s="177" t="s">
        <v>2072</v>
      </c>
      <c r="C37" s="199">
        <f>ROUND(E37*D37,0)</f>
        <v>44618</v>
      </c>
      <c r="D37" s="1533">
        <f>IF(B1="仅计算典型户型",'数据-取费表'!E5,'数据-取费表'!B5)</f>
        <v>223.09</v>
      </c>
      <c r="E37" s="199">
        <f>'数据-取费表'!E23</f>
        <v>200</v>
      </c>
      <c r="F37" s="1545"/>
      <c r="G37" s="208" t="s">
        <v>2073</v>
      </c>
    </row>
    <row r="38" spans="1:7" ht="13.5" customHeight="1">
      <c r="A38" s="176" t="s">
        <v>2074</v>
      </c>
      <c r="B38" s="177" t="s">
        <v>2075</v>
      </c>
      <c r="C38" s="199">
        <f>ROUND(C34*F38,0)</f>
        <v>9403</v>
      </c>
      <c r="D38" s="199"/>
      <c r="E38" s="199"/>
      <c r="F38" s="1545">
        <f>'数据-取费表'!E24</f>
        <v>1.4999999999999999E-2</v>
      </c>
      <c r="G38" s="179" t="s">
        <v>2069</v>
      </c>
    </row>
    <row r="39" spans="1:7" s="175" customFormat="1" ht="13.5" customHeight="1">
      <c r="A39" s="204" t="s">
        <v>2034</v>
      </c>
      <c r="B39" s="173" t="s">
        <v>2037</v>
      </c>
      <c r="C39" s="183">
        <f>ROUND(C33*F20,0)</f>
        <v>15123</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47432</v>
      </c>
      <c r="D41" s="185">
        <f ca="1">C44</f>
        <v>1.1999999999999999E-3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46502</v>
      </c>
      <c r="D42" s="188"/>
      <c r="E42" s="188"/>
      <c r="F42" s="189"/>
      <c r="G42" s="2992" t="s">
        <v>2079</v>
      </c>
    </row>
    <row r="43" spans="1:7" ht="13.5" customHeight="1">
      <c r="A43" s="176" t="s">
        <v>2019</v>
      </c>
      <c r="B43" s="177" t="s">
        <v>2048</v>
      </c>
      <c r="C43" s="188">
        <f ca="1">ROUND(IF('数据-取费表'!B23&lt;=1,C39*F22*'数据-取费表'!B22/2,C39*(POWER((1+F22),'数据-取费表'!B22/2)-1)),0)</f>
        <v>930</v>
      </c>
      <c r="D43" s="188"/>
      <c r="E43" s="188"/>
      <c r="F43" s="189"/>
      <c r="G43" s="2993"/>
    </row>
    <row r="44" spans="1:7" ht="13.5" customHeight="1">
      <c r="A44" s="176" t="s">
        <v>2021</v>
      </c>
      <c r="B44" s="177" t="s">
        <v>2050</v>
      </c>
      <c r="C44" s="188">
        <f ca="1">ROUND(IF('数据-取费表'!B23&lt;=1,C40*F22*'数据-取费表'!B22/2,C40*(POWER((1+F22),'数据-取费表'!B22/2)-1)),4)</f>
        <v>1.1999999999999999E-3</v>
      </c>
      <c r="D44" s="188"/>
      <c r="E44" s="188"/>
      <c r="F44" s="189"/>
      <c r="G44" s="2994"/>
    </row>
    <row r="45" spans="1:7" s="175" customFormat="1" ht="13.5" customHeight="1">
      <c r="A45" s="204" t="s">
        <v>2043</v>
      </c>
      <c r="B45" s="194" t="s">
        <v>2055</v>
      </c>
      <c r="C45" s="195">
        <f>C46</f>
        <v>154251</v>
      </c>
      <c r="D45" s="185">
        <f>C47</f>
        <v>4.0000000000000001E-3</v>
      </c>
      <c r="E45" s="186" t="s">
        <v>2077</v>
      </c>
      <c r="F45" s="196"/>
      <c r="G45" s="197" t="s">
        <v>2080</v>
      </c>
    </row>
    <row r="46" spans="1:7" s="175" customFormat="1" ht="13.5" customHeight="1">
      <c r="A46" s="176" t="s">
        <v>2045</v>
      </c>
      <c r="B46" s="198" t="s">
        <v>2081</v>
      </c>
      <c r="C46" s="199">
        <f>ROUND((C33+C39)*F27,0)</f>
        <v>154251</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5" t="s">
        <v>2054</v>
      </c>
      <c r="B48" s="173" t="s">
        <v>2083</v>
      </c>
      <c r="C48" s="1819">
        <f>ROUND(F30/(1+'数据-取费表'!F30),4)</f>
        <v>5.6000000000000001E-2</v>
      </c>
      <c r="D48" s="186" t="s">
        <v>2077</v>
      </c>
      <c r="E48" s="183"/>
      <c r="F48" s="187"/>
      <c r="G48" s="184" t="s">
        <v>2084</v>
      </c>
    </row>
    <row r="49" spans="1:7" ht="16.5" customHeight="1">
      <c r="A49" s="1305" t="s">
        <v>2085</v>
      </c>
      <c r="B49" s="173" t="s">
        <v>2086</v>
      </c>
      <c r="C49" s="183">
        <f ca="1">ROUND((C33+C39+C41+C45)/(1-C40-D41-D45-C48),0)</f>
        <v>1058920</v>
      </c>
      <c r="D49" s="183"/>
      <c r="E49" s="183"/>
      <c r="F49" s="210"/>
      <c r="G49" s="184" t="s">
        <v>2087</v>
      </c>
    </row>
    <row r="50" spans="1:7" s="206" customFormat="1" ht="24">
      <c r="A50" s="1305" t="s">
        <v>2088</v>
      </c>
      <c r="B50" s="173" t="s">
        <v>2089</v>
      </c>
      <c r="C50" s="183"/>
      <c r="D50" s="183"/>
      <c r="E50" s="183"/>
      <c r="F50" s="210">
        <f>IF('数据-取费表'!B25=0,'数据-取费表'!E20,1)</f>
        <v>0.7</v>
      </c>
      <c r="G50" s="197" t="s">
        <v>2090</v>
      </c>
    </row>
    <row r="51" spans="1:7" ht="16.5" customHeight="1">
      <c r="A51" s="1305" t="s">
        <v>2091</v>
      </c>
      <c r="B51" s="173" t="s">
        <v>2092</v>
      </c>
      <c r="C51" s="183">
        <f ca="1">ROUND(C49*F50,0)</f>
        <v>741244</v>
      </c>
      <c r="D51" s="183"/>
      <c r="E51" s="183"/>
      <c r="F51" s="210"/>
      <c r="G51" s="184" t="s">
        <v>2093</v>
      </c>
    </row>
    <row r="52" spans="1:7" s="172" customFormat="1" ht="16.5" thickBot="1">
      <c r="A52" s="211" t="s">
        <v>2094</v>
      </c>
      <c r="B52" s="212"/>
      <c r="C52" s="213">
        <f ca="1">C31+C51</f>
        <v>2323277</v>
      </c>
      <c r="D52" s="212"/>
      <c r="E52" s="212"/>
      <c r="F52" s="212"/>
      <c r="G52" s="214"/>
    </row>
    <row r="55" spans="1:7" ht="15">
      <c r="B55" s="216" t="s">
        <v>2095</v>
      </c>
      <c r="C55" s="217"/>
    </row>
    <row r="56" spans="1:7">
      <c r="B56" s="219" t="s">
        <v>2096</v>
      </c>
      <c r="C56" s="220">
        <f ca="1">ROUND(C51/C52,3)</f>
        <v>0.31900000000000001</v>
      </c>
    </row>
    <row r="57" spans="1:7">
      <c r="B57" s="219" t="s">
        <v>2097</v>
      </c>
      <c r="C57" s="221">
        <f ca="1">1-C56</f>
        <v>0.68100000000000005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3.0499999999999999E-2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6.1500000000000006E-2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0.20610000000000001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0.20610000000000001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E45" sqref="E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7"/>
      <c r="E1" s="2708"/>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7869744</v>
      </c>
      <c r="C2" s="2336"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35276</v>
      </c>
      <c r="C3" s="2336"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199999</v>
      </c>
      <c r="D5" s="2337" t="s">
        <v>2107</v>
      </c>
      <c r="E5" s="1214"/>
      <c r="F5" s="1383"/>
      <c r="G5" s="1238"/>
      <c r="H5" s="316">
        <v>1</v>
      </c>
      <c r="I5" s="317" t="s">
        <v>2106</v>
      </c>
      <c r="J5" s="318">
        <f ca="1">J6+J10+J12</f>
        <v>0</v>
      </c>
      <c r="K5" s="2337" t="s">
        <v>2107</v>
      </c>
      <c r="L5" s="1214"/>
      <c r="M5" s="1383"/>
    </row>
    <row r="6" spans="1:37" ht="18" customHeight="1">
      <c r="A6" s="1384" t="s">
        <v>2108</v>
      </c>
      <c r="B6" s="2025" t="s">
        <v>2109</v>
      </c>
      <c r="C6" s="318">
        <f>ROUND(F6*F8*F7*(1-F9),0)</f>
        <v>199500</v>
      </c>
      <c r="D6" s="80" t="s">
        <v>2805</v>
      </c>
      <c r="E6" s="319" t="s">
        <v>2110</v>
      </c>
      <c r="F6" s="320">
        <f>'数据-取费表'!B29</f>
        <v>17500</v>
      </c>
      <c r="G6" s="1238"/>
      <c r="H6" s="1384" t="s">
        <v>2108</v>
      </c>
      <c r="I6" s="2025"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0.05</v>
      </c>
      <c r="G9" s="1238"/>
      <c r="H9" s="321"/>
      <c r="I9" s="322"/>
      <c r="J9" s="1386"/>
      <c r="K9" s="95"/>
      <c r="L9" s="330" t="s">
        <v>2114</v>
      </c>
      <c r="M9" s="329">
        <f>'数据-取费表'!B38</f>
        <v>0</v>
      </c>
    </row>
    <row r="10" spans="1:37" ht="18" customHeight="1">
      <c r="A10" s="1384" t="s">
        <v>2115</v>
      </c>
      <c r="B10" s="2338" t="s">
        <v>2116</v>
      </c>
      <c r="C10" s="1385">
        <f ca="1">ROUND(IF(F10="押一",C6/12*F11,IF(F10="押二",C6/12*2*F11,IF(F10="押三",C6/12*3*F11,C11*F11))),0)</f>
        <v>499</v>
      </c>
      <c r="D10" s="2339" t="s">
        <v>2814</v>
      </c>
      <c r="E10" s="330" t="s">
        <v>2117</v>
      </c>
      <c r="F10" s="2340" t="s">
        <v>2118</v>
      </c>
      <c r="G10" s="1238"/>
      <c r="H10" s="1384" t="s">
        <v>2115</v>
      </c>
      <c r="I10" s="2338" t="s">
        <v>2116</v>
      </c>
      <c r="J10" s="1385">
        <f ca="1">ROUND(IF(M10="押一",J6/12*M11,IF(M10="押二",J6/12*2*M11,IF(M10="押三",J6/12*3*M11,J11*M11))),0)</f>
        <v>0</v>
      </c>
      <c r="K10" s="80" t="s">
        <v>2814</v>
      </c>
      <c r="L10" s="330" t="s">
        <v>2117</v>
      </c>
      <c r="M10" s="2340"/>
    </row>
    <row r="11" spans="1:37" s="341" customFormat="1" ht="18" customHeight="1">
      <c r="A11" s="348"/>
      <c r="B11" s="2341" t="s">
        <v>2119</v>
      </c>
      <c r="C11" s="1418"/>
      <c r="D11" s="324"/>
      <c r="E11" s="330" t="s">
        <v>2120</v>
      </c>
      <c r="F11" s="331">
        <f ca="1">'数据-取费表'!B30</f>
        <v>0.03</v>
      </c>
      <c r="G11" s="1239"/>
      <c r="H11" s="325"/>
      <c r="I11" s="2341" t="s">
        <v>2121</v>
      </c>
      <c r="J11" s="1418"/>
      <c r="K11" s="324"/>
      <c r="L11" s="330" t="s">
        <v>2120</v>
      </c>
      <c r="M11" s="331">
        <f ca="1">'数据-取费表'!B30</f>
        <v>0.03</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2" t="s">
        <v>2123</v>
      </c>
      <c r="C12" s="1425"/>
      <c r="D12" s="2343"/>
      <c r="E12" s="1431"/>
      <c r="F12" s="1426"/>
      <c r="G12" s="1238"/>
      <c r="H12" s="1424" t="s">
        <v>2122</v>
      </c>
      <c r="I12" s="2342" t="s">
        <v>2123</v>
      </c>
      <c r="J12" s="1425"/>
      <c r="K12" s="1441"/>
      <c r="L12" s="1431"/>
      <c r="M12" s="1442"/>
    </row>
    <row r="13" spans="1:37" s="341" customFormat="1" ht="18" customHeight="1" thickTop="1">
      <c r="A13" s="1420">
        <v>2</v>
      </c>
      <c r="B13" s="1421" t="s">
        <v>2124</v>
      </c>
      <c r="C13" s="327">
        <f ca="1">ROUND(C29*F13,0)</f>
        <v>741244</v>
      </c>
      <c r="D13" s="1422" t="s">
        <v>2125</v>
      </c>
      <c r="E13" s="1422" t="s">
        <v>2126</v>
      </c>
      <c r="F13" s="1423">
        <f>'数据-取费表'!E20</f>
        <v>0.7</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626883</v>
      </c>
      <c r="D14" s="1888" t="s">
        <v>2129</v>
      </c>
      <c r="E14" s="1889"/>
      <c r="F14" s="979"/>
      <c r="G14" s="1239"/>
      <c r="H14" s="337" t="s">
        <v>2108</v>
      </c>
      <c r="I14" s="319" t="s">
        <v>2130</v>
      </c>
      <c r="J14" s="14">
        <f ca="1">C29</f>
        <v>1058920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25075</v>
      </c>
      <c r="D15" s="339" t="s">
        <v>2133</v>
      </c>
      <c r="E15" s="339" t="s">
        <v>2134</v>
      </c>
      <c r="F15" s="340">
        <f>'数据-取费表'!E21</f>
        <v>0.04</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50151</v>
      </c>
      <c r="D16" s="319" t="s">
        <v>2133</v>
      </c>
      <c r="E16" s="319" t="s">
        <v>2134</v>
      </c>
      <c r="F16" s="342">
        <f>IF('数据-取费表'!B10="住宅",'数据-取费表'!E22,0)</f>
        <v>0.08</v>
      </c>
      <c r="G16" s="1239"/>
      <c r="H16" s="1420" t="s">
        <v>14</v>
      </c>
      <c r="I16" s="1421" t="s">
        <v>2139</v>
      </c>
      <c r="J16" s="327">
        <f ca="1">ROUND(J17+J22+J23+J24,0)</f>
        <v>15884</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44618</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9403</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5.6000000000000001E-2</v>
      </c>
    </row>
    <row r="19" spans="1:37" s="341" customFormat="1" ht="18" customHeight="1">
      <c r="A19" s="337" t="s">
        <v>2145</v>
      </c>
      <c r="B19" s="319" t="s">
        <v>2154</v>
      </c>
      <c r="C19" s="14">
        <f>SUM(C14:C18)</f>
        <v>756130</v>
      </c>
      <c r="D19" s="56" t="s">
        <v>2155</v>
      </c>
      <c r="E19" s="1898"/>
      <c r="F19" s="16"/>
      <c r="G19" s="1239"/>
      <c r="H19" s="337" t="s">
        <v>2131</v>
      </c>
      <c r="I19" s="319" t="s">
        <v>2156</v>
      </c>
      <c r="J19" s="14" t="str">
        <f>IF(项目基本情况!B7="自然人","——",IF(K19="按租金收入计税",ROUND(J5*M19,1),ROUND(C29*M19*0.7,1)))</f>
        <v>——</v>
      </c>
      <c r="K19" s="2014"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15123</v>
      </c>
      <c r="D20" s="344" t="s">
        <v>2159</v>
      </c>
      <c r="E20" s="319" t="s">
        <v>2160</v>
      </c>
      <c r="F20" s="342">
        <f>'数据-取费表'!E25</f>
        <v>0.02</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15884</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47432</v>
      </c>
      <c r="D23" s="2008"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1.1999999999999999E-3</v>
      </c>
      <c r="D24" s="2008" t="str">
        <f>IF(F23&lt;=1,"销售费用×利率×(建设周期÷2)","销售费用×((1+利率)^(建设周期÷2)-1)")</f>
        <v>销售费用×((1+利率)^(建设周期÷2)-1)</v>
      </c>
      <c r="E24" s="319" t="s">
        <v>2180</v>
      </c>
      <c r="F24" s="352">
        <f ca="1">'数据-取费表'!E27</f>
        <v>6.1500000000000006E-2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-15884</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154251</v>
      </c>
      <c r="D26" s="344" t="s">
        <v>2188</v>
      </c>
      <c r="E26" s="330" t="s">
        <v>2189</v>
      </c>
      <c r="F26" s="329">
        <f>'数据-取费表'!E28</f>
        <v>0.2</v>
      </c>
      <c r="G26" s="791"/>
      <c r="H26" s="316" t="s">
        <v>23</v>
      </c>
      <c r="I26" s="317" t="s">
        <v>2190</v>
      </c>
      <c r="J26" s="318">
        <f ca="1">IF(J5&lt;&gt;0,ROUND(J25*(1-((1+M28)/(1+M26))^M27)/(M26-M28),0),0)</f>
        <v>0</v>
      </c>
      <c r="K26" s="346" t="s">
        <v>2191</v>
      </c>
      <c r="L26" s="319" t="s">
        <v>2192</v>
      </c>
      <c r="M26" s="329">
        <f>'数据-取费表'!B16</f>
        <v>3.5000000000000003E-2</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5.6000000000000001E-2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1058920</v>
      </c>
      <c r="D29" s="1433"/>
      <c r="E29" s="1431"/>
      <c r="F29" s="1434"/>
      <c r="G29" s="791"/>
      <c r="H29" s="356" t="s">
        <v>24</v>
      </c>
      <c r="I29" s="357" t="s">
        <v>2204</v>
      </c>
      <c r="J29" s="358">
        <f ca="1">ROUND(J26/(1+F40)^F41,0)</f>
        <v>0</v>
      </c>
      <c r="K29" s="359" t="s">
        <v>2205</v>
      </c>
      <c r="L29" s="360"/>
      <c r="M29" s="361">
        <f>IF(D1="仅计算典型户型",'数据-取费表'!E5,'数据-取费表'!B5)</f>
        <v>223.09</v>
      </c>
    </row>
    <row r="30" spans="1:37" ht="18" customHeight="1" thickTop="1">
      <c r="A30" s="1420" t="s">
        <v>14</v>
      </c>
      <c r="B30" s="1421" t="s">
        <v>2206</v>
      </c>
      <c r="C30" s="327">
        <f ca="1">ROUND(C31+C36+C37+C38,0)</f>
        <v>28996</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10000</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4"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44475</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0.06</v>
      </c>
      <c r="K35" s="1231"/>
      <c r="L35" s="1230"/>
      <c r="M35" s="1230"/>
    </row>
    <row r="36" spans="1:18" ht="18" customHeight="1">
      <c r="A36" s="1387" t="s">
        <v>2115</v>
      </c>
      <c r="B36" s="319" t="s">
        <v>2215</v>
      </c>
      <c r="C36" s="14">
        <f ca="1">ROUND(C29*F36,0)</f>
        <v>15884</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1112</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2000</v>
      </c>
      <c r="D38" s="1433" t="s">
        <v>2181</v>
      </c>
      <c r="E38" s="1431" t="s">
        <v>2177</v>
      </c>
      <c r="F38" s="1426">
        <f>'数据-取费表'!B46</f>
        <v>0.01</v>
      </c>
      <c r="G38" s="791"/>
      <c r="H38" s="1230"/>
      <c r="I38" s="365" t="s">
        <v>2219</v>
      </c>
      <c r="J38" s="220">
        <f ca="1">ROUND(J34/C39,3)</f>
        <v>0.26</v>
      </c>
      <c r="K38" s="1235"/>
      <c r="L38" s="1230"/>
      <c r="M38" s="1230"/>
    </row>
    <row r="39" spans="1:18" ht="18" customHeight="1" thickTop="1">
      <c r="A39" s="1420" t="s">
        <v>22</v>
      </c>
      <c r="B39" s="1435" t="s">
        <v>2220</v>
      </c>
      <c r="C39" s="327">
        <f ca="1">C5-C30</f>
        <v>171003</v>
      </c>
      <c r="D39" s="1436" t="s">
        <v>2221</v>
      </c>
      <c r="E39" s="1437"/>
      <c r="F39" s="1438"/>
      <c r="G39" s="791"/>
      <c r="H39" s="1230"/>
      <c r="I39" s="365" t="s">
        <v>2222</v>
      </c>
      <c r="J39" s="220">
        <f ca="1">1-J38</f>
        <v>0.74</v>
      </c>
      <c r="K39" s="1235"/>
      <c r="L39" s="1230"/>
      <c r="M39" s="1230"/>
    </row>
    <row r="40" spans="1:18" s="791" customFormat="1" ht="18" customHeight="1">
      <c r="A40" s="316" t="s">
        <v>23</v>
      </c>
      <c r="B40" s="317" t="s">
        <v>2223</v>
      </c>
      <c r="C40" s="318">
        <f ca="1">ROUND(C39*(1-((1+F42)/(1+F40))^F41)/(F40-F42),0)</f>
        <v>7869744</v>
      </c>
      <c r="D40" s="346" t="s">
        <v>2191</v>
      </c>
      <c r="E40" s="319" t="s">
        <v>2192</v>
      </c>
      <c r="F40" s="329">
        <f>'数据-取费表'!B16</f>
        <v>3.5000000000000003E-2</v>
      </c>
      <c r="H40" s="1236"/>
      <c r="I40" s="216" t="s">
        <v>2224</v>
      </c>
      <c r="J40" s="217"/>
      <c r="K40" s="1235"/>
      <c r="L40" s="1236"/>
      <c r="M40" s="1236"/>
      <c r="Q40" s="795"/>
    </row>
    <row r="41" spans="1:18" s="791" customFormat="1" ht="18" customHeight="1">
      <c r="A41" s="321"/>
      <c r="B41" s="322"/>
      <c r="C41" s="323"/>
      <c r="D41" s="354" t="s">
        <v>2225</v>
      </c>
      <c r="E41" s="1825" t="s">
        <v>2883</v>
      </c>
      <c r="F41" s="355">
        <f>IF('数据-取费表'!B28="租赁期内按合同租金",'数据-取费表'!B34,IF(E41="收益年期(n)",'数据-取费表'!B33,'数据-取费表'!B13))</f>
        <v>54</v>
      </c>
      <c r="H41" s="1237"/>
      <c r="I41" s="219" t="s">
        <v>2096</v>
      </c>
      <c r="J41" s="220">
        <f ca="1">ROUND(C13/C40,3)</f>
        <v>9.4E-2</v>
      </c>
      <c r="K41" s="1234"/>
      <c r="L41" s="1237"/>
      <c r="M41" s="1237"/>
      <c r="Q41" s="795"/>
    </row>
    <row r="42" spans="1:18" s="791" customFormat="1" ht="18" customHeight="1">
      <c r="A42" s="325"/>
      <c r="B42" s="326"/>
      <c r="C42" s="327"/>
      <c r="D42" s="349"/>
      <c r="E42" s="319" t="s">
        <v>2201</v>
      </c>
      <c r="F42" s="329">
        <f>'数据-取费表'!B31</f>
        <v>0.03</v>
      </c>
      <c r="H42" s="1237"/>
      <c r="I42" s="219" t="s">
        <v>2097</v>
      </c>
      <c r="J42" s="221">
        <f ca="1">1-J41</f>
        <v>0.90600000000000003</v>
      </c>
      <c r="K42" s="1234"/>
      <c r="L42" s="1237"/>
      <c r="M42" s="1237"/>
      <c r="Q42" s="795"/>
    </row>
    <row r="43" spans="1:18" s="791" customFormat="1" ht="18" customHeight="1" thickBot="1">
      <c r="A43" s="356" t="s">
        <v>24</v>
      </c>
      <c r="B43" s="357" t="s">
        <v>2226</v>
      </c>
      <c r="C43" s="358">
        <f ca="1">ROUND(C40/F43,0)</f>
        <v>35276</v>
      </c>
      <c r="D43" s="359" t="s">
        <v>2227</v>
      </c>
      <c r="E43" s="360" t="s">
        <v>2228</v>
      </c>
      <c r="F43" s="361">
        <f>IF(D1="仅计算典型户型",'数据-取费表'!E5,'数据-取费表'!B5)</f>
        <v>223.09</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7869744</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4" t="s">
        <v>2238</v>
      </c>
      <c r="C47" s="1303">
        <f ca="1">IF(C2="元",C69-C40,ROUND((C69-C40)/10000,0))</f>
        <v>-8279574</v>
      </c>
      <c r="D47" s="2345" t="str">
        <f>C2</f>
        <v>元</v>
      </c>
      <c r="E47" s="776"/>
      <c r="F47" s="776"/>
      <c r="I47" s="2346" t="s">
        <v>2239</v>
      </c>
      <c r="J47" s="1343"/>
      <c r="K47" s="1344"/>
      <c r="L47" s="1357">
        <f>IF(M48="住宅",0,IF(L49&gt;J52,L61,J61))</f>
        <v>0</v>
      </c>
      <c r="O47" s="1371" t="s">
        <v>960</v>
      </c>
      <c r="P47" s="1368" t="s">
        <v>2240</v>
      </c>
      <c r="Q47" s="1369">
        <f ca="1">C29</f>
        <v>1058920</v>
      </c>
      <c r="R47" s="1370" t="s">
        <v>2235</v>
      </c>
    </row>
    <row r="48" spans="1:18" s="791" customFormat="1" ht="15.75" thickBot="1">
      <c r="A48" s="312" t="s">
        <v>2241</v>
      </c>
      <c r="B48" s="313" t="s">
        <v>2242</v>
      </c>
      <c r="C48" s="313" t="s">
        <v>2243</v>
      </c>
      <c r="D48" s="313" t="s">
        <v>2244</v>
      </c>
      <c r="E48" s="1297" t="s">
        <v>2245</v>
      </c>
      <c r="F48" s="1298"/>
      <c r="I48" s="2347" t="s">
        <v>2246</v>
      </c>
      <c r="J48" s="2348"/>
      <c r="K48" s="2349" t="s">
        <v>2247</v>
      </c>
      <c r="L48" s="1345">
        <f>'数据-取费表'!B11</f>
        <v>70</v>
      </c>
      <c r="M48" s="1358" t="str">
        <f>IF('数据-取费表'!B10="住宅","住宅","非住宅")</f>
        <v>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50" t="s">
        <v>2250</v>
      </c>
      <c r="J49" s="2351"/>
      <c r="K49" s="2352" t="s">
        <v>2251</v>
      </c>
      <c r="L49" s="1128">
        <f>'数据-取费表'!B13</f>
        <v>54</v>
      </c>
      <c r="O49" s="1371" t="s">
        <v>962</v>
      </c>
      <c r="P49" s="1368" t="s">
        <v>2252</v>
      </c>
      <c r="Q49" s="1372">
        <f>J53</f>
        <v>0</v>
      </c>
      <c r="R49" s="1370"/>
    </row>
    <row r="50" spans="1:18" s="791" customFormat="1" ht="15.75" thickBot="1">
      <c r="A50" s="345" t="s">
        <v>2108</v>
      </c>
      <c r="B50" s="2025" t="s">
        <v>2253</v>
      </c>
      <c r="C50" s="318">
        <f>ROUND(F50*F52*F51*(1-F53),0)</f>
        <v>0</v>
      </c>
      <c r="D50" s="93" t="s">
        <v>2806</v>
      </c>
      <c r="E50" s="2353" t="s">
        <v>2254</v>
      </c>
      <c r="F50" s="1299"/>
      <c r="I50" s="2350" t="s">
        <v>2255</v>
      </c>
      <c r="J50" s="1128">
        <f>'数据-取费表'!B26</f>
        <v>2000</v>
      </c>
      <c r="K50" s="2354" t="s">
        <v>2256</v>
      </c>
      <c r="L50" s="1346"/>
      <c r="O50" s="1371" t="s">
        <v>963</v>
      </c>
      <c r="P50" s="1368" t="s">
        <v>2257</v>
      </c>
      <c r="Q50" s="1369">
        <f>J54</f>
        <v>-14</v>
      </c>
      <c r="R50" s="1370" t="s">
        <v>2258</v>
      </c>
    </row>
    <row r="51" spans="1:18" s="791" customFormat="1" ht="15.75" thickBot="1">
      <c r="A51" s="321"/>
      <c r="B51" s="322"/>
      <c r="C51" s="323"/>
      <c r="D51" s="324"/>
      <c r="E51" s="339" t="s">
        <v>2111</v>
      </c>
      <c r="F51" s="1296">
        <f>F7</f>
        <v>1</v>
      </c>
      <c r="I51" s="2350" t="s">
        <v>2259</v>
      </c>
      <c r="J51" s="1347">
        <f>SUMPRODUCT((I64:I66=J48)*(J63:L63=J49)*(J64:L66))</f>
        <v>0</v>
      </c>
      <c r="K51" s="2354" t="s">
        <v>2260</v>
      </c>
      <c r="L51" s="1346"/>
      <c r="O51" s="1367" t="s">
        <v>964</v>
      </c>
      <c r="P51" s="1368" t="str">
        <f>IF(C2="元","收益价值(元)","收益价值(万元)")</f>
        <v>收益价值(元)</v>
      </c>
      <c r="Q51" s="1369">
        <f ca="1">ROUND(IF(C2="元",Q45+Q46,(Q45+Q46)/10000),0)</f>
        <v>7869744</v>
      </c>
      <c r="R51" s="1370" t="s">
        <v>965</v>
      </c>
    </row>
    <row r="52" spans="1:18" s="791" customFormat="1" ht="16.5" thickBot="1">
      <c r="A52" s="321"/>
      <c r="B52" s="322"/>
      <c r="C52" s="323"/>
      <c r="D52" s="324"/>
      <c r="E52" s="319" t="s">
        <v>2113</v>
      </c>
      <c r="F52" s="320">
        <f>F8</f>
        <v>12</v>
      </c>
      <c r="I52" s="2355" t="s">
        <v>2261</v>
      </c>
      <c r="J52" s="1348">
        <f>IF(J50="",J51,J50+J51-YEAR('数据-取费表'!B2))</f>
        <v>-14</v>
      </c>
      <c r="K52" s="2356" t="s">
        <v>2262</v>
      </c>
      <c r="L52" s="1349">
        <f ca="1">ROUND(-PV('数据-取费表'!B15,L49,(C40-C13*J35)),0)</f>
        <v>207977352</v>
      </c>
      <c r="O52" s="1361" t="s">
        <v>2263</v>
      </c>
      <c r="P52" s="1362"/>
      <c r="Q52" s="1358"/>
      <c r="R52" s="1362"/>
    </row>
    <row r="53" spans="1:18" s="791" customFormat="1" ht="15.75" thickBot="1">
      <c r="A53" s="325"/>
      <c r="B53" s="326"/>
      <c r="C53" s="327"/>
      <c r="D53" s="328"/>
      <c r="E53" s="319" t="s">
        <v>2114</v>
      </c>
      <c r="F53" s="1356"/>
      <c r="I53" s="2357" t="s">
        <v>2264</v>
      </c>
      <c r="J53" s="1350"/>
      <c r="K53" s="2357" t="s">
        <v>2265</v>
      </c>
      <c r="L53" s="1350"/>
      <c r="O53" s="1363" t="s">
        <v>2230</v>
      </c>
      <c r="P53" s="1364" t="s">
        <v>2231</v>
      </c>
      <c r="Q53" s="1365" t="s">
        <v>2232</v>
      </c>
      <c r="R53" s="1366" t="s">
        <v>2233</v>
      </c>
    </row>
    <row r="54" spans="1:18" s="791" customFormat="1" ht="29.25" customHeight="1" thickBot="1">
      <c r="A54" s="1384" t="s">
        <v>2115</v>
      </c>
      <c r="B54" s="2338" t="s">
        <v>2116</v>
      </c>
      <c r="C54" s="1385">
        <f ca="1">ROUND(IF(F54="押一",C50/12*F11,IF(F54="押二",C50/12*2*F11,IF(F54="押三",C50/12*3*F11,C55*F11))),0)</f>
        <v>0</v>
      </c>
      <c r="D54" s="2339" t="s">
        <v>2815</v>
      </c>
      <c r="E54" s="330" t="s">
        <v>2117</v>
      </c>
      <c r="F54" s="2340"/>
      <c r="I54" s="2358" t="s">
        <v>2266</v>
      </c>
      <c r="J54" s="1351">
        <f>IF(M48="住宅",J52,IF(E1="——",MIN(J52,L49),IF(E1="在建（套用方法）",MIN(J52,L49-'数据-取费表'!B25),IF(E1="土地（套用方法）",MIN(J52,L49-'数据-取费表'!B21)))))</f>
        <v>-14</v>
      </c>
      <c r="K54" s="2995" t="s">
        <v>2804</v>
      </c>
      <c r="L54" s="2996"/>
      <c r="O54" s="1367" t="s">
        <v>958</v>
      </c>
      <c r="P54" s="1368" t="s">
        <v>2234</v>
      </c>
      <c r="Q54" s="1369">
        <f ca="1">C40+J29</f>
        <v>7869744</v>
      </c>
      <c r="R54" s="1370" t="s">
        <v>2235</v>
      </c>
    </row>
    <row r="55" spans="1:18" s="791" customFormat="1" ht="20.25" thickBot="1">
      <c r="A55" s="1384"/>
      <c r="B55" s="2359" t="s">
        <v>2121</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2267</v>
      </c>
      <c r="Q55" s="1369">
        <f>L61</f>
        <v>0</v>
      </c>
      <c r="R55" s="1370" t="s">
        <v>2268</v>
      </c>
    </row>
    <row r="56" spans="1:18" s="791" customFormat="1" ht="20.25" thickBot="1">
      <c r="A56" s="1424" t="s">
        <v>2122</v>
      </c>
      <c r="B56" s="2342" t="s">
        <v>2123</v>
      </c>
      <c r="C56" s="1425"/>
      <c r="D56" s="1441"/>
      <c r="E56" s="2362"/>
      <c r="F56" s="1501"/>
      <c r="I56" s="2363" t="s">
        <v>2269</v>
      </c>
      <c r="J56" s="1871" t="e">
        <f>ROUND(IF(J48="钢混",J58/J51,1-(1-2%)*(J51-J58)/J51),3)</f>
        <v>#VALUE!</v>
      </c>
      <c r="K56" s="2364" t="s">
        <v>2270</v>
      </c>
      <c r="L56" s="1352"/>
      <c r="O56" s="1371" t="s">
        <v>960</v>
      </c>
      <c r="P56" s="1368" t="s">
        <v>2271</v>
      </c>
      <c r="Q56" s="1369">
        <f>IF(L56="比较法",L50,IF(L56="基准地价",L51,0))</f>
        <v>0</v>
      </c>
      <c r="R56" s="1370" t="s">
        <v>2235</v>
      </c>
    </row>
    <row r="57" spans="1:18" s="791" customFormat="1" ht="44.25" thickTop="1" thickBot="1">
      <c r="A57" s="1420">
        <v>2</v>
      </c>
      <c r="B57" s="1421" t="s">
        <v>2124</v>
      </c>
      <c r="C57" s="1500">
        <f ca="1">C13</f>
        <v>741244</v>
      </c>
      <c r="D57" s="1294"/>
      <c r="E57" s="1295"/>
      <c r="F57" s="1302"/>
      <c r="I57" s="2365" t="s">
        <v>2272</v>
      </c>
      <c r="J57" s="1355"/>
      <c r="K57" s="2350" t="s">
        <v>2273</v>
      </c>
      <c r="L57" s="1128">
        <f>IF(L49&lt;J52,"——",L49-J52)</f>
        <v>68</v>
      </c>
      <c r="O57" s="1371" t="s">
        <v>961</v>
      </c>
      <c r="P57" s="1368" t="s">
        <v>2274</v>
      </c>
      <c r="Q57" s="1372">
        <f>L53</f>
        <v>0</v>
      </c>
      <c r="R57" s="1370"/>
    </row>
    <row r="58" spans="1:18" s="791" customFormat="1" ht="29.25" thickBot="1">
      <c r="A58" s="1301"/>
      <c r="B58" s="319" t="s">
        <v>2203</v>
      </c>
      <c r="C58" s="188">
        <f ca="1">C29</f>
        <v>1058920</v>
      </c>
      <c r="D58" s="1294"/>
      <c r="E58" s="1295"/>
      <c r="F58" s="1302"/>
      <c r="I58" s="2366" t="s">
        <v>2275</v>
      </c>
      <c r="J58" s="1354" t="str">
        <f>IF(OR(M48="住宅",J52&lt;L49,J57="是"),"——",J52-L49)</f>
        <v>——</v>
      </c>
      <c r="K58" s="2350" t="s">
        <v>2276</v>
      </c>
      <c r="L58" s="1128">
        <f ca="1">IF(L49&lt;J52,"——",IF(L56="比较法",L50,IF(L56="基准地价",L51,L52)))</f>
        <v>207977352</v>
      </c>
      <c r="O58" s="1371" t="s">
        <v>962</v>
      </c>
      <c r="P58" s="1368" t="s">
        <v>2277</v>
      </c>
      <c r="Q58" s="1369" t="e">
        <f>L59</f>
        <v>#DIV/0!</v>
      </c>
      <c r="R58" s="1370" t="s">
        <v>2278</v>
      </c>
    </row>
    <row r="59" spans="1:18" s="791" customFormat="1" ht="29.25" thickBot="1">
      <c r="A59" s="332" t="s">
        <v>14</v>
      </c>
      <c r="B59" s="333" t="s">
        <v>2206</v>
      </c>
      <c r="C59" s="334">
        <f ca="1">ROUND(C60+C65+C66+C67,0)</f>
        <v>16996</v>
      </c>
      <c r="D59" s="12" t="s">
        <v>2207</v>
      </c>
      <c r="E59" s="1898"/>
      <c r="F59" s="16"/>
      <c r="I59" s="2366" t="s">
        <v>2279</v>
      </c>
      <c r="J59" s="1870" t="e">
        <f>IF(J56&lt;0.4,0.4,J56)</f>
        <v>#VALUE!</v>
      </c>
      <c r="K59" s="2356" t="s">
        <v>2280</v>
      </c>
      <c r="L59" s="1128" t="e">
        <f>ROUND(POWER(1+L53,L48-L49)*(POWER(1+L53,L49)-1)/(POWER(1+L53,L48)-1),4)</f>
        <v>#DIV/0!</v>
      </c>
      <c r="O59" s="1371" t="s">
        <v>963</v>
      </c>
      <c r="P59" s="1368" t="str">
        <f>K60</f>
        <v>建设期及建筑物耐用年限下的土地年期修正系数Kn</v>
      </c>
      <c r="Q59" s="1369" t="e">
        <f>L60</f>
        <v>#DIV/0!</v>
      </c>
      <c r="R59" s="1370" t="s">
        <v>2281</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6" t="s">
        <v>2282</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7869744</v>
      </c>
      <c r="R60" s="1370" t="s">
        <v>965</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5.6000000000000001E-2</v>
      </c>
      <c r="I61" s="2367" t="s">
        <v>2283</v>
      </c>
      <c r="J61" s="1353" t="str">
        <f>IF(OR(M48="住宅",J52&lt;L49,J57="是"),"0",ROUND(J60/(1+J53)^J54,0))</f>
        <v>0</v>
      </c>
      <c r="K61" s="2368" t="s">
        <v>2284</v>
      </c>
      <c r="L61" s="1353">
        <f>IF(OR(M48="住宅",L49&lt;J52),0,ROUND(L58*(L59/L60-1),0))</f>
        <v>0</v>
      </c>
      <c r="O61" s="1361" t="s">
        <v>2285</v>
      </c>
      <c r="P61" s="1362"/>
      <c r="Q61" s="1358"/>
      <c r="R61" s="1362"/>
    </row>
    <row r="62" spans="1:18" s="791" customFormat="1" ht="15.75" thickBot="1">
      <c r="A62" s="337" t="s">
        <v>17</v>
      </c>
      <c r="B62" s="319" t="s">
        <v>2286</v>
      </c>
      <c r="C62" s="14" t="str">
        <f>IF(项目基本情况!B7="自然人","——",IF(D62="按租金收入计税",ROUND(C49*F62,1),IF(D62="按房产原值计税",ROUND(C58*F62*0.7,1),'数据-取费表'!B43)))</f>
        <v>——</v>
      </c>
      <c r="D62" s="2014" t="s">
        <v>2157</v>
      </c>
      <c r="E62" s="319" t="s">
        <v>2160</v>
      </c>
      <c r="F62" s="342">
        <f t="shared" si="0"/>
        <v>1.2E-2</v>
      </c>
      <c r="O62" s="1363" t="s">
        <v>2230</v>
      </c>
      <c r="P62" s="1364" t="s">
        <v>2231</v>
      </c>
      <c r="Q62" s="1365" t="s">
        <v>2232</v>
      </c>
      <c r="R62" s="1366" t="s">
        <v>2233</v>
      </c>
    </row>
    <row r="63" spans="1:18" s="791" customFormat="1" ht="15.75" thickBot="1">
      <c r="A63" s="345" t="s">
        <v>18</v>
      </c>
      <c r="B63" s="80" t="s">
        <v>2287</v>
      </c>
      <c r="C63" s="15" t="str">
        <f>IF(项目基本情况!B7="自然人","——",ROUND(F63*F64,0))</f>
        <v>——</v>
      </c>
      <c r="D63" s="346" t="s">
        <v>2288</v>
      </c>
      <c r="E63" s="319" t="s">
        <v>2289</v>
      </c>
      <c r="F63" s="347">
        <f t="shared" si="0"/>
        <v>0</v>
      </c>
      <c r="I63" s="2369" t="s">
        <v>2290</v>
      </c>
      <c r="J63" s="1874" t="s">
        <v>2291</v>
      </c>
      <c r="K63" s="1874" t="s">
        <v>2292</v>
      </c>
      <c r="L63" s="1874" t="s">
        <v>2293</v>
      </c>
      <c r="M63" s="1873" t="s">
        <v>2294</v>
      </c>
      <c r="O63" s="1367" t="s">
        <v>958</v>
      </c>
      <c r="P63" s="1368" t="s">
        <v>2234</v>
      </c>
      <c r="Q63" s="1369">
        <f ca="1">C40+J29</f>
        <v>7869744</v>
      </c>
      <c r="R63" s="1370" t="s">
        <v>2235</v>
      </c>
    </row>
    <row r="64" spans="1:18" s="791" customFormat="1" ht="20.25" thickBot="1">
      <c r="A64" s="348"/>
      <c r="B64" s="328"/>
      <c r="C64" s="19"/>
      <c r="D64" s="349"/>
      <c r="E64" s="319" t="s">
        <v>2295</v>
      </c>
      <c r="F64" s="320">
        <f t="shared" si="0"/>
        <v>0</v>
      </c>
      <c r="I64" s="2369" t="s">
        <v>2296</v>
      </c>
      <c r="J64" s="1874">
        <v>70</v>
      </c>
      <c r="K64" s="1874">
        <v>50</v>
      </c>
      <c r="L64" s="1874">
        <v>80</v>
      </c>
      <c r="M64" s="1872">
        <v>0.02</v>
      </c>
      <c r="O64" s="1367" t="s">
        <v>959</v>
      </c>
      <c r="P64" s="1368" t="s">
        <v>2267</v>
      </c>
      <c r="Q64" s="1369">
        <f>L61</f>
        <v>0</v>
      </c>
      <c r="R64" s="1370" t="s">
        <v>2268</v>
      </c>
    </row>
    <row r="65" spans="1:18" s="791" customFormat="1" ht="23.25" thickBot="1">
      <c r="A65" s="337" t="s">
        <v>19</v>
      </c>
      <c r="B65" s="319" t="s">
        <v>2215</v>
      </c>
      <c r="C65" s="14">
        <f ca="1">ROUND(C58*F65,0)</f>
        <v>15884</v>
      </c>
      <c r="D65" s="1893" t="s">
        <v>2216</v>
      </c>
      <c r="E65" s="319" t="s">
        <v>2160</v>
      </c>
      <c r="F65" s="350">
        <f t="shared" si="0"/>
        <v>1.4999999999999999E-2</v>
      </c>
      <c r="I65" s="2369" t="s">
        <v>2297</v>
      </c>
      <c r="J65" s="1874">
        <v>50</v>
      </c>
      <c r="K65" s="1874">
        <v>35</v>
      </c>
      <c r="L65" s="1874">
        <v>60</v>
      </c>
      <c r="M65" s="1873">
        <v>0</v>
      </c>
      <c r="O65" s="1371" t="s">
        <v>960</v>
      </c>
      <c r="P65" s="1368" t="s">
        <v>2271</v>
      </c>
      <c r="Q65" s="1373">
        <f ca="1">L52</f>
        <v>207977352</v>
      </c>
      <c r="R65" s="1374" t="s">
        <v>2298</v>
      </c>
    </row>
    <row r="66" spans="1:18" s="791" customFormat="1" ht="20.25" thickBot="1">
      <c r="A66" s="337" t="s">
        <v>20</v>
      </c>
      <c r="B66" s="319" t="s">
        <v>2175</v>
      </c>
      <c r="C66" s="14">
        <f ca="1">ROUND(C57*F66,0)</f>
        <v>1112</v>
      </c>
      <c r="D66" s="1893" t="s">
        <v>2176</v>
      </c>
      <c r="E66" s="319" t="s">
        <v>2177</v>
      </c>
      <c r="F66" s="351">
        <f t="shared" si="0"/>
        <v>1.5E-3</v>
      </c>
      <c r="I66" s="2369" t="s">
        <v>2299</v>
      </c>
      <c r="J66" s="1874">
        <v>40</v>
      </c>
      <c r="K66" s="1874">
        <v>30</v>
      </c>
      <c r="L66" s="1874">
        <v>50</v>
      </c>
      <c r="M66" s="1872">
        <v>0.02</v>
      </c>
      <c r="O66" s="1371" t="s">
        <v>961</v>
      </c>
      <c r="P66" s="1375" t="s">
        <v>2300</v>
      </c>
      <c r="Q66" s="1369">
        <f ca="1">ROUND(Q67-Q68*Q69,0)</f>
        <v>126528</v>
      </c>
      <c r="R66" s="1370"/>
    </row>
    <row r="67" spans="1:18" s="791" customFormat="1" ht="15.75" thickBot="1">
      <c r="A67" s="337" t="s">
        <v>21</v>
      </c>
      <c r="B67" s="319" t="s">
        <v>2158</v>
      </c>
      <c r="C67" s="14">
        <f ca="1">ROUND(C49*F67,0)</f>
        <v>0</v>
      </c>
      <c r="D67" s="1893" t="s">
        <v>2181</v>
      </c>
      <c r="E67" s="319" t="s">
        <v>2177</v>
      </c>
      <c r="F67" s="329">
        <f t="shared" si="0"/>
        <v>0.01</v>
      </c>
      <c r="O67" s="1371" t="s">
        <v>966</v>
      </c>
      <c r="P67" s="1375" t="s">
        <v>2301</v>
      </c>
      <c r="Q67" s="1369">
        <f ca="1">C39</f>
        <v>171003</v>
      </c>
      <c r="R67" s="1370" t="s">
        <v>2235</v>
      </c>
    </row>
    <row r="68" spans="1:18" ht="15.75" thickBot="1">
      <c r="A68" s="332" t="s">
        <v>22</v>
      </c>
      <c r="B68" s="89" t="s">
        <v>2185</v>
      </c>
      <c r="C68" s="334">
        <f ca="1">C49-C59</f>
        <v>-16996</v>
      </c>
      <c r="D68" s="1888" t="s">
        <v>2186</v>
      </c>
      <c r="E68" s="1892"/>
      <c r="F68" s="353"/>
      <c r="H68" s="791"/>
      <c r="I68" s="791"/>
      <c r="J68" s="791"/>
      <c r="K68" s="791"/>
      <c r="L68" s="791"/>
      <c r="M68" s="791"/>
      <c r="O68" s="1371" t="s">
        <v>967</v>
      </c>
      <c r="P68" s="1375" t="s">
        <v>2302</v>
      </c>
      <c r="Q68" s="1369">
        <f ca="1">C13</f>
        <v>741244</v>
      </c>
      <c r="R68" s="1370" t="s">
        <v>2235</v>
      </c>
    </row>
    <row r="69" spans="1:18" ht="15.75" thickBot="1">
      <c r="A69" s="316" t="s">
        <v>23</v>
      </c>
      <c r="B69" s="317" t="s">
        <v>2223</v>
      </c>
      <c r="C69" s="318">
        <f ca="1">ROUND(C68*(1-((1+F71)/(1+F69))^F70)/(F69-F71),0)</f>
        <v>-409830</v>
      </c>
      <c r="D69" s="346" t="s">
        <v>2191</v>
      </c>
      <c r="E69" s="319" t="s">
        <v>2192</v>
      </c>
      <c r="F69" s="329">
        <f>F40</f>
        <v>3.5000000000000003E-2</v>
      </c>
      <c r="H69" s="791"/>
      <c r="I69" s="791"/>
      <c r="J69" s="791"/>
      <c r="K69" s="791"/>
      <c r="L69" s="791"/>
      <c r="M69" s="791"/>
      <c r="O69" s="1371" t="s">
        <v>968</v>
      </c>
      <c r="P69" s="1375" t="s">
        <v>2303</v>
      </c>
      <c r="Q69" s="1372">
        <f>J35</f>
        <v>0.06</v>
      </c>
      <c r="R69" s="1370"/>
    </row>
    <row r="70" spans="1:18" ht="15.75" thickBot="1">
      <c r="A70" s="321"/>
      <c r="B70" s="322"/>
      <c r="C70" s="323"/>
      <c r="D70" s="354" t="s">
        <v>2225</v>
      </c>
      <c r="E70" s="319" t="s">
        <v>2197</v>
      </c>
      <c r="F70" s="355">
        <f>F41</f>
        <v>54</v>
      </c>
      <c r="H70" s="791"/>
      <c r="I70" s="791"/>
      <c r="J70" s="791"/>
      <c r="K70" s="791"/>
      <c r="L70" s="791"/>
      <c r="M70" s="791"/>
      <c r="O70" s="1371" t="s">
        <v>962</v>
      </c>
      <c r="P70" s="1368" t="s">
        <v>2274</v>
      </c>
      <c r="Q70" s="1372">
        <f>L53</f>
        <v>0</v>
      </c>
      <c r="R70" s="1370"/>
    </row>
    <row r="71" spans="1:18" ht="20.25" thickBot="1">
      <c r="A71" s="325"/>
      <c r="B71" s="326"/>
      <c r="C71" s="327"/>
      <c r="D71" s="349"/>
      <c r="E71" s="319" t="s">
        <v>2201</v>
      </c>
      <c r="F71" s="1356"/>
      <c r="H71" s="791"/>
      <c r="M71" s="791"/>
      <c r="O71" s="1371" t="s">
        <v>963</v>
      </c>
      <c r="P71" s="1368" t="s">
        <v>2277</v>
      </c>
      <c r="Q71" s="1369" t="e">
        <f>L59</f>
        <v>#DIV/0!</v>
      </c>
      <c r="R71" s="1370" t="s">
        <v>2278</v>
      </c>
    </row>
    <row r="72" spans="1:18" ht="15.75" thickBot="1">
      <c r="A72" s="356" t="s">
        <v>24</v>
      </c>
      <c r="B72" s="357" t="s">
        <v>2226</v>
      </c>
      <c r="C72" s="358">
        <f ca="1">ROUND(C69/F72,0)</f>
        <v>-1837</v>
      </c>
      <c r="D72" s="359" t="s">
        <v>2227</v>
      </c>
      <c r="E72" s="360" t="s">
        <v>2228</v>
      </c>
      <c r="F72" s="361">
        <f>F43</f>
        <v>223.09</v>
      </c>
      <c r="O72" s="1371" t="s">
        <v>969</v>
      </c>
      <c r="P72" s="1368" t="str">
        <f>K60</f>
        <v>建设期及建筑物耐用年限下的土地年期修正系数Kn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7869744</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Z24" sqref="Z2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13" t="s">
        <v>1025</v>
      </c>
      <c r="B1" s="3014"/>
      <c r="C1" s="3015"/>
      <c r="D1" s="3016">
        <f>SUM(I10,I15,I20,I21,I23)</f>
        <v>0</v>
      </c>
      <c r="E1" s="3016"/>
      <c r="F1" s="3016"/>
      <c r="G1" s="3016"/>
      <c r="H1" s="3016"/>
      <c r="I1" s="3017"/>
    </row>
    <row r="2" spans="1:9">
      <c r="A2" s="3003" t="s">
        <v>1026</v>
      </c>
      <c r="B2" s="3004" t="s">
        <v>975</v>
      </c>
      <c r="C2" s="3004"/>
      <c r="D2" s="1389" t="s">
        <v>976</v>
      </c>
      <c r="E2" s="1389" t="s">
        <v>977</v>
      </c>
      <c r="F2" s="1389" t="s">
        <v>978</v>
      </c>
      <c r="G2" s="1389" t="s">
        <v>979</v>
      </c>
      <c r="H2" s="1389" t="s">
        <v>980</v>
      </c>
      <c r="I2" s="1390" t="s">
        <v>981</v>
      </c>
    </row>
    <row r="3" spans="1:9">
      <c r="A3" s="3003"/>
      <c r="B3" s="3004" t="s">
        <v>982</v>
      </c>
      <c r="C3" s="3004"/>
      <c r="D3" s="1391"/>
      <c r="E3" s="1389"/>
      <c r="F3" s="1392"/>
      <c r="G3" s="1392"/>
      <c r="H3" s="1393"/>
      <c r="I3" s="1394">
        <f>ROUND(D3*E3*F3*G3*H3/10000,0)</f>
        <v>0</v>
      </c>
    </row>
    <row r="4" spans="1:9">
      <c r="A4" s="3003"/>
      <c r="B4" s="3004" t="s">
        <v>983</v>
      </c>
      <c r="C4" s="3004"/>
      <c r="D4" s="1391"/>
      <c r="E4" s="1389"/>
      <c r="F4" s="1392"/>
      <c r="G4" s="1392"/>
      <c r="H4" s="1393"/>
      <c r="I4" s="1394">
        <f t="shared" ref="I4:I9" si="0">ROUND(D4*E4*F4*G4*H4/10000,0)</f>
        <v>0</v>
      </c>
    </row>
    <row r="5" spans="1:9">
      <c r="A5" s="3003"/>
      <c r="B5" s="3004" t="s">
        <v>984</v>
      </c>
      <c r="C5" s="3004"/>
      <c r="D5" s="1391"/>
      <c r="E5" s="1389"/>
      <c r="F5" s="1392"/>
      <c r="G5" s="1392"/>
      <c r="H5" s="1393"/>
      <c r="I5" s="1394">
        <f t="shared" si="0"/>
        <v>0</v>
      </c>
    </row>
    <row r="6" spans="1:9">
      <c r="A6" s="3003"/>
      <c r="B6" s="3004" t="s">
        <v>985</v>
      </c>
      <c r="C6" s="3004"/>
      <c r="D6" s="1391"/>
      <c r="E6" s="1389"/>
      <c r="F6" s="1392"/>
      <c r="G6" s="1392"/>
      <c r="H6" s="1393"/>
      <c r="I6" s="1394">
        <f t="shared" si="0"/>
        <v>0</v>
      </c>
    </row>
    <row r="7" spans="1:9">
      <c r="A7" s="3003"/>
      <c r="B7" s="3004" t="s">
        <v>986</v>
      </c>
      <c r="C7" s="3004"/>
      <c r="D7" s="1391"/>
      <c r="E7" s="1389"/>
      <c r="F7" s="1392"/>
      <c r="G7" s="1392"/>
      <c r="H7" s="1393"/>
      <c r="I7" s="1394">
        <f t="shared" si="0"/>
        <v>0</v>
      </c>
    </row>
    <row r="8" spans="1:9">
      <c r="A8" s="3003"/>
      <c r="B8" s="3004" t="s">
        <v>987</v>
      </c>
      <c r="C8" s="3004"/>
      <c r="D8" s="1391"/>
      <c r="E8" s="1389"/>
      <c r="F8" s="1392"/>
      <c r="G8" s="1392"/>
      <c r="H8" s="1393"/>
      <c r="I8" s="1394">
        <f t="shared" si="0"/>
        <v>0</v>
      </c>
    </row>
    <row r="9" spans="1:9">
      <c r="A9" s="3003"/>
      <c r="B9" s="3004" t="s">
        <v>988</v>
      </c>
      <c r="C9" s="3004"/>
      <c r="D9" s="1391"/>
      <c r="E9" s="1389"/>
      <c r="F9" s="1392"/>
      <c r="G9" s="1392"/>
      <c r="H9" s="1393"/>
      <c r="I9" s="1394">
        <f t="shared" si="0"/>
        <v>0</v>
      </c>
    </row>
    <row r="10" spans="1:9">
      <c r="A10" s="3003"/>
      <c r="B10" s="3005" t="s">
        <v>989</v>
      </c>
      <c r="C10" s="3005"/>
      <c r="D10" s="1395">
        <v>527</v>
      </c>
      <c r="E10" s="1395" t="e">
        <f>ROUND(D1*10000/D10/H9,0)</f>
        <v>#DIV/0!</v>
      </c>
      <c r="F10" s="1396"/>
      <c r="G10" s="1396"/>
      <c r="H10" s="1397"/>
      <c r="I10" s="1398">
        <f>SUM(I3:I9)</f>
        <v>0</v>
      </c>
    </row>
    <row r="11" spans="1:9" ht="14.25">
      <c r="A11" s="3003" t="s">
        <v>1027</v>
      </c>
      <c r="B11" s="3004" t="s">
        <v>990</v>
      </c>
      <c r="C11" s="3004"/>
      <c r="D11" s="1391" t="s">
        <v>991</v>
      </c>
      <c r="E11" s="1391" t="s">
        <v>992</v>
      </c>
      <c r="F11" s="1392" t="s">
        <v>993</v>
      </c>
      <c r="G11" s="1392" t="s">
        <v>980</v>
      </c>
      <c r="H11" s="1399" t="s">
        <v>994</v>
      </c>
      <c r="I11" s="1390" t="s">
        <v>981</v>
      </c>
    </row>
    <row r="12" spans="1:9">
      <c r="A12" s="3003"/>
      <c r="B12" s="3004" t="s">
        <v>995</v>
      </c>
      <c r="C12" s="3004"/>
      <c r="D12" s="1391"/>
      <c r="E12" s="1391"/>
      <c r="F12" s="1392"/>
      <c r="G12" s="1393"/>
      <c r="H12" s="1400"/>
      <c r="I12" s="1390">
        <f>ROUND(D12*E12*F12*G12/10000,0)</f>
        <v>0</v>
      </c>
    </row>
    <row r="13" spans="1:9">
      <c r="A13" s="3003"/>
      <c r="B13" s="3004" t="s">
        <v>996</v>
      </c>
      <c r="C13" s="3004"/>
      <c r="D13" s="1391"/>
      <c r="E13" s="1391"/>
      <c r="F13" s="1392"/>
      <c r="G13" s="1393"/>
      <c r="H13" s="1400"/>
      <c r="I13" s="1390">
        <f>ROUND(D13*E13*F13*G13/10000,0)</f>
        <v>0</v>
      </c>
    </row>
    <row r="14" spans="1:9">
      <c r="A14" s="3003"/>
      <c r="B14" s="3004" t="s">
        <v>997</v>
      </c>
      <c r="C14" s="3004"/>
      <c r="D14" s="1391"/>
      <c r="E14" s="1391"/>
      <c r="F14" s="1392"/>
      <c r="G14" s="1393"/>
      <c r="H14" s="1400"/>
      <c r="I14" s="1390">
        <f>ROUND(D14*E14*F14*G14/10000,0)</f>
        <v>0</v>
      </c>
    </row>
    <row r="15" spans="1:9">
      <c r="A15" s="3003"/>
      <c r="B15" s="3005" t="s">
        <v>989</v>
      </c>
      <c r="C15" s="3005"/>
      <c r="D15" s="1395"/>
      <c r="E15" s="1395">
        <f>SUM(E12:E14)</f>
        <v>0</v>
      </c>
      <c r="F15" s="1396"/>
      <c r="G15" s="1393"/>
      <c r="H15" s="1400"/>
      <c r="I15" s="1401">
        <f>SUM(I12:I14)</f>
        <v>0</v>
      </c>
    </row>
    <row r="16" spans="1:9" ht="24">
      <c r="A16" s="3003" t="s">
        <v>1028</v>
      </c>
      <c r="B16" s="3004" t="s">
        <v>998</v>
      </c>
      <c r="C16" s="3004"/>
      <c r="D16" s="1391" t="s">
        <v>976</v>
      </c>
      <c r="E16" s="1402" t="s">
        <v>999</v>
      </c>
      <c r="F16" s="1392" t="s">
        <v>1000</v>
      </c>
      <c r="G16" s="1393" t="s">
        <v>980</v>
      </c>
      <c r="H16" s="1399" t="s">
        <v>994</v>
      </c>
      <c r="I16" s="1390" t="s">
        <v>981</v>
      </c>
    </row>
    <row r="17" spans="1:9" ht="14.25">
      <c r="A17" s="3003"/>
      <c r="B17" s="3004" t="s">
        <v>1001</v>
      </c>
      <c r="C17" s="3004"/>
      <c r="D17" s="1391"/>
      <c r="E17" s="1391"/>
      <c r="F17" s="1392"/>
      <c r="G17" s="1393"/>
      <c r="H17" s="1403"/>
      <c r="I17" s="1404">
        <f>ROUND(D17*E17*F17*G17/10000,0)</f>
        <v>0</v>
      </c>
    </row>
    <row r="18" spans="1:9" ht="14.25">
      <c r="A18" s="3003"/>
      <c r="B18" s="3004" t="s">
        <v>1002</v>
      </c>
      <c r="C18" s="3004"/>
      <c r="D18" s="1391"/>
      <c r="E18" s="1391"/>
      <c r="F18" s="1392"/>
      <c r="G18" s="1393"/>
      <c r="H18" s="1403"/>
      <c r="I18" s="1404">
        <f>ROUND(D18*E18*F18*G18/10000,0)</f>
        <v>0</v>
      </c>
    </row>
    <row r="19" spans="1:9" ht="14.25">
      <c r="A19" s="3003"/>
      <c r="B19" s="3004" t="s">
        <v>1003</v>
      </c>
      <c r="C19" s="3004"/>
      <c r="D19" s="1391"/>
      <c r="E19" s="1391"/>
      <c r="F19" s="1392"/>
      <c r="G19" s="1393"/>
      <c r="H19" s="1403"/>
      <c r="I19" s="1404">
        <f>ROUND(D19*E19*F19*G19/10000,0)</f>
        <v>0</v>
      </c>
    </row>
    <row r="20" spans="1:9">
      <c r="A20" s="3003"/>
      <c r="B20" s="3005" t="s">
        <v>989</v>
      </c>
      <c r="C20" s="3005"/>
      <c r="D20" s="1395">
        <f>SUM(D17:D19)</f>
        <v>0</v>
      </c>
      <c r="E20" s="1395"/>
      <c r="F20" s="1396"/>
      <c r="G20" s="1393"/>
      <c r="H20" s="1400"/>
      <c r="I20" s="1401">
        <f>SUM(I17:I19)</f>
        <v>0</v>
      </c>
    </row>
    <row r="21" spans="1:9">
      <c r="A21" s="3003" t="s">
        <v>1029</v>
      </c>
      <c r="B21" s="3006"/>
      <c r="C21" s="3006"/>
      <c r="D21" s="3006"/>
      <c r="E21" s="3006"/>
      <c r="F21" s="3006"/>
      <c r="G21" s="3006"/>
      <c r="H21" s="1405">
        <v>0.1</v>
      </c>
      <c r="I21" s="1398">
        <f>ROUND(I10*H21,0)</f>
        <v>0</v>
      </c>
    </row>
    <row r="22" spans="1:9" ht="14.25">
      <c r="A22" s="3007" t="s">
        <v>1030</v>
      </c>
      <c r="B22" s="3008"/>
      <c r="C22" s="3009"/>
      <c r="D22" s="1406" t="s">
        <v>1004</v>
      </c>
      <c r="E22" s="1406" t="s">
        <v>1005</v>
      </c>
      <c r="F22" s="1407" t="s">
        <v>980</v>
      </c>
      <c r="G22" s="1407" t="s">
        <v>1006</v>
      </c>
      <c r="H22" s="1399" t="s">
        <v>994</v>
      </c>
      <c r="I22" s="1390" t="s">
        <v>981</v>
      </c>
    </row>
    <row r="23" spans="1:9" ht="14.25" thickBot="1">
      <c r="A23" s="3010"/>
      <c r="B23" s="3011"/>
      <c r="C23" s="3012"/>
      <c r="D23" s="1408"/>
      <c r="E23" s="1408"/>
      <c r="F23" s="1408"/>
      <c r="G23" s="1409"/>
      <c r="H23" s="1410"/>
      <c r="I23" s="1411">
        <f>ROUND(E23*D23*F23*(1-G23)/10000,0)</f>
        <v>0</v>
      </c>
    </row>
    <row r="26" spans="1:9">
      <c r="A26" s="1412" t="s">
        <v>1007</v>
      </c>
      <c r="B26" s="1412"/>
      <c r="C26" s="1412"/>
      <c r="D26" s="1412"/>
      <c r="E26" s="3000">
        <f>C27-C30-C31-C32</f>
        <v>0</v>
      </c>
      <c r="F26" s="3000"/>
      <c r="G26" s="3000"/>
      <c r="H26" s="1829" t="s">
        <v>1220</v>
      </c>
    </row>
    <row r="27" spans="1:9">
      <c r="A27" s="1413">
        <v>1</v>
      </c>
      <c r="B27" s="1414" t="s">
        <v>1008</v>
      </c>
      <c r="C27" s="1414">
        <f>C28+C29</f>
        <v>0</v>
      </c>
      <c r="D27" s="1414"/>
      <c r="E27" s="3001"/>
      <c r="F27" s="3001"/>
      <c r="G27" s="3001"/>
    </row>
    <row r="28" spans="1:9">
      <c r="A28" s="1415" t="s">
        <v>1009</v>
      </c>
      <c r="B28" s="1414" t="s">
        <v>1010</v>
      </c>
      <c r="C28" s="1414"/>
      <c r="D28" s="1414"/>
      <c r="E28" s="3001"/>
      <c r="F28" s="3001"/>
      <c r="G28" s="3001"/>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02"/>
      <c r="F32" s="3002"/>
      <c r="G32" s="3002"/>
    </row>
    <row r="33" spans="1:7" hidden="1">
      <c r="A33" s="2997" t="s">
        <v>1019</v>
      </c>
      <c r="B33" s="2998"/>
      <c r="C33" s="2998"/>
      <c r="D33" s="2999"/>
      <c r="E33" s="3000"/>
      <c r="F33" s="3000"/>
      <c r="G33" s="3000"/>
    </row>
    <row r="34" spans="1:7" hidden="1">
      <c r="A34" s="1417">
        <v>1</v>
      </c>
      <c r="B34" s="1414" t="s">
        <v>1020</v>
      </c>
      <c r="C34" s="1414"/>
      <c r="D34" s="1414"/>
      <c r="E34" s="3001"/>
      <c r="F34" s="3001"/>
      <c r="G34" s="3001"/>
    </row>
    <row r="35" spans="1:7" hidden="1">
      <c r="A35" s="1417">
        <v>2</v>
      </c>
      <c r="B35" s="1414" t="s">
        <v>1021</v>
      </c>
      <c r="C35" s="1414"/>
      <c r="D35" s="1414"/>
      <c r="E35" s="3001"/>
      <c r="F35" s="3001"/>
      <c r="G35" s="3001"/>
    </row>
    <row r="36" spans="1:7" hidden="1">
      <c r="A36" s="1417">
        <v>3</v>
      </c>
      <c r="B36" s="1414" t="s">
        <v>1022</v>
      </c>
      <c r="C36" s="1414"/>
      <c r="D36" s="1414"/>
      <c r="E36" s="3001"/>
      <c r="F36" s="3001"/>
      <c r="G36" s="3001"/>
    </row>
    <row r="37" spans="1:7" hidden="1">
      <c r="A37" s="1417">
        <v>4</v>
      </c>
      <c r="B37" s="1414" t="s">
        <v>1023</v>
      </c>
      <c r="C37" s="1414"/>
      <c r="D37" s="1414"/>
      <c r="E37" s="3001"/>
      <c r="F37" s="3001"/>
      <c r="G37" s="3001"/>
    </row>
    <row r="38" spans="1:7" hidden="1">
      <c r="A38" s="2997" t="s">
        <v>1024</v>
      </c>
      <c r="B38" s="2998"/>
      <c r="C38" s="2998"/>
      <c r="D38" s="2999"/>
      <c r="E38" s="3000"/>
      <c r="F38" s="3000"/>
      <c r="G38" s="300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3021" t="s">
        <v>2309</v>
      </c>
      <c r="D4" s="3022"/>
      <c r="E4" s="3022"/>
      <c r="F4" s="3022"/>
      <c r="G4" s="3022"/>
      <c r="H4" s="3022"/>
      <c r="I4" s="3022"/>
      <c r="J4" s="3022"/>
      <c r="K4" s="3022"/>
      <c r="L4" s="3022"/>
      <c r="M4" s="3022"/>
      <c r="N4" s="3022"/>
      <c r="O4" s="3022"/>
      <c r="P4" s="3022"/>
      <c r="Q4" s="3022"/>
      <c r="R4" s="3022"/>
      <c r="S4" s="3023"/>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0</v>
      </c>
      <c r="C25" s="3018" t="s">
        <v>45</v>
      </c>
      <c r="D25" s="3019"/>
      <c r="E25" s="3019"/>
      <c r="F25" s="3019"/>
      <c r="G25" s="3019"/>
      <c r="H25" s="3019"/>
      <c r="I25" s="3019"/>
      <c r="J25" s="3019"/>
      <c r="K25" s="3019"/>
      <c r="L25" s="3019"/>
      <c r="M25" s="3019"/>
      <c r="N25" s="3019"/>
      <c r="O25" s="3019"/>
      <c r="P25" s="3019"/>
      <c r="Q25" s="302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3" zoomScale="90" zoomScaleNormal="90" workbookViewId="0">
      <selection activeCell="E103" sqref="E10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2828</v>
      </c>
      <c r="D1" s="2382"/>
      <c r="E1" s="2383" t="s">
        <v>2829</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9272067</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2009</v>
      </c>
      <c r="B3" s="378">
        <f>ROUND(IF(D2="——",C49,IF(C2="万元",B2*10000/D3,B2/D3)),0)</f>
        <v>41562</v>
      </c>
      <c r="C3" s="379" t="s">
        <v>2341</v>
      </c>
      <c r="D3" s="378">
        <f>IF(C1="仅计算典型户型",'数据-取费表'!E5,'数据-取费表'!B5)</f>
        <v>223.09</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057" t="s">
        <v>2343</v>
      </c>
      <c r="D4" s="3058"/>
      <c r="E4" s="3059" t="s">
        <v>2344</v>
      </c>
      <c r="F4" s="3060"/>
      <c r="G4" s="3057" t="s">
        <v>2345</v>
      </c>
      <c r="H4" s="3058"/>
      <c r="I4" s="3057" t="s">
        <v>2346</v>
      </c>
      <c r="J4" s="3058"/>
      <c r="K4" s="2396" t="s">
        <v>2347</v>
      </c>
      <c r="L4" s="1243"/>
      <c r="M4" s="1244"/>
      <c r="N4" s="1244"/>
      <c r="O4" s="1244"/>
      <c r="P4" s="3061" t="s">
        <v>2348</v>
      </c>
      <c r="Q4" s="3062"/>
      <c r="R4" s="3046" t="s">
        <v>2344</v>
      </c>
      <c r="S4" s="3047"/>
      <c r="T4" s="3046" t="s">
        <v>2345</v>
      </c>
      <c r="U4" s="3047"/>
      <c r="V4" s="3067" t="s">
        <v>2346</v>
      </c>
      <c r="W4" s="3067"/>
      <c r="X4" s="1900"/>
      <c r="Y4" s="3046" t="s">
        <v>2348</v>
      </c>
      <c r="Z4" s="3047"/>
      <c r="AA4" s="3054" t="s">
        <v>2344</v>
      </c>
      <c r="AB4" s="3054" t="s">
        <v>2345</v>
      </c>
      <c r="AC4" s="3054" t="s">
        <v>2346</v>
      </c>
    </row>
    <row r="5" spans="1:29" ht="15">
      <c r="A5" s="383"/>
      <c r="B5" s="384"/>
      <c r="C5" s="3119" t="s">
        <v>2885</v>
      </c>
      <c r="D5" s="3043"/>
      <c r="E5" s="3120" t="s">
        <v>2886</v>
      </c>
      <c r="F5" s="3069"/>
      <c r="G5" s="3119" t="s">
        <v>2887</v>
      </c>
      <c r="H5" s="3043"/>
      <c r="I5" s="3119" t="s">
        <v>2887</v>
      </c>
      <c r="J5" s="3043"/>
      <c r="K5" s="2397"/>
      <c r="L5" s="1243"/>
      <c r="M5" s="1244"/>
      <c r="N5" s="1244"/>
      <c r="O5" s="1244"/>
      <c r="P5" s="3063"/>
      <c r="Q5" s="3064"/>
      <c r="R5" s="3048"/>
      <c r="S5" s="3049"/>
      <c r="T5" s="3048"/>
      <c r="U5" s="3049"/>
      <c r="V5" s="3067"/>
      <c r="W5" s="3067"/>
      <c r="X5" s="1900"/>
      <c r="Y5" s="3048"/>
      <c r="Z5" s="3049"/>
      <c r="AA5" s="3055"/>
      <c r="AB5" s="3055"/>
      <c r="AC5" s="3055"/>
    </row>
    <row r="6" spans="1:29" ht="15.75" thickBot="1">
      <c r="A6" s="385"/>
      <c r="B6" s="386"/>
      <c r="C6" s="3040" t="str">
        <f>项目基本情况!C8</f>
        <v>北京市朝阳区外交部南街8号（北座）07A号）房屋及地下一层31号车位</v>
      </c>
      <c r="D6" s="3041"/>
      <c r="E6" s="3070" t="s">
        <v>2353</v>
      </c>
      <c r="F6" s="3071"/>
      <c r="G6" s="3040" t="s">
        <v>2353</v>
      </c>
      <c r="H6" s="3041"/>
      <c r="I6" s="3040" t="s">
        <v>2353</v>
      </c>
      <c r="J6" s="3041"/>
      <c r="K6" s="2397" t="s">
        <v>2354</v>
      </c>
      <c r="L6" s="1243"/>
      <c r="M6" s="1244"/>
      <c r="N6" s="1244"/>
      <c r="O6" s="1244"/>
      <c r="P6" s="3065"/>
      <c r="Q6" s="3066"/>
      <c r="R6" s="3048"/>
      <c r="S6" s="3049"/>
      <c r="T6" s="3050"/>
      <c r="U6" s="3051"/>
      <c r="V6" s="3067"/>
      <c r="W6" s="3067"/>
      <c r="X6" s="1900"/>
      <c r="Y6" s="3050"/>
      <c r="Z6" s="3051"/>
      <c r="AA6" s="3056"/>
      <c r="AB6" s="3056"/>
      <c r="AC6" s="3056"/>
    </row>
    <row r="7" spans="1:29" s="35" customFormat="1" ht="15.75" thickBot="1">
      <c r="A7" s="387" t="s">
        <v>2355</v>
      </c>
      <c r="B7" s="388"/>
      <c r="C7" s="389">
        <f>'数据-取费表'!B2</f>
        <v>41962</v>
      </c>
      <c r="D7" s="390">
        <v>100</v>
      </c>
      <c r="E7" s="391">
        <v>41737</v>
      </c>
      <c r="F7" s="392">
        <f>SUMIF(58:58,YEAR(E7)&amp;"-"&amp;MONTH(E7),59:59)</f>
        <v>97</v>
      </c>
      <c r="G7" s="391">
        <v>41919</v>
      </c>
      <c r="H7" s="390">
        <f>SUMIF(58:58,YEAR(G7)&amp;"-"&amp;MONTH(G7),59:59)</f>
        <v>100</v>
      </c>
      <c r="I7" s="391">
        <v>41902</v>
      </c>
      <c r="J7" s="390">
        <f>SUMIF(58:58,YEAR(I7)&amp;"-"&amp;MONTH(I7),59:59)</f>
        <v>98.5</v>
      </c>
      <c r="K7" s="2398"/>
      <c r="L7" s="1245"/>
      <c r="M7" s="1246"/>
      <c r="N7" s="1246"/>
      <c r="O7" s="1246"/>
      <c r="P7" s="3044" t="s">
        <v>2356</v>
      </c>
      <c r="Q7" s="3052"/>
      <c r="R7" s="749" t="s">
        <v>34</v>
      </c>
      <c r="S7" s="750">
        <f t="shared" ref="S7:S15" si="0">F7</f>
        <v>97</v>
      </c>
      <c r="T7" s="749" t="s">
        <v>34</v>
      </c>
      <c r="U7" s="750">
        <f t="shared" ref="U7:U15" si="1">H7</f>
        <v>100</v>
      </c>
      <c r="V7" s="749" t="s">
        <v>34</v>
      </c>
      <c r="W7" s="750">
        <f t="shared" ref="W7:W15" si="2">J7</f>
        <v>98.5</v>
      </c>
      <c r="X7" s="751"/>
      <c r="Y7" s="3044" t="s">
        <v>2356</v>
      </c>
      <c r="Z7" s="3045"/>
      <c r="AA7" s="752">
        <f>D7/F7</f>
        <v>1.0309278350515463</v>
      </c>
      <c r="AB7" s="752">
        <f>D7/H7</f>
        <v>1</v>
      </c>
      <c r="AC7" s="752">
        <f>D7/J7</f>
        <v>1.015228426395939</v>
      </c>
    </row>
    <row r="8" spans="1:29" s="35" customFormat="1" ht="15.75" thickBot="1">
      <c r="A8" s="387" t="s">
        <v>2357</v>
      </c>
      <c r="B8" s="388"/>
      <c r="C8" s="394" t="s">
        <v>2358</v>
      </c>
      <c r="D8" s="390">
        <v>100</v>
      </c>
      <c r="E8" s="2399" t="s">
        <v>2830</v>
      </c>
      <c r="F8" s="392">
        <f>SUMIF(61:61,E8,62:62)-SUMIF(61:61,C8,62:62)+100</f>
        <v>100</v>
      </c>
      <c r="G8" s="394" t="s">
        <v>2830</v>
      </c>
      <c r="H8" s="390">
        <f>SUMIF(61:61,G8,62:62)-SUMIF(61:61,C8,62:62)+100</f>
        <v>100</v>
      </c>
      <c r="I8" s="2399" t="s">
        <v>2830</v>
      </c>
      <c r="J8" s="390">
        <f>SUMIF(61:61,I8,62:62)-SUMIF(61:61,C8,62:62)+100</f>
        <v>100</v>
      </c>
      <c r="K8" s="2398"/>
      <c r="L8" s="1245"/>
      <c r="M8" s="1246"/>
      <c r="N8" s="1246"/>
      <c r="O8" s="1246"/>
      <c r="P8" s="3044" t="s">
        <v>2359</v>
      </c>
      <c r="Q8" s="3045"/>
      <c r="R8" s="749" t="s">
        <v>34</v>
      </c>
      <c r="S8" s="750">
        <f t="shared" si="0"/>
        <v>100</v>
      </c>
      <c r="T8" s="749" t="s">
        <v>34</v>
      </c>
      <c r="U8" s="750">
        <f t="shared" si="1"/>
        <v>100</v>
      </c>
      <c r="V8" s="749" t="s">
        <v>34</v>
      </c>
      <c r="W8" s="750">
        <f t="shared" si="2"/>
        <v>100</v>
      </c>
      <c r="X8" s="751"/>
      <c r="Y8" s="3044" t="s">
        <v>2359</v>
      </c>
      <c r="Z8" s="3045"/>
      <c r="AA8" s="752">
        <f t="shared" ref="AA8:AA46" si="3">D8/F8</f>
        <v>1</v>
      </c>
      <c r="AB8" s="752">
        <f t="shared" ref="AB8:AB46" si="4">D8/H8</f>
        <v>1</v>
      </c>
      <c r="AC8" s="752">
        <f t="shared" ref="AC8:AC46" si="5">D8/J8</f>
        <v>1</v>
      </c>
    </row>
    <row r="9" spans="1:29" s="35" customFormat="1">
      <c r="A9" s="395" t="s">
        <v>2360</v>
      </c>
      <c r="B9" s="28" t="s">
        <v>2361</v>
      </c>
      <c r="C9" s="2734" t="s">
        <v>2832</v>
      </c>
      <c r="D9" s="51">
        <v>100</v>
      </c>
      <c r="E9" s="397" t="s">
        <v>2831</v>
      </c>
      <c r="F9" s="398">
        <f>SUMIF(63:63,E9,64:64)-SUMIF(63:63,C9,64:64)+100</f>
        <v>100</v>
      </c>
      <c r="G9" s="399" t="s">
        <v>2831</v>
      </c>
      <c r="H9" s="51">
        <f>SUMIF(63:63,G9,64:64)-SUMIF(63:63,C9,64:64)+100</f>
        <v>100</v>
      </c>
      <c r="I9" s="399" t="s">
        <v>2831</v>
      </c>
      <c r="J9" s="51">
        <f>SUMIF(63:63,I9,64:64)-SUMIF(63:63,C9,64:64)+100</f>
        <v>100</v>
      </c>
      <c r="K9" s="2398"/>
      <c r="L9" s="1245"/>
      <c r="M9" s="1246"/>
      <c r="N9" s="1246"/>
      <c r="O9" s="1246"/>
      <c r="P9" s="3053" t="s">
        <v>2362</v>
      </c>
      <c r="Q9" s="1887"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29" s="407" customFormat="1" ht="27">
      <c r="A10" s="401"/>
      <c r="B10" s="402" t="s">
        <v>2364</v>
      </c>
      <c r="C10" s="403" t="s">
        <v>2833</v>
      </c>
      <c r="D10" s="52">
        <v>100</v>
      </c>
      <c r="E10" s="404" t="s">
        <v>2833</v>
      </c>
      <c r="F10" s="405">
        <f>SUMIF(65:65,E10,66:66)-SUMIF(65:65,C10,66:66)+100</f>
        <v>100</v>
      </c>
      <c r="G10" s="403" t="s">
        <v>2833</v>
      </c>
      <c r="H10" s="52">
        <f>SUMIF(65:65,G10,66:66)-SUMIF(65:65,C10,66:66)+100</f>
        <v>100</v>
      </c>
      <c r="I10" s="403" t="s">
        <v>2833</v>
      </c>
      <c r="J10" s="52">
        <f>SUMIF(65:65,I10,66:66)-SUMIF(65:65,C10,66:66)+100</f>
        <v>100</v>
      </c>
      <c r="K10" s="406"/>
      <c r="L10" s="1248"/>
      <c r="M10" s="1249"/>
      <c r="N10" s="1249"/>
      <c r="O10" s="1249"/>
      <c r="P10" s="3053"/>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75" thickBot="1">
      <c r="A11" s="408"/>
      <c r="B11" s="402" t="s">
        <v>2365</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53"/>
      <c r="Q11" s="1887" t="str">
        <f t="shared" si="6"/>
        <v>容积率</v>
      </c>
      <c r="R11" s="749" t="s">
        <v>28</v>
      </c>
      <c r="S11" s="750">
        <f t="shared" si="0"/>
        <v>100</v>
      </c>
      <c r="T11" s="749" t="s">
        <v>28</v>
      </c>
      <c r="U11" s="750">
        <f t="shared" si="1"/>
        <v>100</v>
      </c>
      <c r="V11" s="749" t="s">
        <v>28</v>
      </c>
      <c r="W11" s="750">
        <f t="shared" si="2"/>
        <v>100</v>
      </c>
      <c r="X11" s="751"/>
      <c r="Y11" s="2856"/>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53"/>
      <c r="Q12" s="1887">
        <f t="shared" si="6"/>
        <v>111</v>
      </c>
      <c r="R12" s="749" t="s">
        <v>28</v>
      </c>
      <c r="S12" s="750">
        <f t="shared" si="0"/>
        <v>100</v>
      </c>
      <c r="T12" s="749" t="s">
        <v>28</v>
      </c>
      <c r="U12" s="750">
        <f t="shared" si="1"/>
        <v>100</v>
      </c>
      <c r="V12" s="749" t="s">
        <v>28</v>
      </c>
      <c r="W12" s="750">
        <f t="shared" si="2"/>
        <v>100</v>
      </c>
      <c r="X12" s="751"/>
      <c r="Y12" s="2856"/>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53"/>
      <c r="Q13" s="1887">
        <f t="shared" si="6"/>
        <v>111</v>
      </c>
      <c r="R13" s="749" t="s">
        <v>28</v>
      </c>
      <c r="S13" s="750">
        <f t="shared" si="0"/>
        <v>100</v>
      </c>
      <c r="T13" s="749" t="s">
        <v>28</v>
      </c>
      <c r="U13" s="750">
        <f t="shared" si="1"/>
        <v>100</v>
      </c>
      <c r="V13" s="749" t="s">
        <v>28</v>
      </c>
      <c r="W13" s="750">
        <f t="shared" si="2"/>
        <v>100</v>
      </c>
      <c r="X13" s="751"/>
      <c r="Y13" s="2856"/>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53"/>
      <c r="Q14" s="1887">
        <f t="shared" si="6"/>
        <v>111</v>
      </c>
      <c r="R14" s="749" t="s">
        <v>28</v>
      </c>
      <c r="S14" s="750">
        <f t="shared" si="0"/>
        <v>100</v>
      </c>
      <c r="T14" s="749" t="s">
        <v>28</v>
      </c>
      <c r="U14" s="750">
        <f t="shared" si="1"/>
        <v>100</v>
      </c>
      <c r="V14" s="749" t="s">
        <v>28</v>
      </c>
      <c r="W14" s="750">
        <f t="shared" si="2"/>
        <v>100</v>
      </c>
      <c r="X14" s="751"/>
      <c r="Y14" s="2856"/>
      <c r="Z14" s="23">
        <f t="shared" si="7"/>
        <v>111</v>
      </c>
      <c r="AA14" s="752">
        <f t="shared" si="3"/>
        <v>1</v>
      </c>
      <c r="AB14" s="752">
        <f t="shared" si="4"/>
        <v>1</v>
      </c>
      <c r="AC14" s="752">
        <f t="shared" si="5"/>
        <v>1</v>
      </c>
    </row>
    <row r="15" spans="1:29" ht="93.75" customHeight="1">
      <c r="A15" s="419" t="s">
        <v>2366</v>
      </c>
      <c r="B15" s="26" t="s">
        <v>1740</v>
      </c>
      <c r="C15" s="2404" t="str">
        <f>估价对象房地状况!C3</f>
        <v>估价对象周边有雅宝里社区、三丰里社区、建国门外外交公寓、大方家社区等，综合评价居住社区成熟度较好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31" t="s">
        <v>2367</v>
      </c>
      <c r="Q15" s="1899" t="str">
        <f t="shared" si="6"/>
        <v>居住社区成熟度</v>
      </c>
      <c r="R15" s="753" t="s">
        <v>28</v>
      </c>
      <c r="S15" s="754">
        <f t="shared" si="0"/>
        <v>100</v>
      </c>
      <c r="T15" s="753" t="s">
        <v>28</v>
      </c>
      <c r="U15" s="754">
        <f t="shared" si="1"/>
        <v>100</v>
      </c>
      <c r="V15" s="753" t="s">
        <v>28</v>
      </c>
      <c r="W15" s="754">
        <f t="shared" si="2"/>
        <v>100</v>
      </c>
      <c r="X15" s="1900"/>
      <c r="Y15" s="3033" t="s">
        <v>2367</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32"/>
      <c r="Q16" s="1899"/>
      <c r="R16" s="753"/>
      <c r="S16" s="754"/>
      <c r="T16" s="753"/>
      <c r="U16" s="754"/>
      <c r="V16" s="753"/>
      <c r="W16" s="754"/>
      <c r="X16" s="1900"/>
      <c r="Y16" s="3034"/>
      <c r="Z16" s="1902"/>
      <c r="AA16" s="1903">
        <v>1</v>
      </c>
      <c r="AB16" s="1903">
        <v>1</v>
      </c>
      <c r="AC16" s="1903">
        <v>1</v>
      </c>
    </row>
    <row r="17" spans="1:29" ht="113.25" customHeight="1">
      <c r="A17" s="408"/>
      <c r="B17" s="431" t="s">
        <v>1751</v>
      </c>
      <c r="C17" s="2407" t="str">
        <f>估价对象房地状况!C6</f>
        <v>估价对象周边有44路、58路、139路、特2路、特12路等多条公交线路及地铁2、6号线换乘站（朝阳门站），综合评价交通便捷度较好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32"/>
      <c r="Q17" s="1899" t="str">
        <f>B17</f>
        <v>交通便捷度</v>
      </c>
      <c r="R17" s="753" t="s">
        <v>28</v>
      </c>
      <c r="S17" s="754">
        <f>F17</f>
        <v>100</v>
      </c>
      <c r="T17" s="753" t="s">
        <v>28</v>
      </c>
      <c r="U17" s="754">
        <f>H17</f>
        <v>100</v>
      </c>
      <c r="V17" s="753" t="s">
        <v>28</v>
      </c>
      <c r="W17" s="754">
        <f>J17</f>
        <v>100</v>
      </c>
      <c r="X17" s="1900"/>
      <c r="Y17" s="3034"/>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32"/>
      <c r="Q18" s="1899"/>
      <c r="R18" s="753"/>
      <c r="S18" s="754"/>
      <c r="T18" s="753"/>
      <c r="U18" s="754"/>
      <c r="V18" s="753"/>
      <c r="W18" s="754"/>
      <c r="X18" s="1900"/>
      <c r="Y18" s="3034"/>
      <c r="Z18" s="1902"/>
      <c r="AA18" s="1903">
        <v>1</v>
      </c>
      <c r="AB18" s="1903">
        <v>1</v>
      </c>
      <c r="AC18" s="1903">
        <v>1</v>
      </c>
    </row>
    <row r="19" spans="1:29" ht="42.75">
      <c r="A19" s="408"/>
      <c r="B19" s="431" t="s">
        <v>1749</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32"/>
      <c r="Q19" s="1899" t="str">
        <f>B19</f>
        <v>公共配套设施</v>
      </c>
      <c r="R19" s="753" t="s">
        <v>28</v>
      </c>
      <c r="S19" s="754">
        <f>F19</f>
        <v>100</v>
      </c>
      <c r="T19" s="753" t="s">
        <v>28</v>
      </c>
      <c r="U19" s="754">
        <f>H19</f>
        <v>100</v>
      </c>
      <c r="V19" s="753" t="s">
        <v>28</v>
      </c>
      <c r="W19" s="754">
        <f>J19</f>
        <v>100</v>
      </c>
      <c r="X19" s="1900"/>
      <c r="Y19" s="3034"/>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32"/>
      <c r="Q20" s="1899"/>
      <c r="R20" s="753"/>
      <c r="S20" s="754"/>
      <c r="T20" s="753"/>
      <c r="U20" s="754"/>
      <c r="V20" s="753"/>
      <c r="W20" s="754"/>
      <c r="X20" s="1900"/>
      <c r="Y20" s="3034"/>
      <c r="Z20" s="1902"/>
      <c r="AA20" s="1903">
        <v>1</v>
      </c>
      <c r="AB20" s="1903">
        <v>1</v>
      </c>
      <c r="AC20" s="1903">
        <v>1</v>
      </c>
    </row>
    <row r="21" spans="1:29" ht="15">
      <c r="A21" s="408"/>
      <c r="B21" s="2409" t="s">
        <v>1752</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32"/>
      <c r="Q21" s="1899" t="str">
        <f>B21</f>
        <v>基础设施水平</v>
      </c>
      <c r="R21" s="753" t="s">
        <v>28</v>
      </c>
      <c r="S21" s="754">
        <f>F21</f>
        <v>100</v>
      </c>
      <c r="T21" s="753" t="s">
        <v>28</v>
      </c>
      <c r="U21" s="754">
        <f>H21</f>
        <v>100</v>
      </c>
      <c r="V21" s="753" t="s">
        <v>28</v>
      </c>
      <c r="W21" s="754">
        <f>J21</f>
        <v>100</v>
      </c>
      <c r="X21" s="1900"/>
      <c r="Y21" s="3034"/>
      <c r="Z21" s="1902" t="str">
        <f>Q21</f>
        <v>基础设施水平</v>
      </c>
      <c r="AA21" s="1903">
        <f t="shared" ref="AA21" si="8">D21/F21</f>
        <v>1</v>
      </c>
      <c r="AB21" s="1903">
        <f t="shared" ref="AB21" si="9">D21/H21</f>
        <v>1</v>
      </c>
      <c r="AC21" s="1903">
        <f t="shared" ref="AC21" si="10">D21/J21</f>
        <v>1</v>
      </c>
    </row>
    <row r="22" spans="1:29" ht="15">
      <c r="A22" s="408"/>
      <c r="B22" s="2409"/>
      <c r="C22" s="437" t="s">
        <v>2859</v>
      </c>
      <c r="D22" s="427"/>
      <c r="E22" s="426" t="s">
        <v>2859</v>
      </c>
      <c r="F22" s="429"/>
      <c r="G22" s="426" t="s">
        <v>2859</v>
      </c>
      <c r="H22" s="427"/>
      <c r="I22" s="426" t="s">
        <v>2859</v>
      </c>
      <c r="J22" s="427"/>
      <c r="K22" s="2410"/>
      <c r="L22" s="1253"/>
      <c r="M22" s="1244"/>
      <c r="N22" s="1244"/>
      <c r="O22" s="1244"/>
      <c r="P22" s="3032"/>
      <c r="Q22" s="1899"/>
      <c r="R22" s="753"/>
      <c r="S22" s="754"/>
      <c r="T22" s="753"/>
      <c r="U22" s="754"/>
      <c r="V22" s="753"/>
      <c r="W22" s="754"/>
      <c r="X22" s="1900"/>
      <c r="Y22" s="3034"/>
      <c r="Z22" s="1902"/>
      <c r="AA22" s="1903">
        <v>1</v>
      </c>
      <c r="AB22" s="1903">
        <v>1</v>
      </c>
      <c r="AC22" s="1903">
        <v>1</v>
      </c>
    </row>
    <row r="23" spans="1:29" ht="81" customHeight="1">
      <c r="A23" s="408"/>
      <c r="B23" s="431" t="s">
        <v>1756</v>
      </c>
      <c r="C23" s="2407" t="str">
        <f>估价对象房地状况!C9</f>
        <v>区域自然环境：日坛公园；人文环境：朝阳区政府、中国司法部、使馆区；综合评价环境状况较好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32"/>
      <c r="Q23" s="1899" t="str">
        <f>B23</f>
        <v>自然及人文环境</v>
      </c>
      <c r="R23" s="753" t="s">
        <v>28</v>
      </c>
      <c r="S23" s="754">
        <f>F23</f>
        <v>100</v>
      </c>
      <c r="T23" s="753" t="s">
        <v>28</v>
      </c>
      <c r="U23" s="754">
        <f>H23</f>
        <v>100</v>
      </c>
      <c r="V23" s="753" t="s">
        <v>28</v>
      </c>
      <c r="W23" s="754">
        <f>J23</f>
        <v>100</v>
      </c>
      <c r="X23" s="1900"/>
      <c r="Y23" s="3034"/>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32"/>
      <c r="Q24" s="1899"/>
      <c r="R24" s="753"/>
      <c r="S24" s="754"/>
      <c r="T24" s="753"/>
      <c r="U24" s="754"/>
      <c r="V24" s="753"/>
      <c r="W24" s="754"/>
      <c r="X24" s="1900"/>
      <c r="Y24" s="3034"/>
      <c r="Z24" s="1902"/>
      <c r="AA24" s="1903">
        <v>1</v>
      </c>
      <c r="AB24" s="1903">
        <v>1</v>
      </c>
      <c r="AC24" s="1903">
        <v>1</v>
      </c>
    </row>
    <row r="25" spans="1:29" ht="15" hidden="1">
      <c r="A25" s="408"/>
      <c r="B25" s="402" t="s">
        <v>2368</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32"/>
      <c r="Q25" s="1899" t="str">
        <f t="shared" ref="Q25:Q46" si="11">B25</f>
        <v>楼层-1</v>
      </c>
      <c r="R25" s="753" t="s">
        <v>28</v>
      </c>
      <c r="S25" s="754">
        <f>F25</f>
        <v>100</v>
      </c>
      <c r="T25" s="753" t="s">
        <v>28</v>
      </c>
      <c r="U25" s="754">
        <f>H25</f>
        <v>100</v>
      </c>
      <c r="V25" s="753" t="s">
        <v>28</v>
      </c>
      <c r="W25" s="754">
        <f>J25</f>
        <v>100</v>
      </c>
      <c r="X25" s="1900"/>
      <c r="Y25" s="3034"/>
      <c r="Z25" s="1902" t="str">
        <f>Q25</f>
        <v>楼层-1</v>
      </c>
      <c r="AA25" s="1903">
        <f t="shared" si="3"/>
        <v>1</v>
      </c>
      <c r="AB25" s="1903">
        <f t="shared" si="4"/>
        <v>1</v>
      </c>
      <c r="AC25" s="1903">
        <f t="shared" si="5"/>
        <v>1</v>
      </c>
    </row>
    <row r="26" spans="1:29" ht="15">
      <c r="A26" s="408"/>
      <c r="B26" s="402" t="s">
        <v>2369</v>
      </c>
      <c r="C26" s="441" t="s">
        <v>2865</v>
      </c>
      <c r="D26" s="415">
        <v>100</v>
      </c>
      <c r="E26" s="2411" t="s">
        <v>2888</v>
      </c>
      <c r="F26" s="442">
        <f>SUMIF(88:88,E26,89:89)-SUMIF(88:88,C26,89:89)+100</f>
        <v>102</v>
      </c>
      <c r="G26" s="2412" t="s">
        <v>2890</v>
      </c>
      <c r="H26" s="415">
        <f>SUMIF(88:88,G26,89:89)-SUMIF(88:88,C26,89:89)+100</f>
        <v>101</v>
      </c>
      <c r="I26" s="2411" t="s">
        <v>2890</v>
      </c>
      <c r="J26" s="415">
        <f>SUMIF(88:88,I26,89:89)-SUMIF(88:88,C26,89:89)+100</f>
        <v>101</v>
      </c>
      <c r="K26" s="406">
        <v>0.5</v>
      </c>
      <c r="L26" s="1253"/>
      <c r="M26" s="1244"/>
      <c r="N26" s="1244"/>
      <c r="O26" s="1244"/>
      <c r="P26" s="3032"/>
      <c r="Q26" s="1899" t="str">
        <f t="shared" si="11"/>
        <v>朝向</v>
      </c>
      <c r="R26" s="753" t="s">
        <v>28</v>
      </c>
      <c r="S26" s="754">
        <f>F26</f>
        <v>102</v>
      </c>
      <c r="T26" s="753" t="s">
        <v>28</v>
      </c>
      <c r="U26" s="754">
        <f>H26</f>
        <v>101</v>
      </c>
      <c r="V26" s="753" t="s">
        <v>28</v>
      </c>
      <c r="W26" s="754">
        <f>J26</f>
        <v>101</v>
      </c>
      <c r="X26" s="1900"/>
      <c r="Y26" s="3034"/>
      <c r="Z26" s="1902" t="str">
        <f>Q26</f>
        <v>朝向</v>
      </c>
      <c r="AA26" s="1903">
        <f t="shared" si="3"/>
        <v>0.98039215686274506</v>
      </c>
      <c r="AB26" s="1903">
        <f t="shared" si="4"/>
        <v>0.99009900990099009</v>
      </c>
      <c r="AC26" s="1903">
        <f t="shared" si="5"/>
        <v>0.99009900990099009</v>
      </c>
    </row>
    <row r="27" spans="1:29" s="35" customFormat="1" ht="28.5">
      <c r="A27" s="411"/>
      <c r="B27" s="2400" t="s">
        <v>2370</v>
      </c>
      <c r="C27" s="412" t="str">
        <f>估价对象房地状况!C10</f>
        <v>城市次干道——外交部南街</v>
      </c>
      <c r="D27" s="443">
        <v>100</v>
      </c>
      <c r="E27" s="1473" t="str">
        <f>C27</f>
        <v>城市次干道——外交部南街</v>
      </c>
      <c r="F27" s="445">
        <f>SUMIF(90:90,E27,91:91)-SUMIF(90:90,C27,91:91)+100</f>
        <v>100</v>
      </c>
      <c r="G27" s="3122" t="s">
        <v>2892</v>
      </c>
      <c r="H27" s="443">
        <f>SUMIF(90:90,G27,91:91)-SUMIF(90:90,C27,91:91)+100</f>
        <v>100</v>
      </c>
      <c r="I27" s="1473" t="str">
        <f>G27</f>
        <v>城市次干道——朝外市场街</v>
      </c>
      <c r="J27" s="443">
        <f>SUMIF(90:90,I27,91:91)-SUMIF(90:90,C27,91:91)+100</f>
        <v>100</v>
      </c>
      <c r="K27" s="2401"/>
      <c r="L27" s="1245"/>
      <c r="M27" s="1246"/>
      <c r="N27" s="1246"/>
      <c r="O27" s="1246"/>
      <c r="P27" s="3032"/>
      <c r="Q27" s="1887" t="str">
        <f t="shared" si="11"/>
        <v>道路级别</v>
      </c>
      <c r="R27" s="749" t="s">
        <v>28</v>
      </c>
      <c r="S27" s="750">
        <f>F27</f>
        <v>100</v>
      </c>
      <c r="T27" s="749" t="s">
        <v>28</v>
      </c>
      <c r="U27" s="750">
        <f>H27</f>
        <v>100</v>
      </c>
      <c r="V27" s="749" t="s">
        <v>28</v>
      </c>
      <c r="W27" s="750">
        <f>J27</f>
        <v>100</v>
      </c>
      <c r="X27" s="751"/>
      <c r="Y27" s="3034"/>
      <c r="Z27" s="23" t="str">
        <f>Q27</f>
        <v>道路级别</v>
      </c>
      <c r="AA27" s="1903">
        <f>D27/F27</f>
        <v>1</v>
      </c>
      <c r="AB27" s="1903">
        <f>D27/H27</f>
        <v>1</v>
      </c>
      <c r="AC27" s="1903">
        <f>D27/J27</f>
        <v>1</v>
      </c>
    </row>
    <row r="28" spans="1:29" ht="15">
      <c r="A28" s="408"/>
      <c r="B28" s="2756" t="s">
        <v>2862</v>
      </c>
      <c r="C28" s="2757" t="s">
        <v>2867</v>
      </c>
      <c r="D28" s="415">
        <v>100</v>
      </c>
      <c r="E28" s="2757" t="s">
        <v>2894</v>
      </c>
      <c r="F28" s="442">
        <f>SUMIF(92:92,E28,93:93)-SUMIF(92:92,C28,93:93)+100</f>
        <v>103</v>
      </c>
      <c r="G28" s="2757" t="s">
        <v>2895</v>
      </c>
      <c r="H28" s="415">
        <f>SUMIF(92:92,G28,93:93)-SUMIF(92:92,C28,93:93)+100</f>
        <v>101</v>
      </c>
      <c r="I28" s="2757" t="str">
        <f>G28</f>
        <v>中层/14</v>
      </c>
      <c r="J28" s="415">
        <f>SUMIF(92:92,I28,93:93)-SUMIF(92:92,C28,93:93)+100</f>
        <v>101</v>
      </c>
      <c r="K28" s="2401"/>
      <c r="L28" s="1253"/>
      <c r="M28" s="1244"/>
      <c r="N28" s="1244"/>
      <c r="O28" s="1244"/>
      <c r="P28" s="3032"/>
      <c r="Q28" s="1899" t="str">
        <f t="shared" si="11"/>
        <v>楼层</v>
      </c>
      <c r="R28" s="753" t="s">
        <v>28</v>
      </c>
      <c r="S28" s="754">
        <f t="shared" ref="S28:S46" si="12">F28</f>
        <v>103</v>
      </c>
      <c r="T28" s="753" t="s">
        <v>28</v>
      </c>
      <c r="U28" s="754">
        <f t="shared" ref="U28:U46" si="13">H28</f>
        <v>101</v>
      </c>
      <c r="V28" s="753" t="s">
        <v>28</v>
      </c>
      <c r="W28" s="754">
        <f t="shared" ref="W28:W46" si="14">J28</f>
        <v>101</v>
      </c>
      <c r="X28" s="1900"/>
      <c r="Y28" s="3034"/>
      <c r="Z28" s="1902" t="str">
        <f t="shared" ref="Z28:Z46" si="15">Q28</f>
        <v>楼层</v>
      </c>
      <c r="AA28" s="1903">
        <f t="shared" si="3"/>
        <v>0.970873786407767</v>
      </c>
      <c r="AB28" s="1903">
        <f t="shared" si="4"/>
        <v>0.99009900990099009</v>
      </c>
      <c r="AC28" s="1903">
        <f t="shared" si="5"/>
        <v>0.99009900990099009</v>
      </c>
    </row>
    <row r="29" spans="1:29" ht="15.75" thickBot="1">
      <c r="A29" s="408"/>
      <c r="B29" s="2756" t="s">
        <v>2863</v>
      </c>
      <c r="C29" s="414">
        <v>2000</v>
      </c>
      <c r="D29" s="415">
        <v>100</v>
      </c>
      <c r="E29" s="414">
        <v>2000</v>
      </c>
      <c r="F29" s="442">
        <f>SUMIF(94:94,E29,95:95)-SUMIF(94:94,C29,95:95)+100</f>
        <v>100</v>
      </c>
      <c r="G29" s="414">
        <v>1997</v>
      </c>
      <c r="H29" s="415">
        <f>SUMIF(94:94,G29,95:95)-SUMIF(94:94,C29,95:95)+100</f>
        <v>98.5</v>
      </c>
      <c r="I29" s="414">
        <v>1997</v>
      </c>
      <c r="J29" s="415">
        <f>SUMIF(94:94,I29,95:95)-SUMIF(94:94,C29,95:95)+100</f>
        <v>98.5</v>
      </c>
      <c r="K29" s="2401"/>
      <c r="L29" s="1253"/>
      <c r="M29" s="1244"/>
      <c r="N29" s="1244"/>
      <c r="O29" s="1244"/>
      <c r="P29" s="3032"/>
      <c r="Q29" s="1899" t="str">
        <f t="shared" si="11"/>
        <v>建成年代</v>
      </c>
      <c r="R29" s="753" t="s">
        <v>28</v>
      </c>
      <c r="S29" s="754">
        <f t="shared" si="12"/>
        <v>100</v>
      </c>
      <c r="T29" s="753" t="s">
        <v>28</v>
      </c>
      <c r="U29" s="754">
        <f t="shared" si="13"/>
        <v>98.5</v>
      </c>
      <c r="V29" s="753" t="s">
        <v>28</v>
      </c>
      <c r="W29" s="754">
        <f t="shared" si="14"/>
        <v>98.5</v>
      </c>
      <c r="X29" s="1900"/>
      <c r="Y29" s="3034"/>
      <c r="Z29" s="1902" t="str">
        <f t="shared" si="15"/>
        <v>建成年代</v>
      </c>
      <c r="AA29" s="1903">
        <f t="shared" si="3"/>
        <v>1</v>
      </c>
      <c r="AB29" s="1903">
        <f t="shared" si="4"/>
        <v>1.015228426395939</v>
      </c>
      <c r="AC29" s="1903">
        <f t="shared" si="5"/>
        <v>1.015228426395939</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32"/>
      <c r="Q30" s="1899">
        <f t="shared" si="11"/>
        <v>111</v>
      </c>
      <c r="R30" s="753" t="s">
        <v>28</v>
      </c>
      <c r="S30" s="754">
        <f t="shared" si="12"/>
        <v>100</v>
      </c>
      <c r="T30" s="753" t="s">
        <v>28</v>
      </c>
      <c r="U30" s="754">
        <f t="shared" si="13"/>
        <v>100</v>
      </c>
      <c r="V30" s="753" t="s">
        <v>28</v>
      </c>
      <c r="W30" s="754">
        <f t="shared" si="14"/>
        <v>100</v>
      </c>
      <c r="X30" s="1900"/>
      <c r="Y30" s="3034"/>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32"/>
      <c r="Q31" s="1899">
        <f t="shared" si="11"/>
        <v>111</v>
      </c>
      <c r="R31" s="753" t="s">
        <v>28</v>
      </c>
      <c r="S31" s="754">
        <f t="shared" si="12"/>
        <v>100</v>
      </c>
      <c r="T31" s="753" t="s">
        <v>28</v>
      </c>
      <c r="U31" s="754">
        <f t="shared" si="13"/>
        <v>100</v>
      </c>
      <c r="V31" s="753" t="s">
        <v>28</v>
      </c>
      <c r="W31" s="754">
        <f t="shared" si="14"/>
        <v>100</v>
      </c>
      <c r="X31" s="1900"/>
      <c r="Y31" s="3034"/>
      <c r="Z31" s="1902">
        <f t="shared" si="15"/>
        <v>111</v>
      </c>
      <c r="AA31" s="1903">
        <f t="shared" si="3"/>
        <v>1</v>
      </c>
      <c r="AB31" s="1903">
        <f t="shared" si="4"/>
        <v>1</v>
      </c>
      <c r="AC31" s="1903">
        <f t="shared" si="5"/>
        <v>1</v>
      </c>
    </row>
    <row r="32" spans="1:29" ht="15">
      <c r="A32" s="419" t="s">
        <v>2371</v>
      </c>
      <c r="B32" s="28" t="s">
        <v>2372</v>
      </c>
      <c r="C32" s="2414" t="s">
        <v>2868</v>
      </c>
      <c r="D32" s="448">
        <v>100</v>
      </c>
      <c r="E32" s="2415" t="s">
        <v>2868</v>
      </c>
      <c r="F32" s="442">
        <f>SUMIF(100:100,E32,101:101)-SUMIF(100:100,C32,101:101)+100</f>
        <v>100</v>
      </c>
      <c r="G32" s="2414" t="s">
        <v>2868</v>
      </c>
      <c r="H32" s="448">
        <f>SUMIF(100:100,G32,101:101)-SUMIF(100:100,C32,101:101)+100</f>
        <v>100</v>
      </c>
      <c r="I32" s="2415" t="s">
        <v>2868</v>
      </c>
      <c r="J32" s="415">
        <f>SUMIF(100:100,I32,101:101)-SUMIF(100:100,C32,101:101)+100</f>
        <v>100</v>
      </c>
      <c r="K32" s="406"/>
      <c r="L32" s="1253"/>
      <c r="M32" s="1244"/>
      <c r="N32" s="1244"/>
      <c r="O32" s="1244"/>
      <c r="P32" s="3035" t="s">
        <v>2373</v>
      </c>
      <c r="Q32" s="1899" t="str">
        <f t="shared" si="11"/>
        <v>建筑类型</v>
      </c>
      <c r="R32" s="753" t="s">
        <v>28</v>
      </c>
      <c r="S32" s="754">
        <f t="shared" si="12"/>
        <v>100</v>
      </c>
      <c r="T32" s="753" t="s">
        <v>28</v>
      </c>
      <c r="U32" s="754">
        <f t="shared" si="13"/>
        <v>100</v>
      </c>
      <c r="V32" s="753" t="s">
        <v>28</v>
      </c>
      <c r="W32" s="754">
        <f t="shared" si="14"/>
        <v>100</v>
      </c>
      <c r="X32" s="1900"/>
      <c r="Y32" s="3038" t="s">
        <v>2373</v>
      </c>
      <c r="Z32" s="1902" t="str">
        <f t="shared" si="15"/>
        <v>建筑类型</v>
      </c>
      <c r="AA32" s="1903">
        <f t="shared" si="3"/>
        <v>1</v>
      </c>
      <c r="AB32" s="1903">
        <f t="shared" si="4"/>
        <v>1</v>
      </c>
      <c r="AC32" s="1903">
        <f t="shared" si="5"/>
        <v>1</v>
      </c>
    </row>
    <row r="33" spans="1:29" s="452" customFormat="1" ht="15">
      <c r="A33" s="449"/>
      <c r="B33" s="402" t="s">
        <v>2374</v>
      </c>
      <c r="C33" s="450">
        <f>项目基本情况!C12</f>
        <v>223.09</v>
      </c>
      <c r="D33" s="52">
        <v>100</v>
      </c>
      <c r="E33" s="410">
        <v>216.16</v>
      </c>
      <c r="F33" s="405">
        <f>LOOKUP(E33,103:103,104:104)-LOOKUP(C33,103:103,104:104)+100</f>
        <v>100</v>
      </c>
      <c r="G33" s="409">
        <v>114.78</v>
      </c>
      <c r="H33" s="52">
        <f>LOOKUP(G33,103:103,104:104)-LOOKUP(C33,103:103,104:104)+100</f>
        <v>106</v>
      </c>
      <c r="I33" s="410">
        <v>118.22</v>
      </c>
      <c r="J33" s="52">
        <f>LOOKUP(I33,103:103,104:104)-LOOKUP(C33,103:103,104:104)+100</f>
        <v>106</v>
      </c>
      <c r="K33" s="2401"/>
      <c r="L33" s="1251"/>
      <c r="M33" s="1254"/>
      <c r="N33" s="1254"/>
      <c r="O33" s="1254"/>
      <c r="P33" s="3036"/>
      <c r="Q33" s="755" t="str">
        <f t="shared" si="11"/>
        <v>项目建筑规模</v>
      </c>
      <c r="R33" s="756" t="s">
        <v>28</v>
      </c>
      <c r="S33" s="757">
        <f t="shared" si="12"/>
        <v>100</v>
      </c>
      <c r="T33" s="756" t="s">
        <v>28</v>
      </c>
      <c r="U33" s="757">
        <f t="shared" si="13"/>
        <v>106</v>
      </c>
      <c r="V33" s="756" t="s">
        <v>28</v>
      </c>
      <c r="W33" s="757">
        <f t="shared" si="14"/>
        <v>106</v>
      </c>
      <c r="X33" s="758"/>
      <c r="Y33" s="3038"/>
      <c r="Z33" s="759" t="str">
        <f t="shared" si="15"/>
        <v>项目建筑规模</v>
      </c>
      <c r="AA33" s="1903">
        <f t="shared" si="3"/>
        <v>1</v>
      </c>
      <c r="AB33" s="1903">
        <f t="shared" si="4"/>
        <v>0.94339622641509435</v>
      </c>
      <c r="AC33" s="1903">
        <f t="shared" si="5"/>
        <v>0.94339622641509435</v>
      </c>
    </row>
    <row r="34" spans="1:29" ht="15">
      <c r="A34" s="453"/>
      <c r="B34" s="402" t="s">
        <v>2375</v>
      </c>
      <c r="C34" s="2416" t="s">
        <v>2870</v>
      </c>
      <c r="D34" s="415">
        <v>100</v>
      </c>
      <c r="E34" s="2417" t="s">
        <v>2870</v>
      </c>
      <c r="F34" s="442">
        <f>SUMIF(105:105,E34,106:106)-SUMIF(105:105,C34,106:106)+100</f>
        <v>100</v>
      </c>
      <c r="G34" s="2416" t="s">
        <v>2870</v>
      </c>
      <c r="H34" s="415">
        <f>SUMIF(105:105,G34,106:106)-SUMIF(105:105,C34,106:106)+100</f>
        <v>100</v>
      </c>
      <c r="I34" s="2417" t="s">
        <v>2870</v>
      </c>
      <c r="J34" s="415">
        <f>SUMIF(105:105,I34,106:106)-SUMIF(105:105,C34,106:106)+100</f>
        <v>100</v>
      </c>
      <c r="K34" s="406"/>
      <c r="L34" s="1253"/>
      <c r="M34" s="1244"/>
      <c r="N34" s="1244"/>
      <c r="O34" s="1244"/>
      <c r="P34" s="3036"/>
      <c r="Q34" s="1899" t="str">
        <f t="shared" si="11"/>
        <v>建筑结构</v>
      </c>
      <c r="R34" s="753" t="s">
        <v>28</v>
      </c>
      <c r="S34" s="754">
        <f t="shared" si="12"/>
        <v>100</v>
      </c>
      <c r="T34" s="753" t="s">
        <v>28</v>
      </c>
      <c r="U34" s="754">
        <f t="shared" si="13"/>
        <v>100</v>
      </c>
      <c r="V34" s="753" t="s">
        <v>28</v>
      </c>
      <c r="W34" s="754">
        <f t="shared" si="14"/>
        <v>100</v>
      </c>
      <c r="X34" s="1900"/>
      <c r="Y34" s="3038"/>
      <c r="Z34" s="1902" t="str">
        <f t="shared" si="15"/>
        <v>建筑结构</v>
      </c>
      <c r="AA34" s="1903">
        <f t="shared" si="3"/>
        <v>1</v>
      </c>
      <c r="AB34" s="1903">
        <f t="shared" si="4"/>
        <v>1</v>
      </c>
      <c r="AC34" s="1903">
        <f t="shared" si="5"/>
        <v>1</v>
      </c>
    </row>
    <row r="35" spans="1:29" ht="15">
      <c r="A35" s="453"/>
      <c r="B35" s="402" t="s">
        <v>2376</v>
      </c>
      <c r="C35" s="2412" t="s">
        <v>2872</v>
      </c>
      <c r="D35" s="415">
        <v>100</v>
      </c>
      <c r="E35" s="2411" t="s">
        <v>2872</v>
      </c>
      <c r="F35" s="442">
        <f>SUMIF(107:107,E35,108:108)-SUMIF(107:107,C35,108:108)+100</f>
        <v>100</v>
      </c>
      <c r="G35" s="2412" t="s">
        <v>2872</v>
      </c>
      <c r="H35" s="415">
        <f>SUMIF(107:107,G35,108:108)-SUMIF(107:107,C35,108:108)+100</f>
        <v>100</v>
      </c>
      <c r="I35" s="2411" t="s">
        <v>2872</v>
      </c>
      <c r="J35" s="415">
        <f>SUMIF(107:107,I35,108:108)-SUMIF(107:107,C35,108:108)+100</f>
        <v>100</v>
      </c>
      <c r="K35" s="406"/>
      <c r="L35" s="1253"/>
      <c r="M35" s="1244"/>
      <c r="N35" s="1244"/>
      <c r="O35" s="1244"/>
      <c r="P35" s="3036"/>
      <c r="Q35" s="1899" t="str">
        <f t="shared" si="11"/>
        <v>建筑品质</v>
      </c>
      <c r="R35" s="753" t="s">
        <v>28</v>
      </c>
      <c r="S35" s="754">
        <f t="shared" si="12"/>
        <v>100</v>
      </c>
      <c r="T35" s="753" t="s">
        <v>28</v>
      </c>
      <c r="U35" s="754">
        <f t="shared" si="13"/>
        <v>100</v>
      </c>
      <c r="V35" s="753" t="s">
        <v>28</v>
      </c>
      <c r="W35" s="754">
        <f t="shared" si="14"/>
        <v>100</v>
      </c>
      <c r="X35" s="1900"/>
      <c r="Y35" s="3038"/>
      <c r="Z35" s="1902" t="str">
        <f t="shared" si="15"/>
        <v>建筑品质</v>
      </c>
      <c r="AA35" s="1903">
        <f t="shared" si="3"/>
        <v>1</v>
      </c>
      <c r="AB35" s="1903">
        <f t="shared" si="4"/>
        <v>1</v>
      </c>
      <c r="AC35" s="1903">
        <f t="shared" si="5"/>
        <v>1</v>
      </c>
    </row>
    <row r="36" spans="1:29" ht="15">
      <c r="A36" s="453"/>
      <c r="B36" s="402" t="s">
        <v>2377</v>
      </c>
      <c r="C36" s="2412" t="s">
        <v>2874</v>
      </c>
      <c r="D36" s="415">
        <v>100</v>
      </c>
      <c r="E36" s="2411" t="s">
        <v>2874</v>
      </c>
      <c r="F36" s="442">
        <f>SUMIF(109:109,E36,110:110)-SUMIF(109:109,C36,110:110)+100</f>
        <v>100</v>
      </c>
      <c r="G36" s="2412" t="s">
        <v>2874</v>
      </c>
      <c r="H36" s="415">
        <f>SUMIF(109:109,G36,110:110)-SUMIF(109:109,C36,110:110)+100</f>
        <v>100</v>
      </c>
      <c r="I36" s="2411" t="s">
        <v>2874</v>
      </c>
      <c r="J36" s="415">
        <f>SUMIF(109:109,I36,110:110)-SUMIF(109:109,C36,110:110)+100</f>
        <v>100</v>
      </c>
      <c r="K36" s="406"/>
      <c r="L36" s="1253"/>
      <c r="M36" s="1244"/>
      <c r="N36" s="1244"/>
      <c r="O36" s="1244"/>
      <c r="P36" s="3036"/>
      <c r="Q36" s="1899" t="str">
        <f t="shared" si="11"/>
        <v>公共部分装修</v>
      </c>
      <c r="R36" s="753" t="s">
        <v>28</v>
      </c>
      <c r="S36" s="754">
        <f t="shared" si="12"/>
        <v>100</v>
      </c>
      <c r="T36" s="753" t="s">
        <v>28</v>
      </c>
      <c r="U36" s="754">
        <f t="shared" si="13"/>
        <v>100</v>
      </c>
      <c r="V36" s="753" t="s">
        <v>28</v>
      </c>
      <c r="W36" s="754">
        <f t="shared" si="14"/>
        <v>100</v>
      </c>
      <c r="X36" s="1900"/>
      <c r="Y36" s="3038"/>
      <c r="Z36" s="1902" t="str">
        <f t="shared" si="15"/>
        <v>公共部分装修</v>
      </c>
      <c r="AA36" s="1903">
        <f t="shared" si="3"/>
        <v>1</v>
      </c>
      <c r="AB36" s="1903">
        <f t="shared" si="4"/>
        <v>1</v>
      </c>
      <c r="AC36" s="1903">
        <f t="shared" si="5"/>
        <v>1</v>
      </c>
    </row>
    <row r="37" spans="1:29" s="35" customFormat="1" ht="15">
      <c r="A37" s="454"/>
      <c r="B37" s="402" t="s">
        <v>2378</v>
      </c>
      <c r="C37" s="455">
        <v>0.7</v>
      </c>
      <c r="D37" s="52">
        <v>100</v>
      </c>
      <c r="E37" s="456">
        <v>0.7</v>
      </c>
      <c r="F37" s="405">
        <f>LOOKUP(E37,112:112,113:113)-LOOKUP(C37,112:112,113:113)+100</f>
        <v>100</v>
      </c>
      <c r="G37" s="457">
        <v>0.7</v>
      </c>
      <c r="H37" s="52">
        <f>LOOKUP(G37,112:112,113:113)-LOOKUP(C37,112:112,113:113)+100</f>
        <v>100</v>
      </c>
      <c r="I37" s="456">
        <v>0.7</v>
      </c>
      <c r="J37" s="52">
        <f>LOOKUP(I37,112:112,113:113)-LOOKUP(C37,112:112,113:113)+100</f>
        <v>100</v>
      </c>
      <c r="K37" s="406"/>
      <c r="L37" s="1245"/>
      <c r="M37" s="1246"/>
      <c r="N37" s="1246"/>
      <c r="O37" s="1246"/>
      <c r="P37" s="3036"/>
      <c r="Q37" s="1887" t="str">
        <f t="shared" si="11"/>
        <v>成新度</v>
      </c>
      <c r="R37" s="749" t="s">
        <v>28</v>
      </c>
      <c r="S37" s="750">
        <f t="shared" si="12"/>
        <v>100</v>
      </c>
      <c r="T37" s="749" t="s">
        <v>28</v>
      </c>
      <c r="U37" s="750">
        <f t="shared" si="13"/>
        <v>100</v>
      </c>
      <c r="V37" s="749" t="s">
        <v>28</v>
      </c>
      <c r="W37" s="750">
        <f t="shared" si="14"/>
        <v>100</v>
      </c>
      <c r="X37" s="751"/>
      <c r="Y37" s="3038"/>
      <c r="Z37" s="23" t="str">
        <f t="shared" si="15"/>
        <v>成新度</v>
      </c>
      <c r="AA37" s="752">
        <f t="shared" si="3"/>
        <v>1</v>
      </c>
      <c r="AB37" s="752">
        <f t="shared" si="4"/>
        <v>1</v>
      </c>
      <c r="AC37" s="752">
        <f t="shared" si="5"/>
        <v>1</v>
      </c>
    </row>
    <row r="38" spans="1:29" ht="15">
      <c r="A38" s="453"/>
      <c r="B38" s="402" t="s">
        <v>2379</v>
      </c>
      <c r="C38" s="2412" t="s">
        <v>2876</v>
      </c>
      <c r="D38" s="415">
        <v>100</v>
      </c>
      <c r="E38" s="2411" t="s">
        <v>2876</v>
      </c>
      <c r="F38" s="442">
        <f>SUMIF(114:114,E38,115:115)-SUMIF(114:114,C38,115:115)+100</f>
        <v>100</v>
      </c>
      <c r="G38" s="2412" t="s">
        <v>2876</v>
      </c>
      <c r="H38" s="415">
        <f>SUMIF(114:114,G38,115:115)-SUMIF(114:114,C38,115:115)+100</f>
        <v>100</v>
      </c>
      <c r="I38" s="2411" t="s">
        <v>2876</v>
      </c>
      <c r="J38" s="415">
        <f>SUMIF(114:114,I38,115:115)-SUMIF(114:114,C38,115:115)+100</f>
        <v>100</v>
      </c>
      <c r="K38" s="406"/>
      <c r="L38" s="1253"/>
      <c r="M38" s="1244"/>
      <c r="N38" s="1244"/>
      <c r="O38" s="1244"/>
      <c r="P38" s="3036" t="s">
        <v>2373</v>
      </c>
      <c r="Q38" s="1899" t="str">
        <f t="shared" si="11"/>
        <v>物业管理</v>
      </c>
      <c r="R38" s="753" t="s">
        <v>28</v>
      </c>
      <c r="S38" s="754">
        <f t="shared" si="12"/>
        <v>100</v>
      </c>
      <c r="T38" s="753" t="s">
        <v>28</v>
      </c>
      <c r="U38" s="754">
        <f t="shared" si="13"/>
        <v>100</v>
      </c>
      <c r="V38" s="753" t="s">
        <v>28</v>
      </c>
      <c r="W38" s="754">
        <f t="shared" si="14"/>
        <v>100</v>
      </c>
      <c r="X38" s="1900"/>
      <c r="Y38" s="3038" t="s">
        <v>2373</v>
      </c>
      <c r="Z38" s="1902" t="str">
        <f t="shared" si="15"/>
        <v>物业管理</v>
      </c>
      <c r="AA38" s="1903">
        <f t="shared" si="3"/>
        <v>1</v>
      </c>
      <c r="AB38" s="1903">
        <f t="shared" si="4"/>
        <v>1</v>
      </c>
      <c r="AC38" s="1903">
        <f t="shared" si="5"/>
        <v>1</v>
      </c>
    </row>
    <row r="39" spans="1:29" ht="15">
      <c r="A39" s="453"/>
      <c r="B39" s="402" t="s">
        <v>2380</v>
      </c>
      <c r="C39" s="2412" t="s">
        <v>2859</v>
      </c>
      <c r="D39" s="415">
        <v>100</v>
      </c>
      <c r="E39" s="2411" t="s">
        <v>2859</v>
      </c>
      <c r="F39" s="442">
        <f>SUMIF(116:116,E39,117:117)-SUMIF(116:116,C39,117:117)+100</f>
        <v>100</v>
      </c>
      <c r="G39" s="2412" t="s">
        <v>2859</v>
      </c>
      <c r="H39" s="415">
        <f>SUMIF(116:116,G39,117:117)-SUMIF(116:116,C39,117:117)+100</f>
        <v>100</v>
      </c>
      <c r="I39" s="2411" t="s">
        <v>2859</v>
      </c>
      <c r="J39" s="415">
        <f>SUMIF(116:116,I39,117:117)-SUMIF(116:116,C39,117:117)+100</f>
        <v>100</v>
      </c>
      <c r="K39" s="406"/>
      <c r="L39" s="1253"/>
      <c r="M39" s="1244"/>
      <c r="N39" s="1244"/>
      <c r="O39" s="1244"/>
      <c r="P39" s="3036"/>
      <c r="Q39" s="1899" t="str">
        <f t="shared" si="11"/>
        <v>市政基础设施</v>
      </c>
      <c r="R39" s="753" t="s">
        <v>28</v>
      </c>
      <c r="S39" s="754">
        <f t="shared" si="12"/>
        <v>100</v>
      </c>
      <c r="T39" s="753" t="s">
        <v>28</v>
      </c>
      <c r="U39" s="754">
        <f t="shared" si="13"/>
        <v>100</v>
      </c>
      <c r="V39" s="753" t="s">
        <v>28</v>
      </c>
      <c r="W39" s="754">
        <f t="shared" si="14"/>
        <v>100</v>
      </c>
      <c r="X39" s="1900"/>
      <c r="Y39" s="3038"/>
      <c r="Z39" s="1902" t="str">
        <f t="shared" si="15"/>
        <v>市政基础设施</v>
      </c>
      <c r="AA39" s="1903">
        <f t="shared" si="3"/>
        <v>1</v>
      </c>
      <c r="AB39" s="1903">
        <f t="shared" si="4"/>
        <v>1</v>
      </c>
      <c r="AC39" s="1903">
        <f t="shared" si="5"/>
        <v>1</v>
      </c>
    </row>
    <row r="40" spans="1:29" ht="15">
      <c r="A40" s="453"/>
      <c r="B40" s="402" t="s">
        <v>2381</v>
      </c>
      <c r="C40" s="2412" t="s">
        <v>2879</v>
      </c>
      <c r="D40" s="415">
        <v>100</v>
      </c>
      <c r="E40" s="2411" t="s">
        <v>2879</v>
      </c>
      <c r="F40" s="442">
        <f>SUMIF(118:118,E40,119:119)-SUMIF(118:118,C40,119:119)+100</f>
        <v>100</v>
      </c>
      <c r="G40" s="2412" t="s">
        <v>2879</v>
      </c>
      <c r="H40" s="415">
        <f>SUMIF(118:118,G40,119:119)-SUMIF(118:118,C40,119:119)+100</f>
        <v>100</v>
      </c>
      <c r="I40" s="2411" t="s">
        <v>2879</v>
      </c>
      <c r="J40" s="415">
        <f>SUMIF(118:118,I40,119:119)-SUMIF(118:118,C40,119:119)+100</f>
        <v>100</v>
      </c>
      <c r="K40" s="406"/>
      <c r="L40" s="1253"/>
      <c r="M40" s="1244"/>
      <c r="N40" s="1244"/>
      <c r="O40" s="1244"/>
      <c r="P40" s="3036"/>
      <c r="Q40" s="1899" t="str">
        <f t="shared" si="11"/>
        <v>房型</v>
      </c>
      <c r="R40" s="753" t="s">
        <v>28</v>
      </c>
      <c r="S40" s="754">
        <f t="shared" si="12"/>
        <v>100</v>
      </c>
      <c r="T40" s="753" t="s">
        <v>28</v>
      </c>
      <c r="U40" s="754">
        <f t="shared" si="13"/>
        <v>100</v>
      </c>
      <c r="V40" s="753" t="s">
        <v>28</v>
      </c>
      <c r="W40" s="754">
        <f t="shared" si="14"/>
        <v>100</v>
      </c>
      <c r="X40" s="1900"/>
      <c r="Y40" s="3038"/>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36"/>
      <c r="Q41" s="755" t="str">
        <f t="shared" si="11"/>
        <v>单套/主力户型建筑面积</v>
      </c>
      <c r="R41" s="756" t="s">
        <v>28</v>
      </c>
      <c r="S41" s="757">
        <f t="shared" si="12"/>
        <v>100</v>
      </c>
      <c r="T41" s="756" t="s">
        <v>28</v>
      </c>
      <c r="U41" s="757">
        <f t="shared" si="13"/>
        <v>100</v>
      </c>
      <c r="V41" s="756" t="s">
        <v>28</v>
      </c>
      <c r="W41" s="757">
        <f t="shared" si="14"/>
        <v>100</v>
      </c>
      <c r="X41" s="758"/>
      <c r="Y41" s="3038"/>
      <c r="Z41" s="759" t="str">
        <f t="shared" si="15"/>
        <v>单套/主力户型建筑面积</v>
      </c>
      <c r="AA41" s="1903">
        <f t="shared" si="3"/>
        <v>1</v>
      </c>
      <c r="AB41" s="1903">
        <f t="shared" si="4"/>
        <v>1</v>
      </c>
      <c r="AC41" s="1903">
        <f t="shared" si="5"/>
        <v>1</v>
      </c>
    </row>
    <row r="42" spans="1:29" ht="15">
      <c r="A42" s="453"/>
      <c r="B42" s="402" t="s">
        <v>2383</v>
      </c>
      <c r="C42" s="2412" t="s">
        <v>2874</v>
      </c>
      <c r="D42" s="415">
        <v>100</v>
      </c>
      <c r="E42" s="2411" t="s">
        <v>2884</v>
      </c>
      <c r="F42" s="442">
        <f>SUMIF(122:122,E42,123:123)-SUMIF(122:122,C42,123:123)+100</f>
        <v>98</v>
      </c>
      <c r="G42" s="2412" t="s">
        <v>2884</v>
      </c>
      <c r="H42" s="415">
        <f>SUMIF(122:122,G42,123:123)-SUMIF(122:122,C42,123:123)+100</f>
        <v>98</v>
      </c>
      <c r="I42" s="2411" t="s">
        <v>2874</v>
      </c>
      <c r="J42" s="415">
        <f>SUMIF(122:122,I42,123:123)-SUMIF(122:122,C42,123:123)+100</f>
        <v>100</v>
      </c>
      <c r="K42" s="406">
        <v>2</v>
      </c>
      <c r="L42" s="1253"/>
      <c r="M42" s="1244"/>
      <c r="N42" s="1244"/>
      <c r="O42" s="1244"/>
      <c r="P42" s="3036"/>
      <c r="Q42" s="1899" t="str">
        <f t="shared" si="11"/>
        <v>内部装修</v>
      </c>
      <c r="R42" s="753" t="s">
        <v>28</v>
      </c>
      <c r="S42" s="754">
        <f t="shared" si="12"/>
        <v>98</v>
      </c>
      <c r="T42" s="753" t="s">
        <v>28</v>
      </c>
      <c r="U42" s="754">
        <f t="shared" si="13"/>
        <v>98</v>
      </c>
      <c r="V42" s="753" t="s">
        <v>28</v>
      </c>
      <c r="W42" s="754">
        <f t="shared" si="14"/>
        <v>100</v>
      </c>
      <c r="X42" s="1900"/>
      <c r="Y42" s="3038"/>
      <c r="Z42" s="1902" t="str">
        <f t="shared" si="15"/>
        <v>内部装修</v>
      </c>
      <c r="AA42" s="1903">
        <f t="shared" si="3"/>
        <v>1.0204081632653061</v>
      </c>
      <c r="AB42" s="1903">
        <f t="shared" si="4"/>
        <v>1.0204081632653061</v>
      </c>
      <c r="AC42" s="1903">
        <f t="shared" si="5"/>
        <v>1</v>
      </c>
    </row>
    <row r="43" spans="1:29" ht="15.75" thickBot="1">
      <c r="A43" s="453"/>
      <c r="B43" s="402" t="s">
        <v>2384</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c r="L43" s="1253"/>
      <c r="M43" s="1244"/>
      <c r="N43" s="1244"/>
      <c r="O43" s="1244"/>
      <c r="P43" s="3036"/>
      <c r="Q43" s="1899" t="str">
        <f t="shared" si="11"/>
        <v>内部装修维护情况</v>
      </c>
      <c r="R43" s="753" t="s">
        <v>28</v>
      </c>
      <c r="S43" s="754">
        <f t="shared" si="12"/>
        <v>100</v>
      </c>
      <c r="T43" s="753" t="s">
        <v>28</v>
      </c>
      <c r="U43" s="754">
        <f t="shared" si="13"/>
        <v>100</v>
      </c>
      <c r="V43" s="753" t="s">
        <v>28</v>
      </c>
      <c r="W43" s="754">
        <f t="shared" si="14"/>
        <v>100</v>
      </c>
      <c r="X43" s="1900"/>
      <c r="Y43" s="3038"/>
      <c r="Z43" s="1902" t="str">
        <f t="shared" si="15"/>
        <v>内部装修维护情况</v>
      </c>
      <c r="AA43" s="1903">
        <f t="shared" si="3"/>
        <v>1</v>
      </c>
      <c r="AB43" s="1903">
        <f t="shared" si="4"/>
        <v>1</v>
      </c>
      <c r="AC43" s="1903">
        <f t="shared" si="5"/>
        <v>1</v>
      </c>
    </row>
    <row r="44" spans="1:29" s="35" customFormat="1" ht="15" hidden="1">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36"/>
      <c r="Q44" s="1887">
        <f t="shared" si="11"/>
        <v>111</v>
      </c>
      <c r="R44" s="749" t="s">
        <v>28</v>
      </c>
      <c r="S44" s="750">
        <f t="shared" si="12"/>
        <v>100</v>
      </c>
      <c r="T44" s="749" t="s">
        <v>28</v>
      </c>
      <c r="U44" s="750">
        <f t="shared" si="13"/>
        <v>100</v>
      </c>
      <c r="V44" s="749" t="s">
        <v>28</v>
      </c>
      <c r="W44" s="750">
        <f t="shared" si="14"/>
        <v>100</v>
      </c>
      <c r="X44" s="751"/>
      <c r="Y44" s="3038"/>
      <c r="Z44" s="23">
        <f t="shared" si="15"/>
        <v>111</v>
      </c>
      <c r="AA44" s="752">
        <f t="shared" si="3"/>
        <v>1</v>
      </c>
      <c r="AB44" s="752">
        <f t="shared" si="4"/>
        <v>1</v>
      </c>
      <c r="AC44" s="752">
        <f t="shared" si="5"/>
        <v>1</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36"/>
      <c r="Q45" s="1899">
        <f t="shared" si="11"/>
        <v>111</v>
      </c>
      <c r="R45" s="753" t="s">
        <v>28</v>
      </c>
      <c r="S45" s="754">
        <f t="shared" si="12"/>
        <v>100</v>
      </c>
      <c r="T45" s="753" t="s">
        <v>28</v>
      </c>
      <c r="U45" s="754">
        <f t="shared" si="13"/>
        <v>100</v>
      </c>
      <c r="V45" s="753" t="s">
        <v>28</v>
      </c>
      <c r="W45" s="754">
        <f t="shared" si="14"/>
        <v>100</v>
      </c>
      <c r="X45" s="1900"/>
      <c r="Y45" s="3038"/>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37"/>
      <c r="Q46" s="1899">
        <f t="shared" si="11"/>
        <v>111</v>
      </c>
      <c r="R46" s="753" t="s">
        <v>27</v>
      </c>
      <c r="S46" s="754">
        <f t="shared" si="12"/>
        <v>100</v>
      </c>
      <c r="T46" s="753" t="s">
        <v>27</v>
      </c>
      <c r="U46" s="754">
        <f t="shared" si="13"/>
        <v>100</v>
      </c>
      <c r="V46" s="753" t="s">
        <v>27</v>
      </c>
      <c r="W46" s="754">
        <f t="shared" si="14"/>
        <v>100</v>
      </c>
      <c r="X46" s="1900"/>
      <c r="Y46" s="3039"/>
      <c r="Z46" s="1902">
        <f t="shared" si="15"/>
        <v>111</v>
      </c>
      <c r="AA46" s="1903">
        <f t="shared" si="3"/>
        <v>1</v>
      </c>
      <c r="AB46" s="1903">
        <f t="shared" si="4"/>
        <v>1</v>
      </c>
      <c r="AC46" s="1903">
        <f t="shared" si="5"/>
        <v>1</v>
      </c>
    </row>
    <row r="47" spans="1:29" ht="15">
      <c r="A47" s="460" t="s">
        <v>2385</v>
      </c>
      <c r="B47" s="461"/>
      <c r="C47" s="1502" t="s">
        <v>26</v>
      </c>
      <c r="D47" s="1503"/>
      <c r="E47" s="1504">
        <v>38861</v>
      </c>
      <c r="F47" s="1505"/>
      <c r="G47" s="1506">
        <v>43998</v>
      </c>
      <c r="H47" s="1507"/>
      <c r="I47" s="1504">
        <v>45763</v>
      </c>
      <c r="J47" s="1507"/>
      <c r="K47" s="2418"/>
      <c r="L47" s="1256"/>
      <c r="M47" s="1257"/>
      <c r="N47" s="1244"/>
      <c r="O47" s="1257"/>
      <c r="P47" s="3030" t="str">
        <f>A47</f>
        <v>成交单价（元/平方米）</v>
      </c>
      <c r="Q47" s="3030"/>
      <c r="R47" s="3026">
        <f>E47</f>
        <v>38861</v>
      </c>
      <c r="S47" s="3026"/>
      <c r="T47" s="3026">
        <f>G47</f>
        <v>43998</v>
      </c>
      <c r="U47" s="3026"/>
      <c r="V47" s="3026">
        <f>I47</f>
        <v>45763</v>
      </c>
      <c r="W47" s="3026"/>
      <c r="X47" s="738"/>
      <c r="Y47" s="760"/>
      <c r="Z47" s="738"/>
      <c r="AA47" s="738"/>
      <c r="AB47" s="738"/>
      <c r="AC47" s="738"/>
    </row>
    <row r="48" spans="1:29" ht="15.75" thickBot="1">
      <c r="A48" s="467" t="s">
        <v>2386</v>
      </c>
      <c r="B48" s="468"/>
      <c r="C48" s="1508">
        <f>R49</f>
        <v>41562</v>
      </c>
      <c r="D48" s="1509"/>
      <c r="E48" s="1510">
        <f>R48</f>
        <v>38912</v>
      </c>
      <c r="F48" s="1510"/>
      <c r="G48" s="1508">
        <f>T48</f>
        <v>42152</v>
      </c>
      <c r="H48" s="1509"/>
      <c r="I48" s="1510">
        <f>V48</f>
        <v>43621</v>
      </c>
      <c r="J48" s="1509"/>
      <c r="K48" s="2419"/>
      <c r="L48" s="1256"/>
      <c r="M48" s="1257"/>
      <c r="N48" s="1257"/>
      <c r="O48" s="1257"/>
      <c r="P48" s="3030" t="str">
        <f>A48</f>
        <v>比较价值（元/平方米）</v>
      </c>
      <c r="Q48" s="3030"/>
      <c r="R48" s="3026">
        <f>IF(E1="售价",ROUND(PRODUCT(R47,AA7:AA46),0),ROUND(PRODUCT(R47,AA7:AA46),1))</f>
        <v>38912</v>
      </c>
      <c r="S48" s="3026"/>
      <c r="T48" s="3024">
        <f>IF(E1="售价",ROUND(PRODUCT(T47,AB7:AB46),0),ROUND(PRODUCT(T47,AB7:AB46),1))</f>
        <v>42152</v>
      </c>
      <c r="U48" s="3025"/>
      <c r="V48" s="3026">
        <f>IF(E1="售价",ROUND(PRODUCT(V47,AC7:AC46),0),ROUND(PRODUCT(V47,AC7:AC46),1))</f>
        <v>43621</v>
      </c>
      <c r="W48" s="3026"/>
      <c r="X48" s="738"/>
      <c r="Y48" s="738"/>
      <c r="Z48" s="738"/>
      <c r="AA48" s="738"/>
      <c r="AB48" s="738"/>
      <c r="AC48" s="738"/>
    </row>
    <row r="49" spans="1:29" ht="15.75" thickBot="1">
      <c r="A49" s="473" t="s">
        <v>2882</v>
      </c>
      <c r="B49" s="474"/>
      <c r="C49" s="1511">
        <f>R49</f>
        <v>41562</v>
      </c>
      <c r="D49" s="1512"/>
      <c r="E49" s="1512"/>
      <c r="F49" s="1512"/>
      <c r="G49" s="1512"/>
      <c r="H49" s="1512"/>
      <c r="I49" s="1512"/>
      <c r="J49" s="1512"/>
      <c r="K49" s="2420"/>
      <c r="L49" s="1256"/>
      <c r="M49" s="1257"/>
      <c r="N49" s="1257"/>
      <c r="O49" s="1257"/>
      <c r="P49" s="3027" t="str">
        <f>A49</f>
        <v>估价对象住宅用房的比较价值（楼面单价，元/平方米）</v>
      </c>
      <c r="Q49" s="3028"/>
      <c r="R49" s="3029">
        <f>IF(E1="售价",ROUND(AVERAGE(R48:V48),0),ROUND(AVERAGE(R48:V48),1))</f>
        <v>41562</v>
      </c>
      <c r="S49" s="3029"/>
      <c r="T49" s="3029"/>
      <c r="U49" s="3029"/>
      <c r="V49" s="3029"/>
      <c r="W49" s="302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1.3123697280048585E-3</v>
      </c>
      <c r="F52" s="481" t="str">
        <f>IF(OR(E52&gt;=0.3,E52&lt;=-0.3),"超过30%","")</f>
        <v/>
      </c>
      <c r="G52" s="480">
        <f>IF(G47&lt;G48,G48/G47-1,G47/G48-1)</f>
        <v>4.3793888783450363E-2</v>
      </c>
      <c r="H52" s="481" t="str">
        <f>IF(OR(G52&gt;=0.3,G52&lt;=-0.3),"超过30%","")</f>
        <v/>
      </c>
      <c r="I52" s="480">
        <f>IF(I47&lt;I48,I48/I47-1,I47/I48-1)</f>
        <v>4.9104788977786029E-2</v>
      </c>
      <c r="J52" s="481" t="str">
        <f>IF(OR(I52&gt;=0.3,I52&lt;=-0.3),"超过30%","")</f>
        <v/>
      </c>
      <c r="K52" s="1262"/>
      <c r="L52" s="1258"/>
      <c r="M52" s="1257"/>
      <c r="N52" s="1257"/>
      <c r="O52" s="1257"/>
    </row>
    <row r="53" spans="1:29" ht="13.5" customHeight="1">
      <c r="A53" s="1257"/>
      <c r="B53" s="1257"/>
      <c r="C53" s="478" t="s">
        <v>2388</v>
      </c>
      <c r="D53" s="482"/>
      <c r="E53" s="480">
        <f>IF(E48&lt;G48,G48/E48-1,E48/G48-1)</f>
        <v>8.3264802631578982E-2</v>
      </c>
      <c r="F53" s="481" t="str">
        <f>IF(OR(E53&gt;=0.2,E53&lt;=-0.2),"超过20%","")</f>
        <v/>
      </c>
      <c r="G53" s="480">
        <f>IF(G48&lt;I48,I48/G48-1,G48/I48-1)</f>
        <v>3.4850066426266757E-2</v>
      </c>
      <c r="H53" s="481" t="str">
        <f>IF(OR(G53&gt;=0.2,G53&lt;=-0.2),"超过20%","")</f>
        <v/>
      </c>
      <c r="I53" s="480">
        <f>IF(I48&lt;E48,E48/I48-1,I48/E48-1)</f>
        <v>0.12101665296052633</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0.13218908417179187</v>
      </c>
      <c r="F54" s="481" t="str">
        <f>IF(OR(E54&gt;=0.3,E54&lt;=-0.3),"超过30%","")</f>
        <v/>
      </c>
      <c r="G54" s="480">
        <f>IF(G47&lt;I47,I47/G47-1,G47/I47-1)</f>
        <v>4.0115459793627073E-2</v>
      </c>
      <c r="H54" s="481" t="str">
        <f>IF(OR(G54&gt;=0.3,G54&lt;=-0.3),"超过30%","")</f>
        <v/>
      </c>
      <c r="I54" s="480">
        <f>IF(I47&lt;E47,E47/I47-1,I47/E47-1)</f>
        <v>0.1776073698566687</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2014-11</v>
      </c>
      <c r="D58" s="1679">
        <f>EDATE(C58,-1)</f>
        <v>41913</v>
      </c>
      <c r="E58" s="1679">
        <f t="shared" ref="E58:O58" si="16">EDATE(D58,-1)</f>
        <v>41883</v>
      </c>
      <c r="F58" s="1679">
        <f t="shared" si="16"/>
        <v>41852</v>
      </c>
      <c r="G58" s="1679">
        <f t="shared" si="16"/>
        <v>41821</v>
      </c>
      <c r="H58" s="1679">
        <f t="shared" si="16"/>
        <v>41791</v>
      </c>
      <c r="I58" s="1679">
        <f t="shared" si="16"/>
        <v>41760</v>
      </c>
      <c r="J58" s="1679">
        <f t="shared" si="16"/>
        <v>41730</v>
      </c>
      <c r="K58" s="1679">
        <f t="shared" si="16"/>
        <v>41699</v>
      </c>
      <c r="L58" s="1679">
        <f t="shared" si="16"/>
        <v>41671</v>
      </c>
      <c r="M58" s="1679">
        <f t="shared" si="16"/>
        <v>41640</v>
      </c>
      <c r="N58" s="1679">
        <f t="shared" si="16"/>
        <v>41609</v>
      </c>
      <c r="O58" s="1679">
        <f t="shared" si="16"/>
        <v>41579</v>
      </c>
      <c r="P58" s="2424"/>
    </row>
    <row r="59" spans="1:29" s="35" customFormat="1" ht="15">
      <c r="A59" s="490"/>
      <c r="B59" s="491"/>
      <c r="C59" s="623">
        <v>100</v>
      </c>
      <c r="D59" s="493">
        <v>100</v>
      </c>
      <c r="E59" s="493">
        <v>98.5</v>
      </c>
      <c r="F59" s="493">
        <f>E59</f>
        <v>98.5</v>
      </c>
      <c r="G59" s="493">
        <f>E59</f>
        <v>98.5</v>
      </c>
      <c r="H59" s="493">
        <v>97</v>
      </c>
      <c r="I59" s="493">
        <f>H59</f>
        <v>97</v>
      </c>
      <c r="J59" s="493">
        <f>H59</f>
        <v>97</v>
      </c>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2365</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v>3</v>
      </c>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2417</v>
      </c>
      <c r="C86" s="2759"/>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58" t="s">
        <v>2896</v>
      </c>
      <c r="D88" s="2758" t="s">
        <v>2889</v>
      </c>
      <c r="E88" s="2758"/>
      <c r="F88" s="3121" t="s">
        <v>2891</v>
      </c>
      <c r="G88" s="2758" t="s">
        <v>2864</v>
      </c>
      <c r="H88" s="2758" t="s">
        <v>2866</v>
      </c>
      <c r="I88" s="537"/>
      <c r="J88" s="537"/>
      <c r="K88" s="537"/>
      <c r="L88" s="537"/>
      <c r="M88" s="565"/>
      <c r="N88" s="1266"/>
      <c r="O88" s="1266"/>
      <c r="P88" s="2427"/>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7"/>
      <c r="Q89" s="485"/>
    </row>
    <row r="90" spans="1:17" s="452" customFormat="1" ht="15.75" thickTop="1">
      <c r="A90" s="536"/>
      <c r="B90" s="521" t="str">
        <f>B27</f>
        <v>道路级别</v>
      </c>
      <c r="C90" s="537" t="str">
        <f>C27</f>
        <v>城市次干道——外交部南街</v>
      </c>
      <c r="D90" s="537" t="str">
        <f>G27</f>
        <v>城市次干道——朝外市场街</v>
      </c>
      <c r="E90" s="537"/>
      <c r="F90" s="537"/>
      <c r="G90" s="537"/>
      <c r="H90" s="538"/>
      <c r="I90" s="538"/>
      <c r="J90" s="538"/>
      <c r="K90" s="538"/>
      <c r="L90" s="539"/>
      <c r="M90" s="540"/>
      <c r="N90" s="1269"/>
      <c r="O90" s="1269"/>
      <c r="P90" s="2428"/>
      <c r="Q90" s="543"/>
    </row>
    <row r="91" spans="1:17" s="452" customFormat="1" ht="15.75" thickBot="1">
      <c r="A91" s="536"/>
      <c r="B91" s="526"/>
      <c r="C91" s="544">
        <v>100</v>
      </c>
      <c r="D91" s="544">
        <v>100</v>
      </c>
      <c r="E91" s="544"/>
      <c r="F91" s="544"/>
      <c r="G91" s="544"/>
      <c r="H91" s="546"/>
      <c r="I91" s="546"/>
      <c r="J91" s="546"/>
      <c r="K91" s="546"/>
      <c r="L91" s="546"/>
      <c r="M91" s="547"/>
      <c r="N91" s="1269"/>
      <c r="O91" s="1269"/>
      <c r="P91" s="2428"/>
      <c r="Q91" s="543"/>
    </row>
    <row r="92" spans="1:17" ht="15.75" thickTop="1">
      <c r="A92" s="516"/>
      <c r="B92" s="521" t="str">
        <f>B28</f>
        <v>楼层</v>
      </c>
      <c r="C92" s="2759" t="str">
        <f>C28</f>
        <v>6/21（低层）</v>
      </c>
      <c r="D92" s="2759" t="str">
        <f>E28</f>
        <v>高层/21</v>
      </c>
      <c r="E92" s="2759" t="str">
        <f>G28</f>
        <v>中层/14</v>
      </c>
      <c r="F92" s="537"/>
      <c r="G92" s="567"/>
      <c r="H92" s="567"/>
      <c r="I92" s="567"/>
      <c r="J92" s="567"/>
      <c r="K92" s="568"/>
      <c r="L92" s="569"/>
      <c r="M92" s="570"/>
      <c r="N92" s="1267"/>
      <c r="O92" s="1267"/>
      <c r="P92" s="2427"/>
      <c r="Q92" s="485"/>
    </row>
    <row r="93" spans="1:17" ht="15.75" thickBot="1">
      <c r="A93" s="516"/>
      <c r="B93" s="526"/>
      <c r="C93" s="544">
        <v>100</v>
      </c>
      <c r="D93" s="518">
        <v>103</v>
      </c>
      <c r="E93" s="518">
        <v>101</v>
      </c>
      <c r="F93" s="518"/>
      <c r="G93" s="518"/>
      <c r="H93" s="518"/>
      <c r="I93" s="518"/>
      <c r="J93" s="518"/>
      <c r="K93" s="518"/>
      <c r="L93" s="518"/>
      <c r="M93" s="519"/>
      <c r="N93" s="1268"/>
      <c r="O93" s="1268"/>
      <c r="P93" s="2427"/>
      <c r="Q93" s="485"/>
    </row>
    <row r="94" spans="1:17" ht="15.75" thickTop="1">
      <c r="A94" s="516"/>
      <c r="B94" s="521" t="str">
        <f>B29</f>
        <v>建成年代</v>
      </c>
      <c r="C94" s="537">
        <v>2000</v>
      </c>
      <c r="D94" s="537">
        <v>1997</v>
      </c>
      <c r="E94" s="537"/>
      <c r="F94" s="537"/>
      <c r="G94" s="567"/>
      <c r="H94" s="567"/>
      <c r="I94" s="567"/>
      <c r="J94" s="567"/>
      <c r="K94" s="568"/>
      <c r="L94" s="569"/>
      <c r="M94" s="570"/>
      <c r="N94" s="1267"/>
      <c r="O94" s="1267"/>
      <c r="P94" s="2427"/>
      <c r="Q94" s="485"/>
    </row>
    <row r="95" spans="1:17" ht="15.75" thickBot="1">
      <c r="A95" s="516"/>
      <c r="B95" s="526"/>
      <c r="C95" s="544">
        <v>100</v>
      </c>
      <c r="D95" s="544">
        <v>98.5</v>
      </c>
      <c r="E95" s="544"/>
      <c r="F95" s="544"/>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2371</v>
      </c>
      <c r="B100" s="509" t="s">
        <v>2419</v>
      </c>
      <c r="C100" s="2760" t="s">
        <v>2869</v>
      </c>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2420</v>
      </c>
      <c r="C102" s="562" t="str">
        <f>C103&amp;"(含)"&amp;"-"&amp;D103</f>
        <v>0(含)-120</v>
      </c>
      <c r="D102" s="562" t="str">
        <f t="shared" ref="D102:L102" si="23">D103&amp;"(含)"&amp;"-"&amp;E103</f>
        <v>120(含)-180</v>
      </c>
      <c r="E102" s="562" t="str">
        <f t="shared" si="23"/>
        <v>180(含)-210</v>
      </c>
      <c r="F102" s="562" t="str">
        <f t="shared" si="23"/>
        <v>210(含)-240</v>
      </c>
      <c r="G102" s="562" t="str">
        <f t="shared" si="23"/>
        <v>240(含)-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120</v>
      </c>
      <c r="E103" s="579">
        <v>180</v>
      </c>
      <c r="F103" s="579">
        <v>210</v>
      </c>
      <c r="G103" s="579">
        <v>240</v>
      </c>
      <c r="H103" s="579"/>
      <c r="I103" s="579"/>
      <c r="J103" s="580"/>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8"/>
      <c r="O104" s="1268"/>
      <c r="P104" s="2428"/>
      <c r="Q104" s="543"/>
    </row>
    <row r="105" spans="1:17" ht="15" thickTop="1">
      <c r="A105" s="583"/>
      <c r="B105" s="521" t="s">
        <v>2421</v>
      </c>
      <c r="C105" s="2758" t="s">
        <v>2871</v>
      </c>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2422</v>
      </c>
      <c r="C107" s="2761" t="s">
        <v>2873</v>
      </c>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58" t="s">
        <v>2875</v>
      </c>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2425</v>
      </c>
      <c r="C114" s="2758" t="s">
        <v>2877</v>
      </c>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2426</v>
      </c>
      <c r="C116" s="2758" t="s">
        <v>2878</v>
      </c>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2427</v>
      </c>
      <c r="C118" s="2761" t="s">
        <v>2880</v>
      </c>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58" t="s">
        <v>2875</v>
      </c>
      <c r="D122" s="2758" t="s">
        <v>2881</v>
      </c>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2450</v>
      </c>
      <c r="C1" s="1726"/>
      <c r="D1" s="2454"/>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223.09</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2342</v>
      </c>
      <c r="B4" s="381"/>
      <c r="C4" s="3057" t="s">
        <v>2343</v>
      </c>
      <c r="D4" s="3058"/>
      <c r="E4" s="3059" t="s">
        <v>2344</v>
      </c>
      <c r="F4" s="3060"/>
      <c r="G4" s="3057" t="s">
        <v>2345</v>
      </c>
      <c r="H4" s="3058"/>
      <c r="I4" s="3057" t="s">
        <v>2346</v>
      </c>
      <c r="J4" s="3058"/>
      <c r="K4" s="594" t="s">
        <v>2347</v>
      </c>
      <c r="L4" s="1243"/>
      <c r="M4" s="1244"/>
      <c r="N4" s="1244"/>
      <c r="O4" s="1244"/>
      <c r="P4" s="3061" t="s">
        <v>2348</v>
      </c>
      <c r="Q4" s="3062"/>
      <c r="R4" s="3046" t="s">
        <v>2344</v>
      </c>
      <c r="S4" s="3047"/>
      <c r="T4" s="3046" t="s">
        <v>2345</v>
      </c>
      <c r="U4" s="3047"/>
      <c r="V4" s="3067" t="s">
        <v>2346</v>
      </c>
      <c r="W4" s="3067"/>
      <c r="X4" s="1900"/>
      <c r="Y4" s="3046" t="s">
        <v>2348</v>
      </c>
      <c r="Z4" s="3047"/>
      <c r="AA4" s="3054" t="s">
        <v>2344</v>
      </c>
      <c r="AB4" s="3067" t="s">
        <v>2345</v>
      </c>
      <c r="AC4" s="3054" t="s">
        <v>2346</v>
      </c>
    </row>
    <row r="5" spans="1:29" ht="15">
      <c r="A5" s="383"/>
      <c r="B5" s="384"/>
      <c r="C5" s="3042" t="s">
        <v>2349</v>
      </c>
      <c r="D5" s="3043"/>
      <c r="E5" s="3068" t="s">
        <v>2350</v>
      </c>
      <c r="F5" s="3069"/>
      <c r="G5" s="3042" t="s">
        <v>2351</v>
      </c>
      <c r="H5" s="3043"/>
      <c r="I5" s="3042" t="s">
        <v>2352</v>
      </c>
      <c r="J5" s="3043"/>
      <c r="K5" s="594"/>
      <c r="L5" s="1243"/>
      <c r="M5" s="1244"/>
      <c r="N5" s="1244"/>
      <c r="O5" s="1244"/>
      <c r="P5" s="3063"/>
      <c r="Q5" s="3064"/>
      <c r="R5" s="3048"/>
      <c r="S5" s="3049"/>
      <c r="T5" s="3048"/>
      <c r="U5" s="3049"/>
      <c r="V5" s="3067"/>
      <c r="W5" s="3067"/>
      <c r="X5" s="1900"/>
      <c r="Y5" s="3048"/>
      <c r="Z5" s="3049"/>
      <c r="AA5" s="3055"/>
      <c r="AB5" s="3067"/>
      <c r="AC5" s="3055"/>
    </row>
    <row r="6" spans="1:29" ht="15.75" thickBot="1">
      <c r="A6" s="385"/>
      <c r="B6" s="386"/>
      <c r="C6" s="3040" t="s">
        <v>2353</v>
      </c>
      <c r="D6" s="3041"/>
      <c r="E6" s="3070" t="s">
        <v>2353</v>
      </c>
      <c r="F6" s="3071"/>
      <c r="G6" s="3040" t="s">
        <v>2353</v>
      </c>
      <c r="H6" s="3041"/>
      <c r="I6" s="3040" t="s">
        <v>2353</v>
      </c>
      <c r="J6" s="3041"/>
      <c r="K6" s="594" t="s">
        <v>2354</v>
      </c>
      <c r="L6" s="1243"/>
      <c r="M6" s="1244"/>
      <c r="N6" s="1244"/>
      <c r="O6" s="1244"/>
      <c r="P6" s="3065"/>
      <c r="Q6" s="3066"/>
      <c r="R6" s="3048"/>
      <c r="S6" s="3049"/>
      <c r="T6" s="3050"/>
      <c r="U6" s="3051"/>
      <c r="V6" s="3067"/>
      <c r="W6" s="3067"/>
      <c r="X6" s="1900"/>
      <c r="Y6" s="3050"/>
      <c r="Z6" s="3051"/>
      <c r="AA6" s="3056"/>
      <c r="AB6" s="3067"/>
      <c r="AC6" s="3056"/>
    </row>
    <row r="7" spans="1:29" s="35" customFormat="1" ht="15.75" thickBot="1">
      <c r="A7" s="387" t="s">
        <v>2355</v>
      </c>
      <c r="B7" s="388"/>
      <c r="C7" s="389">
        <f>'数据-取费表'!B2</f>
        <v>41962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4" t="s">
        <v>2356</v>
      </c>
      <c r="Q7" s="3052"/>
      <c r="R7" s="749" t="s">
        <v>25</v>
      </c>
      <c r="S7" s="750">
        <f t="shared" ref="S7:S15" si="0">F7</f>
        <v>0</v>
      </c>
      <c r="T7" s="749" t="s">
        <v>25</v>
      </c>
      <c r="U7" s="750">
        <f t="shared" ref="U7:U15" si="1">H7</f>
        <v>0</v>
      </c>
      <c r="V7" s="749" t="s">
        <v>25</v>
      </c>
      <c r="W7" s="750">
        <f t="shared" ref="W7:W15" si="2">J7</f>
        <v>0</v>
      </c>
      <c r="X7" s="751"/>
      <c r="Y7" s="3044" t="s">
        <v>2356</v>
      </c>
      <c r="Z7" s="3045"/>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4" t="s">
        <v>2359</v>
      </c>
      <c r="Q8" s="3045"/>
      <c r="R8" s="749" t="s">
        <v>25</v>
      </c>
      <c r="S8" s="750">
        <f t="shared" si="0"/>
        <v>0</v>
      </c>
      <c r="T8" s="749" t="s">
        <v>25</v>
      </c>
      <c r="U8" s="750">
        <f t="shared" si="1"/>
        <v>0</v>
      </c>
      <c r="V8" s="749" t="s">
        <v>25</v>
      </c>
      <c r="W8" s="750">
        <f t="shared" si="2"/>
        <v>0</v>
      </c>
      <c r="X8" s="751"/>
      <c r="Y8" s="3044" t="s">
        <v>2359</v>
      </c>
      <c r="Z8" s="3045"/>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3" t="s">
        <v>2362</v>
      </c>
      <c r="Q9" s="1887"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3"/>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3"/>
      <c r="Q11" s="1887"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3"/>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3"/>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3"/>
      <c r="Q14" s="1887">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71.25">
      <c r="A15" s="419" t="s">
        <v>2366</v>
      </c>
      <c r="B15" s="26" t="s">
        <v>2451</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1" t="s">
        <v>2367</v>
      </c>
      <c r="Q15" s="1899" t="str">
        <f t="shared" si="6"/>
        <v>商业繁华度</v>
      </c>
      <c r="R15" s="753" t="s">
        <v>25</v>
      </c>
      <c r="S15" s="754">
        <f t="shared" si="0"/>
        <v>100</v>
      </c>
      <c r="T15" s="753" t="s">
        <v>25</v>
      </c>
      <c r="U15" s="754">
        <f t="shared" si="1"/>
        <v>100</v>
      </c>
      <c r="V15" s="753" t="s">
        <v>25</v>
      </c>
      <c r="W15" s="754">
        <f t="shared" si="2"/>
        <v>100</v>
      </c>
      <c r="X15" s="1900"/>
      <c r="Y15" s="3033"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2"/>
      <c r="Q16" s="1899"/>
      <c r="R16" s="753"/>
      <c r="S16" s="754"/>
      <c r="T16" s="753"/>
      <c r="U16" s="754"/>
      <c r="V16" s="753"/>
      <c r="W16" s="754"/>
      <c r="X16" s="1900"/>
      <c r="Y16" s="3034"/>
      <c r="Z16" s="1902"/>
      <c r="AA16" s="1903">
        <v>1</v>
      </c>
      <c r="AB16" s="1903">
        <v>1</v>
      </c>
      <c r="AC16" s="1903">
        <v>1</v>
      </c>
    </row>
    <row r="17" spans="1:29" ht="128.25">
      <c r="A17" s="408"/>
      <c r="B17" s="431" t="s">
        <v>1751</v>
      </c>
      <c r="C17" s="2407" t="str">
        <f>估价对象房地状况!C6</f>
        <v>估价对象周边有44路、58路、139路、特2路、特12路等多条公交线路及地铁2、6号线换乘站（朝阳门站），综合评价交通便捷度较好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2"/>
      <c r="Q17" s="1899" t="str">
        <f>B17</f>
        <v>交通便捷度</v>
      </c>
      <c r="R17" s="753" t="s">
        <v>25</v>
      </c>
      <c r="S17" s="754">
        <f>F17</f>
        <v>100</v>
      </c>
      <c r="T17" s="753" t="s">
        <v>25</v>
      </c>
      <c r="U17" s="754">
        <f>H17</f>
        <v>100</v>
      </c>
      <c r="V17" s="753" t="s">
        <v>25</v>
      </c>
      <c r="W17" s="754">
        <f>J17</f>
        <v>100</v>
      </c>
      <c r="X17" s="1900"/>
      <c r="Y17" s="3034"/>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32"/>
      <c r="Q18" s="1899"/>
      <c r="R18" s="753"/>
      <c r="S18" s="754"/>
      <c r="T18" s="753"/>
      <c r="U18" s="754"/>
      <c r="V18" s="753"/>
      <c r="W18" s="754"/>
      <c r="X18" s="1900"/>
      <c r="Y18" s="3034"/>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2"/>
      <c r="Q19" s="1899" t="str">
        <f>B19</f>
        <v>公共配套设施</v>
      </c>
      <c r="R19" s="753" t="s">
        <v>25</v>
      </c>
      <c r="S19" s="754">
        <f>F19</f>
        <v>100</v>
      </c>
      <c r="T19" s="753" t="s">
        <v>25</v>
      </c>
      <c r="U19" s="754">
        <f>H19</f>
        <v>100</v>
      </c>
      <c r="V19" s="753" t="s">
        <v>25</v>
      </c>
      <c r="W19" s="754">
        <f>J19</f>
        <v>100</v>
      </c>
      <c r="X19" s="1900"/>
      <c r="Y19" s="3034"/>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32"/>
      <c r="Q20" s="1899"/>
      <c r="R20" s="753"/>
      <c r="S20" s="754"/>
      <c r="T20" s="753"/>
      <c r="U20" s="754"/>
      <c r="V20" s="753"/>
      <c r="W20" s="754"/>
      <c r="X20" s="1900"/>
      <c r="Y20" s="3034"/>
      <c r="Z20" s="1902"/>
      <c r="AA20" s="1903">
        <v>1</v>
      </c>
      <c r="AB20" s="1903">
        <v>1</v>
      </c>
      <c r="AC20" s="1903">
        <v>1</v>
      </c>
    </row>
    <row r="21" spans="1:29" ht="15">
      <c r="A21" s="408"/>
      <c r="B21" s="2409" t="s">
        <v>2453</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2"/>
      <c r="Q21" s="1899" t="str">
        <f>B21</f>
        <v>基础设施水平</v>
      </c>
      <c r="R21" s="753" t="s">
        <v>25</v>
      </c>
      <c r="S21" s="754">
        <f>F21</f>
        <v>100</v>
      </c>
      <c r="T21" s="753" t="s">
        <v>25</v>
      </c>
      <c r="U21" s="754">
        <f>H21</f>
        <v>100</v>
      </c>
      <c r="V21" s="753" t="s">
        <v>25</v>
      </c>
      <c r="W21" s="754">
        <f>J21</f>
        <v>100</v>
      </c>
      <c r="X21" s="1900"/>
      <c r="Y21" s="3034"/>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32"/>
      <c r="Q22" s="1899"/>
      <c r="R22" s="753"/>
      <c r="S22" s="754"/>
      <c r="T22" s="753"/>
      <c r="U22" s="754"/>
      <c r="V22" s="753"/>
      <c r="W22" s="754"/>
      <c r="X22" s="1900"/>
      <c r="Y22" s="3034"/>
      <c r="Z22" s="1902"/>
      <c r="AA22" s="1903">
        <v>1</v>
      </c>
      <c r="AB22" s="1903">
        <v>1</v>
      </c>
      <c r="AC22" s="1903">
        <v>1</v>
      </c>
    </row>
    <row r="23" spans="1:29" ht="99.75">
      <c r="A23" s="408"/>
      <c r="B23" s="431" t="s">
        <v>1756</v>
      </c>
      <c r="C23" s="2458" t="str">
        <f>估价对象房地状况!C9</f>
        <v>区域自然环境：日坛公园；人文环境：朝阳区政府、中国司法部、使馆区；综合评价环境状况较好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2"/>
      <c r="Q23" s="1899" t="str">
        <f>B23</f>
        <v>自然及人文环境</v>
      </c>
      <c r="R23" s="753" t="s">
        <v>25</v>
      </c>
      <c r="S23" s="754">
        <f>F23</f>
        <v>100</v>
      </c>
      <c r="T23" s="753" t="s">
        <v>25</v>
      </c>
      <c r="U23" s="754">
        <f>H23</f>
        <v>100</v>
      </c>
      <c r="V23" s="753" t="s">
        <v>25</v>
      </c>
      <c r="W23" s="754">
        <f>J23</f>
        <v>100</v>
      </c>
      <c r="X23" s="1900"/>
      <c r="Y23" s="3034"/>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32"/>
      <c r="Q24" s="1899"/>
      <c r="R24" s="753"/>
      <c r="S24" s="754"/>
      <c r="T24" s="753"/>
      <c r="U24" s="754"/>
      <c r="V24" s="753"/>
      <c r="W24" s="754"/>
      <c r="X24" s="1900"/>
      <c r="Y24" s="3034"/>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2"/>
      <c r="Q25" s="1899" t="str">
        <f t="shared" ref="Q25:Q46" si="11">B25</f>
        <v>临街状况</v>
      </c>
      <c r="R25" s="753" t="s">
        <v>25</v>
      </c>
      <c r="S25" s="754">
        <f>F25</f>
        <v>100</v>
      </c>
      <c r="T25" s="753" t="s">
        <v>25</v>
      </c>
      <c r="U25" s="754">
        <f>H25</f>
        <v>100</v>
      </c>
      <c r="V25" s="753" t="s">
        <v>25</v>
      </c>
      <c r="W25" s="754">
        <f>J25</f>
        <v>100</v>
      </c>
      <c r="X25" s="1900"/>
      <c r="Y25" s="3034"/>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2"/>
      <c r="Q26" s="1899" t="str">
        <f t="shared" si="11"/>
        <v>平面位置/可视性</v>
      </c>
      <c r="R26" s="753" t="s">
        <v>25</v>
      </c>
      <c r="S26" s="754">
        <f>F26</f>
        <v>100</v>
      </c>
      <c r="T26" s="753" t="s">
        <v>25</v>
      </c>
      <c r="U26" s="754">
        <f>H26</f>
        <v>100</v>
      </c>
      <c r="V26" s="753" t="s">
        <v>25</v>
      </c>
      <c r="W26" s="754">
        <f>J26</f>
        <v>100</v>
      </c>
      <c r="X26" s="1900"/>
      <c r="Y26" s="3034"/>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32"/>
      <c r="Q27" s="1887" t="str">
        <f t="shared" si="11"/>
        <v>人流量</v>
      </c>
      <c r="R27" s="749" t="s">
        <v>25</v>
      </c>
      <c r="S27" s="750">
        <f>F27</f>
        <v>100</v>
      </c>
      <c r="T27" s="749" t="s">
        <v>25</v>
      </c>
      <c r="U27" s="750">
        <f>H27</f>
        <v>100</v>
      </c>
      <c r="V27" s="749" t="s">
        <v>25</v>
      </c>
      <c r="W27" s="750">
        <f>J27</f>
        <v>100</v>
      </c>
      <c r="X27" s="751"/>
      <c r="Y27" s="3034"/>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4"/>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2"/>
      <c r="Q29" s="1899">
        <f t="shared" si="11"/>
        <v>111</v>
      </c>
      <c r="R29" s="753" t="s">
        <v>25</v>
      </c>
      <c r="S29" s="754">
        <f t="shared" si="12"/>
        <v>100</v>
      </c>
      <c r="T29" s="753" t="s">
        <v>25</v>
      </c>
      <c r="U29" s="754">
        <f t="shared" si="13"/>
        <v>100</v>
      </c>
      <c r="V29" s="753" t="s">
        <v>25</v>
      </c>
      <c r="W29" s="754">
        <f t="shared" si="14"/>
        <v>100</v>
      </c>
      <c r="X29" s="1900"/>
      <c r="Y29" s="3034"/>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2"/>
      <c r="Q30" s="1899">
        <f t="shared" si="11"/>
        <v>111</v>
      </c>
      <c r="R30" s="753" t="s">
        <v>25</v>
      </c>
      <c r="S30" s="754">
        <f t="shared" si="12"/>
        <v>100</v>
      </c>
      <c r="T30" s="753" t="s">
        <v>25</v>
      </c>
      <c r="U30" s="754">
        <f t="shared" si="13"/>
        <v>100</v>
      </c>
      <c r="V30" s="753" t="s">
        <v>25</v>
      </c>
      <c r="W30" s="754">
        <f t="shared" si="14"/>
        <v>100</v>
      </c>
      <c r="X30" s="1900"/>
      <c r="Y30" s="3034"/>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2"/>
      <c r="Q31" s="1899">
        <f t="shared" si="11"/>
        <v>111</v>
      </c>
      <c r="R31" s="753" t="s">
        <v>25</v>
      </c>
      <c r="S31" s="754">
        <f t="shared" si="12"/>
        <v>100</v>
      </c>
      <c r="T31" s="753" t="s">
        <v>25</v>
      </c>
      <c r="U31" s="754">
        <f t="shared" si="13"/>
        <v>100</v>
      </c>
      <c r="V31" s="753" t="s">
        <v>25</v>
      </c>
      <c r="W31" s="754">
        <f t="shared" si="14"/>
        <v>100</v>
      </c>
      <c r="X31" s="1900"/>
      <c r="Y31" s="3034"/>
      <c r="Z31" s="1902">
        <f t="shared" si="15"/>
        <v>111</v>
      </c>
      <c r="AA31" s="1903">
        <f t="shared" si="3"/>
        <v>1</v>
      </c>
      <c r="AB31" s="1903">
        <f t="shared" si="4"/>
        <v>1</v>
      </c>
      <c r="AC31" s="1903">
        <f t="shared" si="5"/>
        <v>1</v>
      </c>
    </row>
    <row r="32" spans="1:29" ht="15">
      <c r="A32" s="419" t="s">
        <v>2371</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35" t="s">
        <v>2373</v>
      </c>
      <c r="Q32" s="1899" t="str">
        <f t="shared" si="11"/>
        <v>商业类型</v>
      </c>
      <c r="R32" s="753" t="s">
        <v>25</v>
      </c>
      <c r="S32" s="754">
        <f t="shared" si="12"/>
        <v>100</v>
      </c>
      <c r="T32" s="753" t="s">
        <v>25</v>
      </c>
      <c r="U32" s="754">
        <f t="shared" si="13"/>
        <v>100</v>
      </c>
      <c r="V32" s="753" t="s">
        <v>25</v>
      </c>
      <c r="W32" s="754">
        <f t="shared" si="14"/>
        <v>100</v>
      </c>
      <c r="X32" s="1900"/>
      <c r="Y32" s="3038"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36"/>
      <c r="Q33" s="755" t="str">
        <f t="shared" si="11"/>
        <v>项目建筑规模</v>
      </c>
      <c r="R33" s="756" t="s">
        <v>25</v>
      </c>
      <c r="S33" s="757" t="e">
        <f t="shared" si="12"/>
        <v>#N/A</v>
      </c>
      <c r="T33" s="756" t="s">
        <v>25</v>
      </c>
      <c r="U33" s="757" t="e">
        <f t="shared" si="13"/>
        <v>#N/A</v>
      </c>
      <c r="V33" s="756" t="s">
        <v>25</v>
      </c>
      <c r="W33" s="757" t="e">
        <f t="shared" si="14"/>
        <v>#N/A</v>
      </c>
      <c r="X33" s="758"/>
      <c r="Y33" s="3038"/>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36"/>
      <c r="Q34" s="1899" t="str">
        <f t="shared" si="11"/>
        <v>建筑结构</v>
      </c>
      <c r="R34" s="753" t="s">
        <v>25</v>
      </c>
      <c r="S34" s="754">
        <f t="shared" si="12"/>
        <v>100</v>
      </c>
      <c r="T34" s="753" t="s">
        <v>25</v>
      </c>
      <c r="U34" s="754">
        <f t="shared" si="13"/>
        <v>100</v>
      </c>
      <c r="V34" s="753" t="s">
        <v>25</v>
      </c>
      <c r="W34" s="754">
        <f t="shared" si="14"/>
        <v>100</v>
      </c>
      <c r="X34" s="1900"/>
      <c r="Y34" s="3038"/>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36"/>
      <c r="Q35" s="1899" t="str">
        <f t="shared" si="11"/>
        <v>公共部分装修</v>
      </c>
      <c r="R35" s="753" t="s">
        <v>25</v>
      </c>
      <c r="S35" s="754">
        <f t="shared" si="12"/>
        <v>100</v>
      </c>
      <c r="T35" s="753" t="s">
        <v>25</v>
      </c>
      <c r="U35" s="754">
        <f t="shared" si="13"/>
        <v>100</v>
      </c>
      <c r="V35" s="753" t="s">
        <v>25</v>
      </c>
      <c r="W35" s="754">
        <f t="shared" si="14"/>
        <v>100</v>
      </c>
      <c r="X35" s="1900"/>
      <c r="Y35" s="3038"/>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36"/>
      <c r="Q36" s="1899" t="str">
        <f t="shared" si="11"/>
        <v>成新度</v>
      </c>
      <c r="R36" s="753" t="s">
        <v>25</v>
      </c>
      <c r="S36" s="754" t="e">
        <f t="shared" si="12"/>
        <v>#N/A</v>
      </c>
      <c r="T36" s="753" t="s">
        <v>25</v>
      </c>
      <c r="U36" s="754" t="e">
        <f t="shared" si="13"/>
        <v>#N/A</v>
      </c>
      <c r="V36" s="753" t="s">
        <v>25</v>
      </c>
      <c r="W36" s="754" t="e">
        <f t="shared" si="14"/>
        <v>#N/A</v>
      </c>
      <c r="X36" s="1900"/>
      <c r="Y36" s="3038"/>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36"/>
      <c r="Q37" s="1887" t="str">
        <f t="shared" si="11"/>
        <v>市政基础设施</v>
      </c>
      <c r="R37" s="749" t="s">
        <v>25</v>
      </c>
      <c r="S37" s="750">
        <f t="shared" si="12"/>
        <v>100</v>
      </c>
      <c r="T37" s="749" t="s">
        <v>25</v>
      </c>
      <c r="U37" s="750">
        <f t="shared" si="13"/>
        <v>100</v>
      </c>
      <c r="V37" s="749" t="s">
        <v>25</v>
      </c>
      <c r="W37" s="750">
        <f t="shared" si="14"/>
        <v>100</v>
      </c>
      <c r="X37" s="751"/>
      <c r="Y37" s="3038"/>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36" t="s">
        <v>2373</v>
      </c>
      <c r="Q38" s="1899" t="str">
        <f t="shared" si="11"/>
        <v>业态</v>
      </c>
      <c r="R38" s="753" t="s">
        <v>25</v>
      </c>
      <c r="S38" s="754">
        <f t="shared" si="12"/>
        <v>100</v>
      </c>
      <c r="T38" s="753" t="s">
        <v>25</v>
      </c>
      <c r="U38" s="754">
        <f t="shared" si="13"/>
        <v>100</v>
      </c>
      <c r="V38" s="753" t="s">
        <v>25</v>
      </c>
      <c r="W38" s="754">
        <f t="shared" si="14"/>
        <v>100</v>
      </c>
      <c r="X38" s="1900"/>
      <c r="Y38" s="3038" t="s">
        <v>2373</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36"/>
      <c r="Q39" s="1899" t="str">
        <f t="shared" si="11"/>
        <v>层高</v>
      </c>
      <c r="R39" s="753" t="s">
        <v>25</v>
      </c>
      <c r="S39" s="754">
        <f t="shared" si="12"/>
        <v>100</v>
      </c>
      <c r="T39" s="753" t="s">
        <v>25</v>
      </c>
      <c r="U39" s="754">
        <f t="shared" si="13"/>
        <v>100</v>
      </c>
      <c r="V39" s="753" t="s">
        <v>25</v>
      </c>
      <c r="W39" s="754">
        <f t="shared" si="14"/>
        <v>100</v>
      </c>
      <c r="X39" s="1900"/>
      <c r="Y39" s="3038"/>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36"/>
      <c r="Q40" s="1899" t="str">
        <f t="shared" si="11"/>
        <v>单套建筑面积</v>
      </c>
      <c r="R40" s="753" t="s">
        <v>25</v>
      </c>
      <c r="S40" s="754">
        <f t="shared" si="12"/>
        <v>100</v>
      </c>
      <c r="T40" s="753" t="s">
        <v>25</v>
      </c>
      <c r="U40" s="754">
        <f t="shared" si="13"/>
        <v>100</v>
      </c>
      <c r="V40" s="753" t="s">
        <v>25</v>
      </c>
      <c r="W40" s="754">
        <f t="shared" si="14"/>
        <v>100</v>
      </c>
      <c r="X40" s="1900"/>
      <c r="Y40" s="3038"/>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36"/>
      <c r="Q41" s="755" t="str">
        <f t="shared" si="11"/>
        <v>进深比</v>
      </c>
      <c r="R41" s="756" t="s">
        <v>25</v>
      </c>
      <c r="S41" s="757">
        <f t="shared" si="12"/>
        <v>100</v>
      </c>
      <c r="T41" s="756" t="s">
        <v>25</v>
      </c>
      <c r="U41" s="757">
        <f t="shared" si="13"/>
        <v>100</v>
      </c>
      <c r="V41" s="756" t="s">
        <v>25</v>
      </c>
      <c r="W41" s="757">
        <f t="shared" si="14"/>
        <v>100</v>
      </c>
      <c r="X41" s="758"/>
      <c r="Y41" s="3038"/>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36"/>
      <c r="Q42" s="1899" t="str">
        <f t="shared" si="11"/>
        <v>内部装修</v>
      </c>
      <c r="R42" s="753" t="s">
        <v>25</v>
      </c>
      <c r="S42" s="754">
        <f t="shared" si="12"/>
        <v>100</v>
      </c>
      <c r="T42" s="753" t="s">
        <v>25</v>
      </c>
      <c r="U42" s="754">
        <f t="shared" si="13"/>
        <v>100</v>
      </c>
      <c r="V42" s="753" t="s">
        <v>25</v>
      </c>
      <c r="W42" s="754">
        <f t="shared" si="14"/>
        <v>100</v>
      </c>
      <c r="X42" s="1900"/>
      <c r="Y42" s="3038"/>
      <c r="Z42" s="1902" t="str">
        <f t="shared" si="15"/>
        <v>内部装修</v>
      </c>
      <c r="AA42" s="1903">
        <f t="shared" si="3"/>
        <v>1</v>
      </c>
      <c r="AB42" s="1903">
        <f t="shared" si="4"/>
        <v>1</v>
      </c>
      <c r="AC42" s="1903">
        <f t="shared" si="5"/>
        <v>1</v>
      </c>
    </row>
    <row r="43" spans="1:29" ht="15">
      <c r="A43" s="453"/>
      <c r="B43" s="402" t="s">
        <v>2384</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36"/>
      <c r="Q43" s="1899" t="str">
        <f t="shared" si="11"/>
        <v>内部装修维护情况</v>
      </c>
      <c r="R43" s="753" t="s">
        <v>25</v>
      </c>
      <c r="S43" s="754">
        <f t="shared" si="12"/>
        <v>100</v>
      </c>
      <c r="T43" s="753" t="s">
        <v>25</v>
      </c>
      <c r="U43" s="754">
        <f t="shared" si="13"/>
        <v>100</v>
      </c>
      <c r="V43" s="753" t="s">
        <v>25</v>
      </c>
      <c r="W43" s="754">
        <f t="shared" si="14"/>
        <v>100</v>
      </c>
      <c r="X43" s="1900"/>
      <c r="Y43" s="3038"/>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36"/>
      <c r="Q44" s="1887">
        <f t="shared" si="11"/>
        <v>111</v>
      </c>
      <c r="R44" s="749" t="s">
        <v>25</v>
      </c>
      <c r="S44" s="750">
        <f t="shared" si="12"/>
        <v>100</v>
      </c>
      <c r="T44" s="749" t="s">
        <v>25</v>
      </c>
      <c r="U44" s="750">
        <f t="shared" si="13"/>
        <v>100</v>
      </c>
      <c r="V44" s="749" t="s">
        <v>25</v>
      </c>
      <c r="W44" s="750">
        <f t="shared" si="14"/>
        <v>100</v>
      </c>
      <c r="X44" s="751"/>
      <c r="Y44" s="3038"/>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36"/>
      <c r="Q45" s="1899">
        <f t="shared" si="11"/>
        <v>111</v>
      </c>
      <c r="R45" s="753" t="s">
        <v>25</v>
      </c>
      <c r="S45" s="754">
        <f t="shared" si="12"/>
        <v>100</v>
      </c>
      <c r="T45" s="753" t="s">
        <v>25</v>
      </c>
      <c r="U45" s="754">
        <f t="shared" si="13"/>
        <v>100</v>
      </c>
      <c r="V45" s="753" t="s">
        <v>25</v>
      </c>
      <c r="W45" s="754">
        <f t="shared" si="14"/>
        <v>100</v>
      </c>
      <c r="X45" s="1900"/>
      <c r="Y45" s="3038"/>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7"/>
      <c r="Q46" s="1899">
        <f t="shared" si="11"/>
        <v>111</v>
      </c>
      <c r="R46" s="753" t="s">
        <v>25</v>
      </c>
      <c r="S46" s="754">
        <f t="shared" si="12"/>
        <v>100</v>
      </c>
      <c r="T46" s="753" t="s">
        <v>25</v>
      </c>
      <c r="U46" s="754">
        <f t="shared" si="13"/>
        <v>100</v>
      </c>
      <c r="V46" s="753" t="s">
        <v>25</v>
      </c>
      <c r="W46" s="754">
        <f t="shared" si="14"/>
        <v>100</v>
      </c>
      <c r="X46" s="1900"/>
      <c r="Y46" s="3039"/>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030" t="str">
        <f>A47</f>
        <v>成交单价（元/平方米）</v>
      </c>
      <c r="Q47" s="3030"/>
      <c r="R47" s="3026">
        <f>E47</f>
        <v>0</v>
      </c>
      <c r="S47" s="3026"/>
      <c r="T47" s="3026">
        <f>G47</f>
        <v>0</v>
      </c>
      <c r="U47" s="3026"/>
      <c r="V47" s="3026">
        <f>I47</f>
        <v>0</v>
      </c>
      <c r="W47" s="3026"/>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30" t="str">
        <f>A48</f>
        <v>比较价值（元/平方米）</v>
      </c>
      <c r="Q48" s="3030"/>
      <c r="R48" s="3026" t="e">
        <f>IF(E1="售价",ROUND(PRODUCT(R47,AA7:AA46),0),ROUND(PRODUCT(R47,AA7:AA46),1))</f>
        <v>#DIV/0!</v>
      </c>
      <c r="S48" s="3026"/>
      <c r="T48" s="3026" t="e">
        <f>IF(E1="售价",ROUND(PRODUCT(T47,AB7:AB46),0),ROUND(PRODUCT(T47,AB7:AB46),1))</f>
        <v>#DIV/0!</v>
      </c>
      <c r="U48" s="3026"/>
      <c r="V48" s="3026" t="e">
        <f>IF(E1="售价",ROUND(PRODUCT(V47,AC7:AC46),0),ROUND(PRODUCT(V47,AC7:AC46),1))</f>
        <v>#DIV/0!</v>
      </c>
      <c r="W48" s="3026"/>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27" t="str">
        <f>A49</f>
        <v>估价对象XX用房的比较价值（楼面单价，元/平方米）</v>
      </c>
      <c r="Q49" s="3028"/>
      <c r="R49" s="3029" t="e">
        <f>IF(E1="售价",ROUND(AVERAGE(R48:V48),0),ROUND(AVERAGE(R48:V48),1))</f>
        <v>#DIV/0!</v>
      </c>
      <c r="S49" s="3029"/>
      <c r="T49" s="3029"/>
      <c r="U49" s="3029"/>
      <c r="V49" s="3029"/>
      <c r="W49" s="302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2014-11</v>
      </c>
      <c r="D58" s="1679">
        <f>EDATE(C58,-1)</f>
        <v>41913</v>
      </c>
      <c r="E58" s="1679">
        <f t="shared" ref="E58:O58" si="16">EDATE(D58,-1)</f>
        <v>41883</v>
      </c>
      <c r="F58" s="1679">
        <f t="shared" si="16"/>
        <v>41852</v>
      </c>
      <c r="G58" s="1679">
        <f t="shared" si="16"/>
        <v>41821</v>
      </c>
      <c r="H58" s="1679">
        <f t="shared" si="16"/>
        <v>41791</v>
      </c>
      <c r="I58" s="1679">
        <f t="shared" si="16"/>
        <v>41760</v>
      </c>
      <c r="J58" s="1679">
        <f t="shared" si="16"/>
        <v>41730</v>
      </c>
      <c r="K58" s="1679">
        <f t="shared" si="16"/>
        <v>41699</v>
      </c>
      <c r="L58" s="1679">
        <f t="shared" si="16"/>
        <v>41671</v>
      </c>
      <c r="M58" s="1679">
        <f t="shared" si="16"/>
        <v>41640</v>
      </c>
      <c r="N58" s="1679">
        <f t="shared" si="16"/>
        <v>41609</v>
      </c>
      <c r="O58" s="1679">
        <f t="shared" si="16"/>
        <v>41579</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2357</v>
      </c>
      <c r="B61" s="491"/>
      <c r="C61" s="503" t="s">
        <v>2358</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2371</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2479</v>
      </c>
      <c r="C1" s="1726"/>
      <c r="D1" s="1739"/>
      <c r="E1" s="2383"/>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2008</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2009</v>
      </c>
      <c r="B3" s="593" t="e">
        <f ca="1">ROUND(IF(D2="——",C50,IF(C2="万元",B2*10000/D3,B2/D3)),0)</f>
        <v>#DIV/0!</v>
      </c>
      <c r="C3" s="379" t="s">
        <v>2341</v>
      </c>
      <c r="D3" s="378">
        <f>IF(C1="仅计算典型户型",'数据-取费表'!E5,'数据-取费表'!B5)</f>
        <v>223.09</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2342</v>
      </c>
      <c r="B4" s="381"/>
      <c r="C4" s="3057" t="s">
        <v>2343</v>
      </c>
      <c r="D4" s="3058"/>
      <c r="E4" s="3059" t="s">
        <v>2344</v>
      </c>
      <c r="F4" s="3060"/>
      <c r="G4" s="3057" t="s">
        <v>2345</v>
      </c>
      <c r="H4" s="3058"/>
      <c r="I4" s="3057" t="s">
        <v>2346</v>
      </c>
      <c r="J4" s="3058"/>
      <c r="K4" s="594" t="s">
        <v>2347</v>
      </c>
      <c r="L4" s="1243"/>
      <c r="M4" s="1244"/>
      <c r="N4" s="1244"/>
      <c r="O4" s="1244"/>
      <c r="P4" s="3076" t="s">
        <v>2348</v>
      </c>
      <c r="Q4" s="3062"/>
      <c r="R4" s="3046" t="s">
        <v>2344</v>
      </c>
      <c r="S4" s="3047"/>
      <c r="T4" s="3046" t="s">
        <v>2345</v>
      </c>
      <c r="U4" s="3047"/>
      <c r="V4" s="3067" t="s">
        <v>2346</v>
      </c>
      <c r="W4" s="3067"/>
      <c r="X4" s="1900"/>
      <c r="Y4" s="3046" t="s">
        <v>2348</v>
      </c>
      <c r="Z4" s="3047"/>
      <c r="AA4" s="3054" t="s">
        <v>2344</v>
      </c>
      <c r="AB4" s="3054" t="s">
        <v>2345</v>
      </c>
      <c r="AC4" s="3054" t="s">
        <v>2346</v>
      </c>
    </row>
    <row r="5" spans="1:29" ht="15">
      <c r="A5" s="383"/>
      <c r="B5" s="384"/>
      <c r="C5" s="3042" t="s">
        <v>2349</v>
      </c>
      <c r="D5" s="3043"/>
      <c r="E5" s="3068" t="s">
        <v>2350</v>
      </c>
      <c r="F5" s="3069"/>
      <c r="G5" s="3042" t="s">
        <v>2351</v>
      </c>
      <c r="H5" s="3043"/>
      <c r="I5" s="3042" t="s">
        <v>2352</v>
      </c>
      <c r="J5" s="3043"/>
      <c r="K5" s="594"/>
      <c r="L5" s="1243"/>
      <c r="M5" s="1244"/>
      <c r="N5" s="1244"/>
      <c r="O5" s="1244"/>
      <c r="P5" s="3077"/>
      <c r="Q5" s="3064"/>
      <c r="R5" s="3048"/>
      <c r="S5" s="3049"/>
      <c r="T5" s="3048"/>
      <c r="U5" s="3049"/>
      <c r="V5" s="3067"/>
      <c r="W5" s="3067"/>
      <c r="X5" s="1900"/>
      <c r="Y5" s="3048"/>
      <c r="Z5" s="3049"/>
      <c r="AA5" s="3055"/>
      <c r="AB5" s="3055"/>
      <c r="AC5" s="3055"/>
    </row>
    <row r="6" spans="1:29" ht="15.75" thickBot="1">
      <c r="A6" s="385"/>
      <c r="B6" s="386"/>
      <c r="C6" s="3040" t="s">
        <v>2353</v>
      </c>
      <c r="D6" s="3041"/>
      <c r="E6" s="3070" t="s">
        <v>2353</v>
      </c>
      <c r="F6" s="3071"/>
      <c r="G6" s="3040" t="s">
        <v>2353</v>
      </c>
      <c r="H6" s="3041"/>
      <c r="I6" s="3040" t="s">
        <v>2353</v>
      </c>
      <c r="J6" s="3041"/>
      <c r="K6" s="594" t="s">
        <v>2354</v>
      </c>
      <c r="L6" s="1243"/>
      <c r="M6" s="1244"/>
      <c r="N6" s="1244"/>
      <c r="O6" s="1244"/>
      <c r="P6" s="3078"/>
      <c r="Q6" s="3066"/>
      <c r="R6" s="3048"/>
      <c r="S6" s="3049"/>
      <c r="T6" s="3050"/>
      <c r="U6" s="3051"/>
      <c r="V6" s="3067"/>
      <c r="W6" s="3067"/>
      <c r="X6" s="1900"/>
      <c r="Y6" s="3050"/>
      <c r="Z6" s="3051"/>
      <c r="AA6" s="3056"/>
      <c r="AB6" s="3056"/>
      <c r="AC6" s="3056"/>
    </row>
    <row r="7" spans="1:29" s="35" customFormat="1" ht="15.75" thickBot="1">
      <c r="A7" s="387" t="s">
        <v>2355</v>
      </c>
      <c r="B7" s="388"/>
      <c r="C7" s="389">
        <f>'数据-取费表'!B2</f>
        <v>41962</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52" t="s">
        <v>2356</v>
      </c>
      <c r="Q7" s="3052"/>
      <c r="R7" s="749" t="s">
        <v>25</v>
      </c>
      <c r="S7" s="750">
        <f t="shared" ref="S7:S15" si="0">F7</f>
        <v>0</v>
      </c>
      <c r="T7" s="749" t="s">
        <v>25</v>
      </c>
      <c r="U7" s="750">
        <f t="shared" ref="U7:U15" si="1">H7</f>
        <v>0</v>
      </c>
      <c r="V7" s="749" t="s">
        <v>25</v>
      </c>
      <c r="W7" s="750">
        <f t="shared" ref="W7:W15" si="2">J7</f>
        <v>0</v>
      </c>
      <c r="X7" s="751"/>
      <c r="Y7" s="3044" t="s">
        <v>2356</v>
      </c>
      <c r="Z7" s="3045"/>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2" t="s">
        <v>2359</v>
      </c>
      <c r="Q8" s="3045"/>
      <c r="R8" s="749" t="s">
        <v>25</v>
      </c>
      <c r="S8" s="750">
        <f t="shared" si="0"/>
        <v>0</v>
      </c>
      <c r="T8" s="749" t="s">
        <v>25</v>
      </c>
      <c r="U8" s="750">
        <f t="shared" si="1"/>
        <v>0</v>
      </c>
      <c r="V8" s="749" t="s">
        <v>25</v>
      </c>
      <c r="W8" s="750">
        <f t="shared" si="2"/>
        <v>0</v>
      </c>
      <c r="X8" s="751"/>
      <c r="Y8" s="3044" t="s">
        <v>2359</v>
      </c>
      <c r="Z8" s="3045"/>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8" t="s">
        <v>2362</v>
      </c>
      <c r="Q9" s="1887"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8"/>
      <c r="Q11" s="1887"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8"/>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8"/>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8"/>
      <c r="Q14" s="1887">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71.25">
      <c r="A15" s="419" t="s">
        <v>2366</v>
      </c>
      <c r="B15" s="613" t="s">
        <v>2480</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62" t="s">
        <v>2367</v>
      </c>
      <c r="Q15" s="1899" t="str">
        <f t="shared" si="6"/>
        <v>办公集聚程度</v>
      </c>
      <c r="R15" s="753" t="s">
        <v>25</v>
      </c>
      <c r="S15" s="754">
        <f t="shared" si="0"/>
        <v>100</v>
      </c>
      <c r="T15" s="753" t="s">
        <v>25</v>
      </c>
      <c r="U15" s="754">
        <f t="shared" si="1"/>
        <v>100</v>
      </c>
      <c r="V15" s="753" t="s">
        <v>25</v>
      </c>
      <c r="W15" s="754">
        <f t="shared" si="2"/>
        <v>100</v>
      </c>
      <c r="X15" s="1900"/>
      <c r="Y15" s="3033"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64"/>
      <c r="Q16" s="1899"/>
      <c r="R16" s="753"/>
      <c r="S16" s="754"/>
      <c r="T16" s="753"/>
      <c r="U16" s="754"/>
      <c r="V16" s="753"/>
      <c r="W16" s="754"/>
      <c r="X16" s="1900"/>
      <c r="Y16" s="3034"/>
      <c r="Z16" s="1902"/>
      <c r="AA16" s="1903">
        <v>1</v>
      </c>
      <c r="AB16" s="1903">
        <v>1</v>
      </c>
      <c r="AC16" s="1903">
        <v>1</v>
      </c>
    </row>
    <row r="17" spans="1:29" ht="128.25">
      <c r="A17" s="408"/>
      <c r="B17" s="615" t="s">
        <v>1751</v>
      </c>
      <c r="C17" s="2469" t="str">
        <f>估价对象房地状况!C6</f>
        <v>估价对象周边有44路、58路、139路、特2路、特12路等多条公交线路及地铁2、6号线换乘站（朝阳门站），综合评价交通便捷度较好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4"/>
      <c r="Q17" s="1899" t="str">
        <f>B17</f>
        <v>交通便捷度</v>
      </c>
      <c r="R17" s="753" t="s">
        <v>25</v>
      </c>
      <c r="S17" s="754">
        <f>F17</f>
        <v>100</v>
      </c>
      <c r="T17" s="753" t="s">
        <v>25</v>
      </c>
      <c r="U17" s="754">
        <f>H17</f>
        <v>100</v>
      </c>
      <c r="V17" s="753" t="s">
        <v>25</v>
      </c>
      <c r="W17" s="754">
        <f>J17</f>
        <v>100</v>
      </c>
      <c r="X17" s="1900"/>
      <c r="Y17" s="3034"/>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64"/>
      <c r="Q18" s="1899"/>
      <c r="R18" s="753"/>
      <c r="S18" s="754"/>
      <c r="T18" s="753"/>
      <c r="U18" s="754"/>
      <c r="V18" s="753"/>
      <c r="W18" s="754"/>
      <c r="X18" s="1900"/>
      <c r="Y18" s="3034"/>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4"/>
      <c r="Q19" s="1899" t="str">
        <f>B19</f>
        <v>公共配套设施</v>
      </c>
      <c r="R19" s="753" t="s">
        <v>25</v>
      </c>
      <c r="S19" s="754">
        <f>F19</f>
        <v>100</v>
      </c>
      <c r="T19" s="753" t="s">
        <v>25</v>
      </c>
      <c r="U19" s="754">
        <f>H19</f>
        <v>100</v>
      </c>
      <c r="V19" s="753" t="s">
        <v>25</v>
      </c>
      <c r="W19" s="754">
        <f>J19</f>
        <v>100</v>
      </c>
      <c r="X19" s="1900"/>
      <c r="Y19" s="3034"/>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64"/>
      <c r="Q20" s="1899"/>
      <c r="R20" s="753"/>
      <c r="S20" s="754"/>
      <c r="T20" s="753"/>
      <c r="U20" s="754"/>
      <c r="V20" s="753"/>
      <c r="W20" s="754"/>
      <c r="X20" s="1900"/>
      <c r="Y20" s="3034"/>
      <c r="Z20" s="1902"/>
      <c r="AA20" s="1903">
        <v>1</v>
      </c>
      <c r="AB20" s="1903">
        <v>1</v>
      </c>
      <c r="AC20" s="1903">
        <v>1</v>
      </c>
    </row>
    <row r="21" spans="1:29" ht="15">
      <c r="A21" s="408"/>
      <c r="B21" s="617" t="s">
        <v>2482</v>
      </c>
      <c r="C21" s="2469"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4"/>
      <c r="Q21" s="1899" t="str">
        <f>B21</f>
        <v>基础设施水平</v>
      </c>
      <c r="R21" s="753" t="s">
        <v>25</v>
      </c>
      <c r="S21" s="754">
        <f>F21</f>
        <v>100</v>
      </c>
      <c r="T21" s="753" t="s">
        <v>25</v>
      </c>
      <c r="U21" s="754">
        <f>H21</f>
        <v>100</v>
      </c>
      <c r="V21" s="753" t="s">
        <v>25</v>
      </c>
      <c r="W21" s="754">
        <f>J21</f>
        <v>100</v>
      </c>
      <c r="X21" s="1900"/>
      <c r="Y21" s="3034"/>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64"/>
      <c r="Q22" s="1899"/>
      <c r="R22" s="753"/>
      <c r="S22" s="754"/>
      <c r="T22" s="753"/>
      <c r="U22" s="754"/>
      <c r="V22" s="753"/>
      <c r="W22" s="754"/>
      <c r="X22" s="1900"/>
      <c r="Y22" s="3034"/>
      <c r="Z22" s="1902"/>
      <c r="AA22" s="1903">
        <v>1</v>
      </c>
      <c r="AB22" s="1903">
        <v>1</v>
      </c>
      <c r="AC22" s="1903">
        <v>1</v>
      </c>
    </row>
    <row r="23" spans="1:29" ht="99.75">
      <c r="A23" s="408"/>
      <c r="B23" s="615" t="s">
        <v>2483</v>
      </c>
      <c r="C23" s="2469" t="str">
        <f>估价对象房地状况!C9</f>
        <v>区域自然环境：日坛公园；人文环境：朝阳区政府、中国司法部、使馆区；综合评价环境状况较好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4"/>
      <c r="Q23" s="1899" t="str">
        <f>B23</f>
        <v>环境质量</v>
      </c>
      <c r="R23" s="753" t="s">
        <v>25</v>
      </c>
      <c r="S23" s="754">
        <f>F23</f>
        <v>100</v>
      </c>
      <c r="T23" s="753" t="s">
        <v>25</v>
      </c>
      <c r="U23" s="754">
        <f>H23</f>
        <v>100</v>
      </c>
      <c r="V23" s="753" t="s">
        <v>25</v>
      </c>
      <c r="W23" s="754">
        <f>J23</f>
        <v>100</v>
      </c>
      <c r="X23" s="1900"/>
      <c r="Y23" s="3034"/>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64"/>
      <c r="Q24" s="1899"/>
      <c r="R24" s="753"/>
      <c r="S24" s="754"/>
      <c r="T24" s="753"/>
      <c r="U24" s="754"/>
      <c r="V24" s="753"/>
      <c r="W24" s="754"/>
      <c r="X24" s="1900"/>
      <c r="Y24" s="3034"/>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64"/>
      <c r="Q25" s="1899" t="str">
        <f>B25</f>
        <v>毗邻道路的类型与等级</v>
      </c>
      <c r="R25" s="753" t="s">
        <v>25</v>
      </c>
      <c r="S25" s="754">
        <f>F25</f>
        <v>100</v>
      </c>
      <c r="T25" s="753" t="s">
        <v>25</v>
      </c>
      <c r="U25" s="754">
        <f>H25</f>
        <v>100</v>
      </c>
      <c r="V25" s="753" t="s">
        <v>25</v>
      </c>
      <c r="W25" s="754">
        <f>J25</f>
        <v>100</v>
      </c>
      <c r="X25" s="1900"/>
      <c r="Y25" s="3034"/>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64"/>
      <c r="Q26" s="1899"/>
      <c r="R26" s="753"/>
      <c r="S26" s="754"/>
      <c r="T26" s="753"/>
      <c r="U26" s="754"/>
      <c r="V26" s="753"/>
      <c r="W26" s="754"/>
      <c r="X26" s="1900"/>
      <c r="Y26" s="3034"/>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64"/>
      <c r="Q27" s="1899" t="str">
        <f t="shared" ref="Q27:Q47" si="11">B27</f>
        <v>楼层</v>
      </c>
      <c r="R27" s="753" t="s">
        <v>25</v>
      </c>
      <c r="S27" s="754">
        <f>F27</f>
        <v>100</v>
      </c>
      <c r="T27" s="753" t="s">
        <v>25</v>
      </c>
      <c r="U27" s="754">
        <f>H27</f>
        <v>100</v>
      </c>
      <c r="V27" s="753" t="s">
        <v>25</v>
      </c>
      <c r="W27" s="754">
        <f>J27</f>
        <v>100</v>
      </c>
      <c r="X27" s="1900"/>
      <c r="Y27" s="3034"/>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64"/>
      <c r="Q28" s="1887" t="str">
        <f t="shared" si="11"/>
        <v>朝向</v>
      </c>
      <c r="R28" s="749" t="s">
        <v>25</v>
      </c>
      <c r="S28" s="750">
        <f>F28</f>
        <v>100</v>
      </c>
      <c r="T28" s="749" t="s">
        <v>25</v>
      </c>
      <c r="U28" s="750">
        <f>H28</f>
        <v>100</v>
      </c>
      <c r="V28" s="749" t="s">
        <v>25</v>
      </c>
      <c r="W28" s="750">
        <f>J28</f>
        <v>100</v>
      </c>
      <c r="X28" s="751"/>
      <c r="Y28" s="3034"/>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4"/>
      <c r="Q29" s="1899">
        <f t="shared" si="11"/>
        <v>111</v>
      </c>
      <c r="R29" s="753" t="s">
        <v>25</v>
      </c>
      <c r="S29" s="754">
        <f t="shared" ref="S29:S47" si="12">F29</f>
        <v>100</v>
      </c>
      <c r="T29" s="753" t="s">
        <v>25</v>
      </c>
      <c r="U29" s="754">
        <f t="shared" ref="U29:U47" si="13">H29</f>
        <v>100</v>
      </c>
      <c r="V29" s="753" t="s">
        <v>25</v>
      </c>
      <c r="W29" s="754">
        <f t="shared" ref="W29:W47" si="14">J29</f>
        <v>100</v>
      </c>
      <c r="X29" s="1900"/>
      <c r="Y29" s="3034"/>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4"/>
      <c r="Q30" s="1899">
        <f t="shared" si="11"/>
        <v>111</v>
      </c>
      <c r="R30" s="753" t="s">
        <v>25</v>
      </c>
      <c r="S30" s="754">
        <f t="shared" si="12"/>
        <v>100</v>
      </c>
      <c r="T30" s="753" t="s">
        <v>25</v>
      </c>
      <c r="U30" s="754">
        <f t="shared" si="13"/>
        <v>100</v>
      </c>
      <c r="V30" s="753" t="s">
        <v>25</v>
      </c>
      <c r="W30" s="754">
        <f t="shared" si="14"/>
        <v>100</v>
      </c>
      <c r="X30" s="1900"/>
      <c r="Y30" s="3034"/>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4"/>
      <c r="Q31" s="1899">
        <f t="shared" si="11"/>
        <v>111</v>
      </c>
      <c r="R31" s="753" t="s">
        <v>25</v>
      </c>
      <c r="S31" s="754">
        <f t="shared" si="12"/>
        <v>100</v>
      </c>
      <c r="T31" s="753" t="s">
        <v>25</v>
      </c>
      <c r="U31" s="754">
        <f t="shared" si="13"/>
        <v>100</v>
      </c>
      <c r="V31" s="753" t="s">
        <v>25</v>
      </c>
      <c r="W31" s="754">
        <f t="shared" si="14"/>
        <v>100</v>
      </c>
      <c r="X31" s="1900"/>
      <c r="Y31" s="3034"/>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4"/>
      <c r="Q32" s="1899">
        <f t="shared" si="11"/>
        <v>111</v>
      </c>
      <c r="R32" s="753" t="s">
        <v>25</v>
      </c>
      <c r="S32" s="754">
        <f t="shared" si="12"/>
        <v>100</v>
      </c>
      <c r="T32" s="753" t="s">
        <v>25</v>
      </c>
      <c r="U32" s="754">
        <f t="shared" si="13"/>
        <v>100</v>
      </c>
      <c r="V32" s="753" t="s">
        <v>25</v>
      </c>
      <c r="W32" s="754">
        <f t="shared" si="14"/>
        <v>100</v>
      </c>
      <c r="X32" s="1900"/>
      <c r="Y32" s="3034"/>
      <c r="Z32" s="1902">
        <f t="shared" si="15"/>
        <v>111</v>
      </c>
      <c r="AA32" s="1903">
        <f t="shared" si="3"/>
        <v>1</v>
      </c>
      <c r="AB32" s="1903">
        <f t="shared" si="4"/>
        <v>1</v>
      </c>
      <c r="AC32" s="1903">
        <f t="shared" si="5"/>
        <v>1</v>
      </c>
    </row>
    <row r="33" spans="1:29" ht="15">
      <c r="A33" s="419" t="s">
        <v>2371</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73" t="s">
        <v>2373</v>
      </c>
      <c r="Q33" s="1899" t="str">
        <f t="shared" si="11"/>
        <v>建筑类型</v>
      </c>
      <c r="R33" s="753" t="s">
        <v>25</v>
      </c>
      <c r="S33" s="754">
        <f t="shared" si="12"/>
        <v>100</v>
      </c>
      <c r="T33" s="753" t="s">
        <v>25</v>
      </c>
      <c r="U33" s="754">
        <f t="shared" si="13"/>
        <v>100</v>
      </c>
      <c r="V33" s="753" t="s">
        <v>25</v>
      </c>
      <c r="W33" s="754">
        <f t="shared" si="14"/>
        <v>100</v>
      </c>
      <c r="X33" s="1900"/>
      <c r="Y33" s="3038"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4"/>
      <c r="Q34" s="755" t="str">
        <f t="shared" si="11"/>
        <v>项目建筑规模</v>
      </c>
      <c r="R34" s="756" t="s">
        <v>25</v>
      </c>
      <c r="S34" s="757" t="e">
        <f t="shared" si="12"/>
        <v>#N/A</v>
      </c>
      <c r="T34" s="756" t="s">
        <v>25</v>
      </c>
      <c r="U34" s="757" t="e">
        <f t="shared" si="13"/>
        <v>#N/A</v>
      </c>
      <c r="V34" s="756" t="s">
        <v>25</v>
      </c>
      <c r="W34" s="757" t="e">
        <f t="shared" si="14"/>
        <v>#N/A</v>
      </c>
      <c r="X34" s="758"/>
      <c r="Y34" s="3038"/>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4"/>
      <c r="Q35" s="1899" t="str">
        <f t="shared" si="11"/>
        <v>建筑结构</v>
      </c>
      <c r="R35" s="753" t="s">
        <v>25</v>
      </c>
      <c r="S35" s="754">
        <f t="shared" si="12"/>
        <v>100</v>
      </c>
      <c r="T35" s="753" t="s">
        <v>25</v>
      </c>
      <c r="U35" s="754">
        <f t="shared" si="13"/>
        <v>100</v>
      </c>
      <c r="V35" s="753" t="s">
        <v>25</v>
      </c>
      <c r="W35" s="754">
        <f t="shared" si="14"/>
        <v>100</v>
      </c>
      <c r="X35" s="1900"/>
      <c r="Y35" s="3038"/>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4"/>
      <c r="Q36" s="1899" t="str">
        <f t="shared" si="11"/>
        <v>公共部分装修</v>
      </c>
      <c r="R36" s="753" t="s">
        <v>25</v>
      </c>
      <c r="S36" s="754">
        <f t="shared" si="12"/>
        <v>100</v>
      </c>
      <c r="T36" s="753" t="s">
        <v>25</v>
      </c>
      <c r="U36" s="754">
        <f t="shared" si="13"/>
        <v>100</v>
      </c>
      <c r="V36" s="753" t="s">
        <v>25</v>
      </c>
      <c r="W36" s="754">
        <f t="shared" si="14"/>
        <v>100</v>
      </c>
      <c r="X36" s="1900"/>
      <c r="Y36" s="3038"/>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4"/>
      <c r="Q37" s="1899" t="str">
        <f t="shared" si="11"/>
        <v>成新度</v>
      </c>
      <c r="R37" s="753" t="s">
        <v>25</v>
      </c>
      <c r="S37" s="754" t="e">
        <f t="shared" si="12"/>
        <v>#N/A</v>
      </c>
      <c r="T37" s="753" t="s">
        <v>25</v>
      </c>
      <c r="U37" s="754" t="e">
        <f t="shared" si="13"/>
        <v>#N/A</v>
      </c>
      <c r="V37" s="753" t="s">
        <v>25</v>
      </c>
      <c r="W37" s="754" t="e">
        <f t="shared" si="14"/>
        <v>#N/A</v>
      </c>
      <c r="X37" s="1900"/>
      <c r="Y37" s="3038"/>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4"/>
      <c r="Q38" s="1887" t="str">
        <f t="shared" si="11"/>
        <v>写字楼等级</v>
      </c>
      <c r="R38" s="749" t="s">
        <v>25</v>
      </c>
      <c r="S38" s="750">
        <f t="shared" si="12"/>
        <v>100</v>
      </c>
      <c r="T38" s="749" t="s">
        <v>25</v>
      </c>
      <c r="U38" s="750">
        <f t="shared" si="13"/>
        <v>100</v>
      </c>
      <c r="V38" s="749" t="s">
        <v>25</v>
      </c>
      <c r="W38" s="750">
        <f t="shared" si="14"/>
        <v>100</v>
      </c>
      <c r="X38" s="751"/>
      <c r="Y38" s="3038"/>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4" t="s">
        <v>2373</v>
      </c>
      <c r="Q39" s="1899" t="str">
        <f t="shared" si="11"/>
        <v>物业管理</v>
      </c>
      <c r="R39" s="753" t="s">
        <v>25</v>
      </c>
      <c r="S39" s="754">
        <f t="shared" si="12"/>
        <v>100</v>
      </c>
      <c r="T39" s="753" t="s">
        <v>25</v>
      </c>
      <c r="U39" s="754">
        <f t="shared" si="13"/>
        <v>100</v>
      </c>
      <c r="V39" s="753" t="s">
        <v>25</v>
      </c>
      <c r="W39" s="754">
        <f t="shared" si="14"/>
        <v>100</v>
      </c>
      <c r="X39" s="1900"/>
      <c r="Y39" s="3038" t="s">
        <v>2373</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4"/>
      <c r="Q40" s="1899" t="str">
        <f t="shared" si="11"/>
        <v>市政基础设施</v>
      </c>
      <c r="R40" s="753" t="s">
        <v>25</v>
      </c>
      <c r="S40" s="754">
        <f t="shared" si="12"/>
        <v>100</v>
      </c>
      <c r="T40" s="753" t="s">
        <v>25</v>
      </c>
      <c r="U40" s="754">
        <f t="shared" si="13"/>
        <v>100</v>
      </c>
      <c r="V40" s="753" t="s">
        <v>25</v>
      </c>
      <c r="W40" s="754">
        <f t="shared" si="14"/>
        <v>100</v>
      </c>
      <c r="X40" s="1900"/>
      <c r="Y40" s="3038"/>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4"/>
      <c r="Q41" s="1899" t="str">
        <f t="shared" si="11"/>
        <v>层高</v>
      </c>
      <c r="R41" s="753" t="s">
        <v>25</v>
      </c>
      <c r="S41" s="754">
        <f t="shared" si="12"/>
        <v>100</v>
      </c>
      <c r="T41" s="753" t="s">
        <v>25</v>
      </c>
      <c r="U41" s="754">
        <f t="shared" si="13"/>
        <v>100</v>
      </c>
      <c r="V41" s="753" t="s">
        <v>25</v>
      </c>
      <c r="W41" s="754">
        <f t="shared" si="14"/>
        <v>100</v>
      </c>
      <c r="X41" s="1900"/>
      <c r="Y41" s="3038"/>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4"/>
      <c r="Q42" s="755" t="str">
        <f t="shared" si="11"/>
        <v>单套建筑面积</v>
      </c>
      <c r="R42" s="756" t="s">
        <v>25</v>
      </c>
      <c r="S42" s="757">
        <f t="shared" si="12"/>
        <v>100</v>
      </c>
      <c r="T42" s="756" t="s">
        <v>25</v>
      </c>
      <c r="U42" s="757">
        <f t="shared" si="13"/>
        <v>100</v>
      </c>
      <c r="V42" s="756" t="s">
        <v>25</v>
      </c>
      <c r="W42" s="757">
        <f t="shared" si="14"/>
        <v>100</v>
      </c>
      <c r="X42" s="758"/>
      <c r="Y42" s="3038"/>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4"/>
      <c r="Q43" s="1899" t="str">
        <f t="shared" si="11"/>
        <v>内部装修</v>
      </c>
      <c r="R43" s="753" t="s">
        <v>25</v>
      </c>
      <c r="S43" s="754">
        <f t="shared" si="12"/>
        <v>100</v>
      </c>
      <c r="T43" s="753" t="s">
        <v>25</v>
      </c>
      <c r="U43" s="754">
        <f t="shared" si="13"/>
        <v>100</v>
      </c>
      <c r="V43" s="753" t="s">
        <v>25</v>
      </c>
      <c r="W43" s="754">
        <f t="shared" si="14"/>
        <v>100</v>
      </c>
      <c r="X43" s="1900"/>
      <c r="Y43" s="3038"/>
      <c r="Z43" s="1902" t="str">
        <f t="shared" si="15"/>
        <v>内部装修</v>
      </c>
      <c r="AA43" s="1903">
        <f t="shared" si="3"/>
        <v>1</v>
      </c>
      <c r="AB43" s="1903">
        <f t="shared" si="4"/>
        <v>1</v>
      </c>
      <c r="AC43" s="1903">
        <f t="shared" si="5"/>
        <v>1</v>
      </c>
    </row>
    <row r="44" spans="1:29" ht="15">
      <c r="A44" s="453"/>
      <c r="B44" s="402" t="s">
        <v>2384</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74"/>
      <c r="Q44" s="1899" t="str">
        <f t="shared" si="11"/>
        <v>内部装修维护情况</v>
      </c>
      <c r="R44" s="753" t="s">
        <v>25</v>
      </c>
      <c r="S44" s="754">
        <f t="shared" si="12"/>
        <v>100</v>
      </c>
      <c r="T44" s="753" t="s">
        <v>25</v>
      </c>
      <c r="U44" s="754">
        <f t="shared" si="13"/>
        <v>100</v>
      </c>
      <c r="V44" s="753" t="s">
        <v>25</v>
      </c>
      <c r="W44" s="754">
        <f t="shared" si="14"/>
        <v>100</v>
      </c>
      <c r="X44" s="1900"/>
      <c r="Y44" s="3038"/>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4"/>
      <c r="Q45" s="1887">
        <f t="shared" si="11"/>
        <v>111</v>
      </c>
      <c r="R45" s="749" t="s">
        <v>25</v>
      </c>
      <c r="S45" s="750">
        <f t="shared" si="12"/>
        <v>100</v>
      </c>
      <c r="T45" s="749" t="s">
        <v>25</v>
      </c>
      <c r="U45" s="750">
        <f t="shared" si="13"/>
        <v>100</v>
      </c>
      <c r="V45" s="749" t="s">
        <v>25</v>
      </c>
      <c r="W45" s="750">
        <f t="shared" si="14"/>
        <v>100</v>
      </c>
      <c r="X45" s="751"/>
      <c r="Y45" s="3038"/>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4"/>
      <c r="Q46" s="1899">
        <f t="shared" si="11"/>
        <v>111</v>
      </c>
      <c r="R46" s="753" t="s">
        <v>25</v>
      </c>
      <c r="S46" s="754">
        <f t="shared" si="12"/>
        <v>100</v>
      </c>
      <c r="T46" s="753" t="s">
        <v>25</v>
      </c>
      <c r="U46" s="754">
        <f t="shared" si="13"/>
        <v>100</v>
      </c>
      <c r="V46" s="753" t="s">
        <v>25</v>
      </c>
      <c r="W46" s="754">
        <f t="shared" si="14"/>
        <v>100</v>
      </c>
      <c r="X46" s="1900"/>
      <c r="Y46" s="3038"/>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5"/>
      <c r="Q47" s="1899">
        <f t="shared" si="11"/>
        <v>111</v>
      </c>
      <c r="R47" s="753" t="s">
        <v>25</v>
      </c>
      <c r="S47" s="754">
        <f t="shared" si="12"/>
        <v>100</v>
      </c>
      <c r="T47" s="753" t="s">
        <v>25</v>
      </c>
      <c r="U47" s="754">
        <f t="shared" si="13"/>
        <v>100</v>
      </c>
      <c r="V47" s="753" t="s">
        <v>25</v>
      </c>
      <c r="W47" s="754">
        <f t="shared" si="14"/>
        <v>100</v>
      </c>
      <c r="X47" s="1900"/>
      <c r="Y47" s="3039"/>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028" t="str">
        <f>A48</f>
        <v>成交单价（元/平方米）</v>
      </c>
      <c r="Q48" s="3030"/>
      <c r="R48" s="3026">
        <f>E48</f>
        <v>0</v>
      </c>
      <c r="S48" s="3026"/>
      <c r="T48" s="3026">
        <f>G48</f>
        <v>0</v>
      </c>
      <c r="U48" s="3026"/>
      <c r="V48" s="3026">
        <f>I48</f>
        <v>0</v>
      </c>
      <c r="W48" s="3026"/>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28" t="str">
        <f>A49</f>
        <v>比较价值（元/平方米）</v>
      </c>
      <c r="Q49" s="3030"/>
      <c r="R49" s="3026" t="e">
        <f>IF(E1="售价",ROUND(PRODUCT(R48,AA7:AA47),0),ROUND(PRODUCT(R48,AA7:AA47),1))</f>
        <v>#DIV/0!</v>
      </c>
      <c r="S49" s="3026"/>
      <c r="T49" s="3026" t="e">
        <f>IF(E1="售价",ROUND(PRODUCT(T48,AB7:AB47),0),ROUND(PRODUCT(T48,AB7:AB47),1))</f>
        <v>#DIV/0!</v>
      </c>
      <c r="U49" s="3026"/>
      <c r="V49" s="3026" t="e">
        <f>IF(E1="售价",ROUND(PRODUCT(V48,AC7:AC47),0),ROUND(PRODUCT(V48,AC7:AC47),1))</f>
        <v>#DIV/0!</v>
      </c>
      <c r="W49" s="3026"/>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72" t="str">
        <f>A50</f>
        <v>估价对象XX用房的比较价值（楼面单价，元/平方米）</v>
      </c>
      <c r="Q50" s="3028"/>
      <c r="R50" s="3029" t="e">
        <f>IF(E1="售价",ROUND(AVERAGE(R49:V49),0),ROUND(AVERAGE(R49:V49),1))</f>
        <v>#DIV/0!</v>
      </c>
      <c r="S50" s="3029"/>
      <c r="T50" s="3029"/>
      <c r="U50" s="3029"/>
      <c r="V50" s="3029"/>
      <c r="W50" s="302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2014-11</v>
      </c>
      <c r="D59" s="1679">
        <f>EDATE(C59,-1)</f>
        <v>41913</v>
      </c>
      <c r="E59" s="1679">
        <f t="shared" ref="E59:O59" si="16">EDATE(D59,-1)</f>
        <v>41883</v>
      </c>
      <c r="F59" s="1679">
        <f t="shared" si="16"/>
        <v>41852</v>
      </c>
      <c r="G59" s="1679">
        <f t="shared" si="16"/>
        <v>41821</v>
      </c>
      <c r="H59" s="1679">
        <f t="shared" si="16"/>
        <v>41791</v>
      </c>
      <c r="I59" s="1679">
        <f t="shared" si="16"/>
        <v>41760</v>
      </c>
      <c r="J59" s="1679">
        <f t="shared" si="16"/>
        <v>41730</v>
      </c>
      <c r="K59" s="1679">
        <f t="shared" si="16"/>
        <v>41699</v>
      </c>
      <c r="L59" s="1679">
        <f t="shared" si="16"/>
        <v>41671</v>
      </c>
      <c r="M59" s="1679">
        <f t="shared" si="16"/>
        <v>41640</v>
      </c>
      <c r="N59" s="1679">
        <f t="shared" si="16"/>
        <v>41609</v>
      </c>
      <c r="O59" s="1679">
        <f t="shared" si="16"/>
        <v>41579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2371</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2496</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223.09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57" t="s">
        <v>2343</v>
      </c>
      <c r="D4" s="3058"/>
      <c r="E4" s="3059" t="s">
        <v>2344</v>
      </c>
      <c r="F4" s="3060"/>
      <c r="G4" s="3057" t="s">
        <v>2345</v>
      </c>
      <c r="H4" s="3058"/>
      <c r="I4" s="3057" t="s">
        <v>2346</v>
      </c>
      <c r="J4" s="3058"/>
      <c r="K4" s="594" t="s">
        <v>2347</v>
      </c>
      <c r="L4" s="1243"/>
      <c r="M4" s="1244"/>
      <c r="N4" s="1244"/>
      <c r="O4" s="1244"/>
      <c r="P4" s="3061" t="s">
        <v>2348</v>
      </c>
      <c r="Q4" s="3062"/>
      <c r="R4" s="3046" t="s">
        <v>2344</v>
      </c>
      <c r="S4" s="3047"/>
      <c r="T4" s="3046" t="s">
        <v>2345</v>
      </c>
      <c r="U4" s="3047"/>
      <c r="V4" s="3067" t="s">
        <v>2346</v>
      </c>
      <c r="W4" s="3067"/>
      <c r="X4" s="1900"/>
      <c r="Y4" s="3046" t="s">
        <v>2348</v>
      </c>
      <c r="Z4" s="3047"/>
      <c r="AA4" s="3054" t="s">
        <v>2344</v>
      </c>
      <c r="AB4" s="3055" t="s">
        <v>2345</v>
      </c>
      <c r="AC4" s="3054" t="s">
        <v>2346</v>
      </c>
    </row>
    <row r="5" spans="1:29" ht="15">
      <c r="A5" s="383"/>
      <c r="B5" s="384"/>
      <c r="C5" s="3042" t="s">
        <v>2349</v>
      </c>
      <c r="D5" s="3043"/>
      <c r="E5" s="3068" t="s">
        <v>2350</v>
      </c>
      <c r="F5" s="3069"/>
      <c r="G5" s="3042" t="s">
        <v>2351</v>
      </c>
      <c r="H5" s="3043"/>
      <c r="I5" s="3042" t="s">
        <v>2352</v>
      </c>
      <c r="J5" s="3043"/>
      <c r="K5" s="594"/>
      <c r="L5" s="1243"/>
      <c r="M5" s="1244"/>
      <c r="N5" s="1244"/>
      <c r="O5" s="1244"/>
      <c r="P5" s="3063"/>
      <c r="Q5" s="3064"/>
      <c r="R5" s="3048"/>
      <c r="S5" s="3049"/>
      <c r="T5" s="3048"/>
      <c r="U5" s="3049"/>
      <c r="V5" s="3067"/>
      <c r="W5" s="3067"/>
      <c r="X5" s="1900"/>
      <c r="Y5" s="3048"/>
      <c r="Z5" s="3049"/>
      <c r="AA5" s="3055"/>
      <c r="AB5" s="3055"/>
      <c r="AC5" s="3055"/>
    </row>
    <row r="6" spans="1:29" ht="15.75" thickBot="1">
      <c r="A6" s="385"/>
      <c r="B6" s="386"/>
      <c r="C6" s="3040" t="s">
        <v>2353</v>
      </c>
      <c r="D6" s="3041"/>
      <c r="E6" s="3070" t="s">
        <v>2353</v>
      </c>
      <c r="F6" s="3071"/>
      <c r="G6" s="3040" t="s">
        <v>2353</v>
      </c>
      <c r="H6" s="3041"/>
      <c r="I6" s="3040" t="s">
        <v>2353</v>
      </c>
      <c r="J6" s="3041"/>
      <c r="K6" s="594" t="s">
        <v>2354</v>
      </c>
      <c r="L6" s="1243"/>
      <c r="M6" s="1244"/>
      <c r="N6" s="1244"/>
      <c r="O6" s="1244"/>
      <c r="P6" s="3065"/>
      <c r="Q6" s="3066"/>
      <c r="R6" s="3048"/>
      <c r="S6" s="3049"/>
      <c r="T6" s="3050"/>
      <c r="U6" s="3051"/>
      <c r="V6" s="3067"/>
      <c r="W6" s="3067"/>
      <c r="X6" s="1900"/>
      <c r="Y6" s="3050"/>
      <c r="Z6" s="3051"/>
      <c r="AA6" s="3056"/>
      <c r="AB6" s="3056"/>
      <c r="AC6" s="3056"/>
    </row>
    <row r="7" spans="1:29" s="35" customFormat="1" ht="15.75" thickBot="1">
      <c r="A7" s="387" t="s">
        <v>2355</v>
      </c>
      <c r="B7" s="388"/>
      <c r="C7" s="389">
        <f>'数据-取费表'!B2</f>
        <v>41962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4" t="s">
        <v>2356</v>
      </c>
      <c r="Q7" s="3052"/>
      <c r="R7" s="749" t="s">
        <v>25</v>
      </c>
      <c r="S7" s="750">
        <f t="shared" ref="S7:S15" si="0">F7</f>
        <v>0</v>
      </c>
      <c r="T7" s="749" t="s">
        <v>25</v>
      </c>
      <c r="U7" s="750">
        <f t="shared" ref="U7:U15" si="1">H7</f>
        <v>0</v>
      </c>
      <c r="V7" s="749" t="s">
        <v>25</v>
      </c>
      <c r="W7" s="750">
        <f t="shared" ref="W7:W15" si="2">J7</f>
        <v>0</v>
      </c>
      <c r="X7" s="751"/>
      <c r="Y7" s="3044" t="s">
        <v>2356</v>
      </c>
      <c r="Z7" s="3045"/>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4" t="s">
        <v>2359</v>
      </c>
      <c r="Q8" s="3045"/>
      <c r="R8" s="749" t="s">
        <v>25</v>
      </c>
      <c r="S8" s="750">
        <f t="shared" si="0"/>
        <v>100</v>
      </c>
      <c r="T8" s="749" t="s">
        <v>25</v>
      </c>
      <c r="U8" s="750">
        <f t="shared" si="1"/>
        <v>100</v>
      </c>
      <c r="V8" s="749" t="s">
        <v>25</v>
      </c>
      <c r="W8" s="750">
        <f t="shared" si="2"/>
        <v>100</v>
      </c>
      <c r="X8" s="751"/>
      <c r="Y8" s="3044" t="s">
        <v>2359</v>
      </c>
      <c r="Z8" s="3045"/>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0" t="s">
        <v>2362</v>
      </c>
      <c r="Q9" s="1887"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0"/>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0"/>
      <c r="Q11" s="1887"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30"/>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30"/>
      <c r="Q14" s="1887">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57">
      <c r="A15" s="419" t="s">
        <v>2366</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3" t="s">
        <v>2367</v>
      </c>
      <c r="Q15" s="1899" t="str">
        <f t="shared" si="6"/>
        <v>产业集聚程度</v>
      </c>
      <c r="R15" s="753" t="s">
        <v>25</v>
      </c>
      <c r="S15" s="754">
        <f t="shared" si="0"/>
        <v>100</v>
      </c>
      <c r="T15" s="753" t="s">
        <v>25</v>
      </c>
      <c r="U15" s="754">
        <f t="shared" si="1"/>
        <v>100</v>
      </c>
      <c r="V15" s="753" t="s">
        <v>25</v>
      </c>
      <c r="W15" s="754">
        <f t="shared" si="2"/>
        <v>100</v>
      </c>
      <c r="X15" s="1900"/>
      <c r="Y15" s="3033"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4"/>
      <c r="Q16" s="1899"/>
      <c r="R16" s="753"/>
      <c r="S16" s="754"/>
      <c r="T16" s="753"/>
      <c r="U16" s="754"/>
      <c r="V16" s="753"/>
      <c r="W16" s="754"/>
      <c r="X16" s="1900"/>
      <c r="Y16" s="3034"/>
      <c r="Z16" s="1902"/>
      <c r="AA16" s="1903">
        <v>1</v>
      </c>
      <c r="AB16" s="1903">
        <v>1</v>
      </c>
      <c r="AC16" s="1903">
        <v>1</v>
      </c>
    </row>
    <row r="17" spans="1:29" ht="85.5">
      <c r="A17" s="408"/>
      <c r="B17" s="431" t="s">
        <v>1751</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4"/>
      <c r="Q17" s="1899" t="str">
        <f>B17</f>
        <v>交通便捷度</v>
      </c>
      <c r="R17" s="753" t="s">
        <v>25</v>
      </c>
      <c r="S17" s="754">
        <f>F17</f>
        <v>100</v>
      </c>
      <c r="T17" s="753" t="s">
        <v>25</v>
      </c>
      <c r="U17" s="754">
        <f>H17</f>
        <v>100</v>
      </c>
      <c r="V17" s="753" t="s">
        <v>25</v>
      </c>
      <c r="W17" s="754">
        <f>J17</f>
        <v>100</v>
      </c>
      <c r="X17" s="1900"/>
      <c r="Y17" s="3034"/>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34"/>
      <c r="Q18" s="1899"/>
      <c r="R18" s="753"/>
      <c r="S18" s="754"/>
      <c r="T18" s="753"/>
      <c r="U18" s="754"/>
      <c r="V18" s="753"/>
      <c r="W18" s="754"/>
      <c r="X18" s="1900"/>
      <c r="Y18" s="3034"/>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4"/>
      <c r="Q19" s="1899" t="str">
        <f>B19</f>
        <v>公共配套设施</v>
      </c>
      <c r="R19" s="753" t="s">
        <v>25</v>
      </c>
      <c r="S19" s="754">
        <f>F19</f>
        <v>100</v>
      </c>
      <c r="T19" s="753" t="s">
        <v>25</v>
      </c>
      <c r="U19" s="754">
        <f>H19</f>
        <v>100</v>
      </c>
      <c r="V19" s="753" t="s">
        <v>25</v>
      </c>
      <c r="W19" s="754">
        <f>J19</f>
        <v>100</v>
      </c>
      <c r="X19" s="1900"/>
      <c r="Y19" s="3034"/>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34"/>
      <c r="Q20" s="1899"/>
      <c r="R20" s="753"/>
      <c r="S20" s="754"/>
      <c r="T20" s="753"/>
      <c r="U20" s="754"/>
      <c r="V20" s="753"/>
      <c r="W20" s="754"/>
      <c r="X20" s="1900"/>
      <c r="Y20" s="3034"/>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4"/>
      <c r="Q21" s="1899" t="str">
        <f>B21</f>
        <v>基础设施水平</v>
      </c>
      <c r="R21" s="753" t="s">
        <v>25</v>
      </c>
      <c r="S21" s="754">
        <f>F21</f>
        <v>100</v>
      </c>
      <c r="T21" s="753" t="s">
        <v>25</v>
      </c>
      <c r="U21" s="754">
        <f>H21</f>
        <v>100</v>
      </c>
      <c r="V21" s="753" t="s">
        <v>25</v>
      </c>
      <c r="W21" s="754">
        <f>J21</f>
        <v>100</v>
      </c>
      <c r="X21" s="1900"/>
      <c r="Y21" s="3034"/>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34"/>
      <c r="Q22" s="1899"/>
      <c r="R22" s="753"/>
      <c r="S22" s="754"/>
      <c r="T22" s="753"/>
      <c r="U22" s="754"/>
      <c r="V22" s="753"/>
      <c r="W22" s="754"/>
      <c r="X22" s="1900"/>
      <c r="Y22" s="3034"/>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4"/>
      <c r="Q23" s="1899" t="str">
        <f>B23</f>
        <v>环境质量</v>
      </c>
      <c r="R23" s="753" t="s">
        <v>25</v>
      </c>
      <c r="S23" s="754">
        <f>F23</f>
        <v>100</v>
      </c>
      <c r="T23" s="753" t="s">
        <v>25</v>
      </c>
      <c r="U23" s="754">
        <f>H23</f>
        <v>100</v>
      </c>
      <c r="V23" s="753" t="s">
        <v>25</v>
      </c>
      <c r="W23" s="754">
        <f>J23</f>
        <v>100</v>
      </c>
      <c r="X23" s="1900"/>
      <c r="Y23" s="3034"/>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34"/>
      <c r="Q24" s="1899"/>
      <c r="R24" s="753"/>
      <c r="S24" s="754"/>
      <c r="T24" s="753"/>
      <c r="U24" s="754"/>
      <c r="V24" s="753"/>
      <c r="W24" s="754"/>
      <c r="X24" s="1900"/>
      <c r="Y24" s="3034"/>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4"/>
      <c r="Q25" s="1899">
        <f>B25</f>
        <v>111</v>
      </c>
      <c r="R25" s="753" t="s">
        <v>25</v>
      </c>
      <c r="S25" s="754">
        <f>F25</f>
        <v>100</v>
      </c>
      <c r="T25" s="753" t="s">
        <v>25</v>
      </c>
      <c r="U25" s="754">
        <f>H25</f>
        <v>100</v>
      </c>
      <c r="V25" s="753" t="s">
        <v>25</v>
      </c>
      <c r="W25" s="754">
        <f>J25</f>
        <v>100</v>
      </c>
      <c r="X25" s="1900"/>
      <c r="Y25" s="3034"/>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4"/>
      <c r="Q26" s="1899">
        <f t="shared" ref="Q26:Q40" si="11">B26</f>
        <v>111</v>
      </c>
      <c r="R26" s="753" t="s">
        <v>25</v>
      </c>
      <c r="S26" s="754">
        <f>F26</f>
        <v>100</v>
      </c>
      <c r="T26" s="753" t="s">
        <v>25</v>
      </c>
      <c r="U26" s="754">
        <f>H26</f>
        <v>100</v>
      </c>
      <c r="V26" s="753" t="s">
        <v>25</v>
      </c>
      <c r="W26" s="754">
        <f>J26</f>
        <v>100</v>
      </c>
      <c r="X26" s="1900"/>
      <c r="Y26" s="3034"/>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4"/>
      <c r="Q27" s="1887">
        <f t="shared" si="11"/>
        <v>111</v>
      </c>
      <c r="R27" s="749" t="s">
        <v>25</v>
      </c>
      <c r="S27" s="750">
        <f>F27</f>
        <v>100</v>
      </c>
      <c r="T27" s="749" t="s">
        <v>25</v>
      </c>
      <c r="U27" s="750">
        <f>H27</f>
        <v>100</v>
      </c>
      <c r="V27" s="749" t="s">
        <v>25</v>
      </c>
      <c r="W27" s="750">
        <f>J27</f>
        <v>100</v>
      </c>
      <c r="X27" s="751"/>
      <c r="Y27" s="3034"/>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4"/>
      <c r="Q28" s="1899">
        <f t="shared" si="11"/>
        <v>111</v>
      </c>
      <c r="R28" s="753" t="s">
        <v>25</v>
      </c>
      <c r="S28" s="754">
        <f t="shared" ref="S28:S40" si="12">F28</f>
        <v>100</v>
      </c>
      <c r="T28" s="753" t="s">
        <v>25</v>
      </c>
      <c r="U28" s="754">
        <f t="shared" ref="U28:U40" si="13">H28</f>
        <v>100</v>
      </c>
      <c r="V28" s="753" t="s">
        <v>25</v>
      </c>
      <c r="W28" s="754">
        <f t="shared" ref="W28:W40" si="14">J28</f>
        <v>100</v>
      </c>
      <c r="X28" s="1900"/>
      <c r="Y28" s="3034"/>
      <c r="Z28" s="1902">
        <f t="shared" ref="Z28:Z40" si="15">Q28</f>
        <v>111</v>
      </c>
      <c r="AA28" s="1903">
        <f t="shared" si="3"/>
        <v>1</v>
      </c>
      <c r="AB28" s="1903">
        <f t="shared" si="4"/>
        <v>1</v>
      </c>
      <c r="AC28" s="1903">
        <f t="shared" si="5"/>
        <v>1</v>
      </c>
    </row>
    <row r="29" spans="1:29" ht="15">
      <c r="A29" s="447" t="s">
        <v>2371</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79" t="s">
        <v>2373</v>
      </c>
      <c r="Q29" s="1899" t="str">
        <f t="shared" si="11"/>
        <v>建筑类型</v>
      </c>
      <c r="R29" s="753" t="s">
        <v>25</v>
      </c>
      <c r="S29" s="754">
        <f t="shared" si="12"/>
        <v>100</v>
      </c>
      <c r="T29" s="753" t="s">
        <v>25</v>
      </c>
      <c r="U29" s="754">
        <f t="shared" si="13"/>
        <v>100</v>
      </c>
      <c r="V29" s="753" t="s">
        <v>25</v>
      </c>
      <c r="W29" s="754">
        <f t="shared" si="14"/>
        <v>100</v>
      </c>
      <c r="X29" s="1900"/>
      <c r="Y29" s="3038"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8"/>
      <c r="Q30" s="755" t="str">
        <f t="shared" si="11"/>
        <v>项目建筑规模</v>
      </c>
      <c r="R30" s="756" t="s">
        <v>25</v>
      </c>
      <c r="S30" s="757" t="e">
        <f t="shared" si="12"/>
        <v>#N/A</v>
      </c>
      <c r="T30" s="756" t="s">
        <v>25</v>
      </c>
      <c r="U30" s="757" t="e">
        <f t="shared" si="13"/>
        <v>#N/A</v>
      </c>
      <c r="V30" s="756" t="s">
        <v>25</v>
      </c>
      <c r="W30" s="757" t="e">
        <f t="shared" si="14"/>
        <v>#N/A</v>
      </c>
      <c r="X30" s="758"/>
      <c r="Y30" s="3038"/>
      <c r="Z30" s="759" t="str">
        <f t="shared" si="15"/>
        <v>项目建筑规模</v>
      </c>
      <c r="AA30" s="1903" t="e">
        <f t="shared" si="3"/>
        <v>#N/A</v>
      </c>
      <c r="AB30" s="1903" t="e">
        <f t="shared" si="4"/>
        <v>#N/A</v>
      </c>
      <c r="AC30" s="1903" t="e">
        <f t="shared" si="5"/>
        <v>#N/A</v>
      </c>
    </row>
    <row r="31" spans="1:29" ht="15">
      <c r="A31" s="453"/>
      <c r="B31" s="402" t="s">
        <v>2375</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8"/>
      <c r="Q31" s="1899" t="str">
        <f t="shared" si="11"/>
        <v>建筑结构</v>
      </c>
      <c r="R31" s="753" t="s">
        <v>25</v>
      </c>
      <c r="S31" s="754">
        <f t="shared" si="12"/>
        <v>100</v>
      </c>
      <c r="T31" s="753" t="s">
        <v>25</v>
      </c>
      <c r="U31" s="754">
        <f t="shared" si="13"/>
        <v>100</v>
      </c>
      <c r="V31" s="753" t="s">
        <v>25</v>
      </c>
      <c r="W31" s="754">
        <f t="shared" si="14"/>
        <v>100</v>
      </c>
      <c r="X31" s="1900"/>
      <c r="Y31" s="3038"/>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8"/>
      <c r="Q32" s="1899" t="str">
        <f t="shared" si="11"/>
        <v>公共部分装修</v>
      </c>
      <c r="R32" s="753" t="s">
        <v>25</v>
      </c>
      <c r="S32" s="754">
        <f t="shared" si="12"/>
        <v>100</v>
      </c>
      <c r="T32" s="753" t="s">
        <v>25</v>
      </c>
      <c r="U32" s="754">
        <f t="shared" si="13"/>
        <v>100</v>
      </c>
      <c r="V32" s="753" t="s">
        <v>25</v>
      </c>
      <c r="W32" s="754">
        <f t="shared" si="14"/>
        <v>100</v>
      </c>
      <c r="X32" s="1900"/>
      <c r="Y32" s="3038"/>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8"/>
      <c r="Q33" s="1899" t="str">
        <f t="shared" si="11"/>
        <v>成新度</v>
      </c>
      <c r="R33" s="753" t="s">
        <v>25</v>
      </c>
      <c r="S33" s="754" t="e">
        <f t="shared" si="12"/>
        <v>#N/A</v>
      </c>
      <c r="T33" s="753" t="s">
        <v>25</v>
      </c>
      <c r="U33" s="754" t="e">
        <f t="shared" si="13"/>
        <v>#N/A</v>
      </c>
      <c r="V33" s="753" t="s">
        <v>25</v>
      </c>
      <c r="W33" s="754" t="e">
        <f t="shared" si="14"/>
        <v>#N/A</v>
      </c>
      <c r="X33" s="1900"/>
      <c r="Y33" s="3038"/>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8"/>
      <c r="Q34" s="1887" t="str">
        <f t="shared" si="11"/>
        <v>物业管理</v>
      </c>
      <c r="R34" s="749" t="s">
        <v>25</v>
      </c>
      <c r="S34" s="750">
        <f t="shared" si="12"/>
        <v>100</v>
      </c>
      <c r="T34" s="749" t="s">
        <v>25</v>
      </c>
      <c r="U34" s="750">
        <f t="shared" si="13"/>
        <v>100</v>
      </c>
      <c r="V34" s="749" t="s">
        <v>25</v>
      </c>
      <c r="W34" s="750">
        <f t="shared" si="14"/>
        <v>100</v>
      </c>
      <c r="X34" s="751"/>
      <c r="Y34" s="3038"/>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8" t="s">
        <v>2373</v>
      </c>
      <c r="Q35" s="1899" t="str">
        <f t="shared" si="11"/>
        <v>市政基础设施</v>
      </c>
      <c r="R35" s="753" t="s">
        <v>25</v>
      </c>
      <c r="S35" s="754">
        <f t="shared" si="12"/>
        <v>100</v>
      </c>
      <c r="T35" s="753" t="s">
        <v>25</v>
      </c>
      <c r="U35" s="754">
        <f t="shared" si="13"/>
        <v>100</v>
      </c>
      <c r="V35" s="753" t="s">
        <v>25</v>
      </c>
      <c r="W35" s="754">
        <f t="shared" si="14"/>
        <v>100</v>
      </c>
      <c r="X35" s="1900"/>
      <c r="Y35" s="3038" t="s">
        <v>2373</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8"/>
      <c r="Q36" s="1899" t="str">
        <f t="shared" si="11"/>
        <v>内部装修</v>
      </c>
      <c r="R36" s="753" t="s">
        <v>25</v>
      </c>
      <c r="S36" s="754">
        <f t="shared" si="12"/>
        <v>100</v>
      </c>
      <c r="T36" s="753" t="s">
        <v>25</v>
      </c>
      <c r="U36" s="754">
        <f t="shared" si="13"/>
        <v>100</v>
      </c>
      <c r="V36" s="753" t="s">
        <v>25</v>
      </c>
      <c r="W36" s="754">
        <f t="shared" si="14"/>
        <v>100</v>
      </c>
      <c r="X36" s="1900"/>
      <c r="Y36" s="3038"/>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8"/>
      <c r="Q37" s="1899" t="str">
        <f t="shared" si="11"/>
        <v>内部装修状况</v>
      </c>
      <c r="R37" s="753" t="s">
        <v>25</v>
      </c>
      <c r="S37" s="754">
        <f t="shared" si="12"/>
        <v>0</v>
      </c>
      <c r="T37" s="753" t="s">
        <v>25</v>
      </c>
      <c r="U37" s="754">
        <f t="shared" si="13"/>
        <v>0</v>
      </c>
      <c r="V37" s="753" t="s">
        <v>25</v>
      </c>
      <c r="W37" s="754">
        <f t="shared" si="14"/>
        <v>0</v>
      </c>
      <c r="X37" s="1900"/>
      <c r="Y37" s="3038"/>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8"/>
      <c r="Q38" s="755">
        <f t="shared" si="11"/>
        <v>111</v>
      </c>
      <c r="R38" s="756" t="s">
        <v>25</v>
      </c>
      <c r="S38" s="757">
        <f t="shared" si="12"/>
        <v>100</v>
      </c>
      <c r="T38" s="756" t="s">
        <v>25</v>
      </c>
      <c r="U38" s="757">
        <f t="shared" si="13"/>
        <v>100</v>
      </c>
      <c r="V38" s="756" t="s">
        <v>25</v>
      </c>
      <c r="W38" s="757">
        <f t="shared" si="14"/>
        <v>100</v>
      </c>
      <c r="X38" s="758"/>
      <c r="Y38" s="3038"/>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8"/>
      <c r="Q39" s="1899">
        <f t="shared" si="11"/>
        <v>111</v>
      </c>
      <c r="R39" s="753" t="s">
        <v>25</v>
      </c>
      <c r="S39" s="754">
        <f t="shared" si="12"/>
        <v>100</v>
      </c>
      <c r="T39" s="753" t="s">
        <v>25</v>
      </c>
      <c r="U39" s="754">
        <f t="shared" si="13"/>
        <v>100</v>
      </c>
      <c r="V39" s="753" t="s">
        <v>25</v>
      </c>
      <c r="W39" s="754">
        <f t="shared" si="14"/>
        <v>100</v>
      </c>
      <c r="X39" s="1900"/>
      <c r="Y39" s="3038"/>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9"/>
      <c r="Q40" s="1899">
        <f t="shared" si="11"/>
        <v>111</v>
      </c>
      <c r="R40" s="753" t="s">
        <v>25</v>
      </c>
      <c r="S40" s="754">
        <f t="shared" si="12"/>
        <v>100</v>
      </c>
      <c r="T40" s="753" t="s">
        <v>25</v>
      </c>
      <c r="U40" s="754">
        <f t="shared" si="13"/>
        <v>100</v>
      </c>
      <c r="V40" s="753" t="s">
        <v>25</v>
      </c>
      <c r="W40" s="754">
        <f t="shared" si="14"/>
        <v>100</v>
      </c>
      <c r="X40" s="1900"/>
      <c r="Y40" s="3039"/>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030" t="str">
        <f>A41</f>
        <v>成交单价（元/平方米）</v>
      </c>
      <c r="Q41" s="3030"/>
      <c r="R41" s="3026">
        <f>E41</f>
        <v>0</v>
      </c>
      <c r="S41" s="3026"/>
      <c r="T41" s="3026">
        <f>G41</f>
        <v>0</v>
      </c>
      <c r="U41" s="3026"/>
      <c r="V41" s="3026">
        <f>I41</f>
        <v>0</v>
      </c>
      <c r="W41" s="3026"/>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30" t="str">
        <f>A42</f>
        <v>比较价值（元/平方米）</v>
      </c>
      <c r="Q42" s="3030"/>
      <c r="R42" s="3026" t="e">
        <f>IF(E1="售价",ROUND(PRODUCT(R41,AA7:AA40),0),ROUND(PRODUCT(R41,AA7:AA40),1))</f>
        <v>#DIV/0!</v>
      </c>
      <c r="S42" s="3026"/>
      <c r="T42" s="3026" t="e">
        <f>IF(E1="售价",ROUND(PRODUCT(T41,AB7:AB40),0),ROUND(PRODUCT(T41,AB7:AB40),1))</f>
        <v>#DIV/0!</v>
      </c>
      <c r="U42" s="3026"/>
      <c r="V42" s="3026" t="e">
        <f>IF(E1="售价",ROUND(PRODUCT(V41,AC7:AC40),0),ROUND(PRODUCT(V41,AC7:AC40),1))</f>
        <v>#DIV/0!</v>
      </c>
      <c r="W42" s="3026"/>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27" t="str">
        <f>A43</f>
        <v>估价对象XX用房的比较价值（楼面单价，元/平方米）</v>
      </c>
      <c r="Q43" s="3028"/>
      <c r="R43" s="3029" t="e">
        <f>IF(E1="售价",ROUND(AVERAGE(R42:V42),0),ROUND(AVERAGE(R42:V42),1))</f>
        <v>#DIV/0!</v>
      </c>
      <c r="S43" s="3029"/>
      <c r="T43" s="3029"/>
      <c r="U43" s="3029"/>
      <c r="V43" s="3029"/>
      <c r="W43" s="302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2014-11</v>
      </c>
      <c r="D52" s="1679">
        <f>EDATE(C52,-1)</f>
        <v>41913</v>
      </c>
      <c r="E52" s="1680">
        <f t="shared" ref="E52:O52" si="16">EDATE(D52,-1)</f>
        <v>41883</v>
      </c>
      <c r="F52" s="1680">
        <f t="shared" si="16"/>
        <v>41852</v>
      </c>
      <c r="G52" s="1680">
        <f t="shared" si="16"/>
        <v>41821</v>
      </c>
      <c r="H52" s="1680">
        <f t="shared" si="16"/>
        <v>41791</v>
      </c>
      <c r="I52" s="1680">
        <f t="shared" si="16"/>
        <v>41760</v>
      </c>
      <c r="J52" s="1680">
        <f t="shared" si="16"/>
        <v>41730</v>
      </c>
      <c r="K52" s="1680">
        <f t="shared" si="16"/>
        <v>41699</v>
      </c>
      <c r="L52" s="1680">
        <f t="shared" si="16"/>
        <v>41671</v>
      </c>
      <c r="M52" s="1680">
        <f t="shared" si="16"/>
        <v>41640</v>
      </c>
      <c r="N52" s="1680">
        <f t="shared" si="16"/>
        <v>41609</v>
      </c>
      <c r="O52" s="1680">
        <f t="shared" si="16"/>
        <v>41579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2371</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223.09</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57" t="s">
        <v>2343</v>
      </c>
      <c r="D4" s="3058"/>
      <c r="E4" s="3059" t="s">
        <v>2344</v>
      </c>
      <c r="F4" s="3060"/>
      <c r="G4" s="3057" t="s">
        <v>2345</v>
      </c>
      <c r="H4" s="3058"/>
      <c r="I4" s="3057" t="s">
        <v>2346</v>
      </c>
      <c r="J4" s="3058"/>
      <c r="K4" s="594" t="s">
        <v>2347</v>
      </c>
      <c r="L4" s="1514"/>
      <c r="M4" s="425"/>
      <c r="N4" s="425"/>
      <c r="O4" s="425"/>
      <c r="P4" s="3061" t="s">
        <v>2348</v>
      </c>
      <c r="Q4" s="3062"/>
      <c r="R4" s="3046" t="s">
        <v>2344</v>
      </c>
      <c r="S4" s="3047"/>
      <c r="T4" s="3046" t="s">
        <v>2345</v>
      </c>
      <c r="U4" s="3047"/>
      <c r="V4" s="3067" t="s">
        <v>2346</v>
      </c>
      <c r="W4" s="3067"/>
      <c r="X4" s="1900"/>
      <c r="Y4" s="3046" t="s">
        <v>2348</v>
      </c>
      <c r="Z4" s="3047"/>
      <c r="AA4" s="3054" t="s">
        <v>2344</v>
      </c>
      <c r="AB4" s="3055" t="s">
        <v>2345</v>
      </c>
      <c r="AC4" s="3054" t="s">
        <v>2346</v>
      </c>
    </row>
    <row r="5" spans="1:29" ht="15">
      <c r="A5" s="383"/>
      <c r="B5" s="384"/>
      <c r="C5" s="3042" t="s">
        <v>2349</v>
      </c>
      <c r="D5" s="3043"/>
      <c r="E5" s="3068" t="s">
        <v>2350</v>
      </c>
      <c r="F5" s="3069"/>
      <c r="G5" s="3042" t="s">
        <v>2351</v>
      </c>
      <c r="H5" s="3043"/>
      <c r="I5" s="3042" t="s">
        <v>2352</v>
      </c>
      <c r="J5" s="3043"/>
      <c r="K5" s="594"/>
      <c r="L5" s="1514"/>
      <c r="M5" s="425"/>
      <c r="N5" s="425"/>
      <c r="O5" s="425"/>
      <c r="P5" s="3063"/>
      <c r="Q5" s="3064"/>
      <c r="R5" s="3048"/>
      <c r="S5" s="3049"/>
      <c r="T5" s="3048"/>
      <c r="U5" s="3049"/>
      <c r="V5" s="3067"/>
      <c r="W5" s="3067"/>
      <c r="X5" s="1900"/>
      <c r="Y5" s="3048"/>
      <c r="Z5" s="3049"/>
      <c r="AA5" s="3055"/>
      <c r="AB5" s="3055"/>
      <c r="AC5" s="3055"/>
    </row>
    <row r="6" spans="1:29" ht="15.75" thickBot="1">
      <c r="A6" s="385"/>
      <c r="B6" s="386"/>
      <c r="C6" s="3040" t="s">
        <v>2353</v>
      </c>
      <c r="D6" s="3041"/>
      <c r="E6" s="3070" t="s">
        <v>2353</v>
      </c>
      <c r="F6" s="3071"/>
      <c r="G6" s="3040" t="s">
        <v>2353</v>
      </c>
      <c r="H6" s="3041"/>
      <c r="I6" s="3040" t="s">
        <v>2353</v>
      </c>
      <c r="J6" s="3041"/>
      <c r="K6" s="594" t="s">
        <v>2354</v>
      </c>
      <c r="L6" s="1514"/>
      <c r="M6" s="425"/>
      <c r="N6" s="425"/>
      <c r="O6" s="425"/>
      <c r="P6" s="3065"/>
      <c r="Q6" s="3066"/>
      <c r="R6" s="3048"/>
      <c r="S6" s="3049"/>
      <c r="T6" s="3050"/>
      <c r="U6" s="3051"/>
      <c r="V6" s="3067"/>
      <c r="W6" s="3067"/>
      <c r="X6" s="1900"/>
      <c r="Y6" s="3050"/>
      <c r="Z6" s="3051"/>
      <c r="AA6" s="3056"/>
      <c r="AB6" s="3056"/>
      <c r="AC6" s="3056"/>
    </row>
    <row r="7" spans="1:29" s="35" customFormat="1" ht="15.75" thickBot="1">
      <c r="A7" s="387" t="s">
        <v>2355</v>
      </c>
      <c r="B7" s="388"/>
      <c r="C7" s="389">
        <f>'数据-取费表'!B2</f>
        <v>41962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4" t="s">
        <v>2356</v>
      </c>
      <c r="Q7" s="3052"/>
      <c r="R7" s="749" t="s">
        <v>25</v>
      </c>
      <c r="S7" s="750">
        <f t="shared" ref="S7:S14" si="0">F7</f>
        <v>0</v>
      </c>
      <c r="T7" s="749" t="s">
        <v>25</v>
      </c>
      <c r="U7" s="750">
        <f t="shared" ref="U7:U14" si="1">H7</f>
        <v>0</v>
      </c>
      <c r="V7" s="749" t="s">
        <v>25</v>
      </c>
      <c r="W7" s="750">
        <f t="shared" ref="W7:W14" si="2">J7</f>
        <v>0</v>
      </c>
      <c r="X7" s="751"/>
      <c r="Y7" s="3044" t="s">
        <v>2356</v>
      </c>
      <c r="Z7" s="3045"/>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4" t="s">
        <v>2359</v>
      </c>
      <c r="Q8" s="3045"/>
      <c r="R8" s="749" t="s">
        <v>25</v>
      </c>
      <c r="S8" s="750">
        <f t="shared" si="0"/>
        <v>0</v>
      </c>
      <c r="T8" s="749" t="s">
        <v>25</v>
      </c>
      <c r="U8" s="750">
        <f t="shared" si="1"/>
        <v>0</v>
      </c>
      <c r="V8" s="749" t="s">
        <v>25</v>
      </c>
      <c r="W8" s="750">
        <f t="shared" si="2"/>
        <v>0</v>
      </c>
      <c r="X8" s="751"/>
      <c r="Y8" s="3044" t="s">
        <v>2359</v>
      </c>
      <c r="Z8" s="3045"/>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0" t="s">
        <v>2362</v>
      </c>
      <c r="Q9" s="1887" t="str">
        <f t="shared" ref="Q9:Q14" si="6">B9</f>
        <v>用途</v>
      </c>
      <c r="R9" s="749" t="s">
        <v>25</v>
      </c>
      <c r="S9" s="750">
        <f t="shared" si="0"/>
        <v>100</v>
      </c>
      <c r="T9" s="749" t="s">
        <v>25</v>
      </c>
      <c r="U9" s="750">
        <f t="shared" si="1"/>
        <v>100</v>
      </c>
      <c r="V9" s="749" t="s">
        <v>25</v>
      </c>
      <c r="W9" s="750">
        <f t="shared" si="2"/>
        <v>100</v>
      </c>
      <c r="X9" s="751"/>
      <c r="Y9" s="2856"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0"/>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0"/>
      <c r="Q11" s="1887">
        <f t="shared" si="6"/>
        <v>111</v>
      </c>
      <c r="R11" s="749" t="s">
        <v>25</v>
      </c>
      <c r="S11" s="750">
        <f t="shared" si="0"/>
        <v>100</v>
      </c>
      <c r="T11" s="749" t="s">
        <v>25</v>
      </c>
      <c r="U11" s="750">
        <f t="shared" si="1"/>
        <v>100</v>
      </c>
      <c r="V11" s="749" t="s">
        <v>25</v>
      </c>
      <c r="W11" s="750">
        <f t="shared" si="2"/>
        <v>100</v>
      </c>
      <c r="X11" s="751"/>
      <c r="Y11" s="285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0"/>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0"/>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28.25">
      <c r="A14" s="380" t="s">
        <v>2366</v>
      </c>
      <c r="B14" s="613" t="s">
        <v>2509</v>
      </c>
      <c r="C14" s="1480" t="str">
        <f>IF(B1="工业",估价对象房地状况!G4,估价对象房地状况!C6)</f>
        <v>估价对象周边有44路、58路、139路、特2路、特12路等多条公交线路及地铁2、6号线换乘站（朝阳门站），综合评价交通便捷度较好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3" t="s">
        <v>2367</v>
      </c>
      <c r="Q14" s="1899" t="str">
        <f t="shared" si="6"/>
        <v>交通便捷度</v>
      </c>
      <c r="R14" s="753" t="s">
        <v>25</v>
      </c>
      <c r="S14" s="754">
        <f t="shared" si="0"/>
        <v>100</v>
      </c>
      <c r="T14" s="753" t="s">
        <v>25</v>
      </c>
      <c r="U14" s="754">
        <f t="shared" si="1"/>
        <v>100</v>
      </c>
      <c r="V14" s="753" t="s">
        <v>25</v>
      </c>
      <c r="W14" s="754">
        <f t="shared" si="2"/>
        <v>100</v>
      </c>
      <c r="X14" s="1900"/>
      <c r="Y14" s="3033"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4"/>
      <c r="Q15" s="1899"/>
      <c r="R15" s="753"/>
      <c r="S15" s="754"/>
      <c r="T15" s="753"/>
      <c r="U15" s="754"/>
      <c r="V15" s="753"/>
      <c r="W15" s="754"/>
      <c r="X15" s="1900"/>
      <c r="Y15" s="3034"/>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4"/>
      <c r="Q16" s="1899" t="str">
        <f>B16</f>
        <v>公共配套设施</v>
      </c>
      <c r="R16" s="753" t="s">
        <v>25</v>
      </c>
      <c r="S16" s="754">
        <f>F16</f>
        <v>100</v>
      </c>
      <c r="T16" s="753" t="s">
        <v>25</v>
      </c>
      <c r="U16" s="754">
        <f>H16</f>
        <v>100</v>
      </c>
      <c r="V16" s="753" t="s">
        <v>25</v>
      </c>
      <c r="W16" s="754">
        <f>J16</f>
        <v>100</v>
      </c>
      <c r="X16" s="1900"/>
      <c r="Y16" s="3034"/>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4"/>
      <c r="Q17" s="1899"/>
      <c r="R17" s="753"/>
      <c r="S17" s="754"/>
      <c r="T17" s="753"/>
      <c r="U17" s="754"/>
      <c r="V17" s="753"/>
      <c r="W17" s="754"/>
      <c r="X17" s="1900"/>
      <c r="Y17" s="3034"/>
      <c r="Z17" s="1902"/>
      <c r="AA17" s="1903">
        <v>1</v>
      </c>
      <c r="AB17" s="1903">
        <v>1</v>
      </c>
      <c r="AC17" s="1903">
        <v>1</v>
      </c>
    </row>
    <row r="18" spans="1:29" ht="15">
      <c r="A18" s="383"/>
      <c r="B18" s="617" t="s">
        <v>2482</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4"/>
      <c r="Q18" s="1899" t="str">
        <f>B18</f>
        <v>基础设施水平</v>
      </c>
      <c r="R18" s="753" t="s">
        <v>25</v>
      </c>
      <c r="S18" s="754">
        <f>F18</f>
        <v>100</v>
      </c>
      <c r="T18" s="753" t="s">
        <v>25</v>
      </c>
      <c r="U18" s="754">
        <f>H18</f>
        <v>100</v>
      </c>
      <c r="V18" s="753" t="s">
        <v>25</v>
      </c>
      <c r="W18" s="754">
        <f>J18</f>
        <v>100</v>
      </c>
      <c r="X18" s="1900"/>
      <c r="Y18" s="3034"/>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4"/>
      <c r="Q19" s="1899"/>
      <c r="R19" s="753"/>
      <c r="S19" s="754"/>
      <c r="T19" s="753"/>
      <c r="U19" s="754"/>
      <c r="V19" s="753"/>
      <c r="W19" s="754"/>
      <c r="X19" s="1900"/>
      <c r="Y19" s="3034"/>
      <c r="Z19" s="1902"/>
      <c r="AA19" s="1903">
        <v>1</v>
      </c>
      <c r="AB19" s="1903">
        <v>1</v>
      </c>
      <c r="AC19" s="1903">
        <v>1</v>
      </c>
    </row>
    <row r="20" spans="1:29" ht="99.75">
      <c r="A20" s="383"/>
      <c r="B20" s="615" t="s">
        <v>2510</v>
      </c>
      <c r="C20" s="1482" t="str">
        <f>IF(B1="工业",估价对象房地状况!G7,估价对象房地状况!C9)</f>
        <v>区域自然环境：日坛公园；人文环境：朝阳区政府、中国司法部、使馆区；综合评价环境状况较好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4"/>
      <c r="Q20" s="1899" t="str">
        <f>B20</f>
        <v>自然及人文环境</v>
      </c>
      <c r="R20" s="753" t="s">
        <v>25</v>
      </c>
      <c r="S20" s="754">
        <f>F20</f>
        <v>100</v>
      </c>
      <c r="T20" s="753" t="s">
        <v>25</v>
      </c>
      <c r="U20" s="754">
        <f>H20</f>
        <v>100</v>
      </c>
      <c r="V20" s="753" t="s">
        <v>25</v>
      </c>
      <c r="W20" s="754">
        <f>J20</f>
        <v>100</v>
      </c>
      <c r="X20" s="1900"/>
      <c r="Y20" s="3034"/>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4"/>
      <c r="Q21" s="1899"/>
      <c r="R21" s="753"/>
      <c r="S21" s="754"/>
      <c r="T21" s="753"/>
      <c r="U21" s="754"/>
      <c r="V21" s="753"/>
      <c r="W21" s="754"/>
      <c r="X21" s="1900"/>
      <c r="Y21" s="3034"/>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4"/>
      <c r="Q22" s="1899" t="str">
        <f>B22</f>
        <v>楼层</v>
      </c>
      <c r="R22" s="753" t="s">
        <v>25</v>
      </c>
      <c r="S22" s="754">
        <f>F22</f>
        <v>100</v>
      </c>
      <c r="T22" s="753" t="s">
        <v>25</v>
      </c>
      <c r="U22" s="754">
        <f>H22</f>
        <v>100</v>
      </c>
      <c r="V22" s="753" t="s">
        <v>25</v>
      </c>
      <c r="W22" s="754">
        <f>J22</f>
        <v>100</v>
      </c>
      <c r="X22" s="1900"/>
      <c r="Y22" s="3034"/>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4"/>
      <c r="Q23" s="1899">
        <f>B23</f>
        <v>111</v>
      </c>
      <c r="R23" s="753" t="s">
        <v>25</v>
      </c>
      <c r="S23" s="754">
        <f>F23</f>
        <v>100</v>
      </c>
      <c r="T23" s="753" t="s">
        <v>25</v>
      </c>
      <c r="U23" s="754">
        <f>H23</f>
        <v>100</v>
      </c>
      <c r="V23" s="753" t="s">
        <v>25</v>
      </c>
      <c r="W23" s="754">
        <f>J23</f>
        <v>100</v>
      </c>
      <c r="X23" s="1900"/>
      <c r="Y23" s="3034"/>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4"/>
      <c r="Q24" s="1899">
        <f t="shared" ref="Q24:Q36" si="11">B24</f>
        <v>111</v>
      </c>
      <c r="R24" s="753" t="s">
        <v>25</v>
      </c>
      <c r="S24" s="754">
        <f>F24</f>
        <v>100</v>
      </c>
      <c r="T24" s="753" t="s">
        <v>25</v>
      </c>
      <c r="U24" s="754">
        <f>H24</f>
        <v>100</v>
      </c>
      <c r="V24" s="753" t="s">
        <v>25</v>
      </c>
      <c r="W24" s="754">
        <f>J24</f>
        <v>100</v>
      </c>
      <c r="X24" s="1900"/>
      <c r="Y24" s="3034"/>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4"/>
      <c r="Q25" s="1887">
        <f t="shared" si="11"/>
        <v>111</v>
      </c>
      <c r="R25" s="749" t="s">
        <v>25</v>
      </c>
      <c r="S25" s="750">
        <f>F25</f>
        <v>100</v>
      </c>
      <c r="T25" s="749" t="s">
        <v>25</v>
      </c>
      <c r="U25" s="750">
        <f>H25</f>
        <v>100</v>
      </c>
      <c r="V25" s="749" t="s">
        <v>25</v>
      </c>
      <c r="W25" s="750">
        <f>J25</f>
        <v>100</v>
      </c>
      <c r="X25" s="751"/>
      <c r="Y25" s="3034"/>
      <c r="Z25" s="23">
        <f>Q25</f>
        <v>111</v>
      </c>
      <c r="AA25" s="1903">
        <f>D25/F25</f>
        <v>1</v>
      </c>
      <c r="AB25" s="1903">
        <f>D25/H25</f>
        <v>1</v>
      </c>
      <c r="AC25" s="1903">
        <f>D25/J25</f>
        <v>1</v>
      </c>
    </row>
    <row r="26" spans="1:29" ht="15">
      <c r="A26" s="635" t="s">
        <v>2371</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9"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8" t="s">
        <v>2373</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8"/>
      <c r="Q27" s="755" t="str">
        <f t="shared" si="11"/>
        <v>项目停车位配比</v>
      </c>
      <c r="R27" s="756" t="s">
        <v>25</v>
      </c>
      <c r="S27" s="757">
        <f t="shared" si="12"/>
        <v>100</v>
      </c>
      <c r="T27" s="756" t="s">
        <v>25</v>
      </c>
      <c r="U27" s="757">
        <f t="shared" si="13"/>
        <v>100</v>
      </c>
      <c r="V27" s="756" t="s">
        <v>25</v>
      </c>
      <c r="W27" s="757">
        <f t="shared" si="14"/>
        <v>100</v>
      </c>
      <c r="X27" s="758"/>
      <c r="Y27" s="3038"/>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8"/>
      <c r="Q28" s="1899" t="str">
        <f t="shared" si="11"/>
        <v>公共部分装修</v>
      </c>
      <c r="R28" s="753" t="s">
        <v>25</v>
      </c>
      <c r="S28" s="754">
        <f t="shared" si="12"/>
        <v>100</v>
      </c>
      <c r="T28" s="753" t="s">
        <v>25</v>
      </c>
      <c r="U28" s="754">
        <f t="shared" si="13"/>
        <v>100</v>
      </c>
      <c r="V28" s="753" t="s">
        <v>25</v>
      </c>
      <c r="W28" s="754">
        <f t="shared" si="14"/>
        <v>100</v>
      </c>
      <c r="X28" s="1900"/>
      <c r="Y28" s="3038"/>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8"/>
      <c r="Q29" s="1899" t="str">
        <f t="shared" si="11"/>
        <v>成新率</v>
      </c>
      <c r="R29" s="753" t="s">
        <v>25</v>
      </c>
      <c r="S29" s="754" t="e">
        <f t="shared" si="12"/>
        <v>#N/A</v>
      </c>
      <c r="T29" s="753" t="s">
        <v>25</v>
      </c>
      <c r="U29" s="754" t="e">
        <f t="shared" si="13"/>
        <v>#N/A</v>
      </c>
      <c r="V29" s="753" t="s">
        <v>25</v>
      </c>
      <c r="W29" s="754" t="e">
        <f t="shared" si="14"/>
        <v>#N/A</v>
      </c>
      <c r="X29" s="1900"/>
      <c r="Y29" s="3038"/>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8"/>
      <c r="Q30" s="1899" t="str">
        <f t="shared" si="11"/>
        <v>物业等级</v>
      </c>
      <c r="R30" s="753" t="s">
        <v>25</v>
      </c>
      <c r="S30" s="754">
        <f t="shared" si="12"/>
        <v>100</v>
      </c>
      <c r="T30" s="753" t="s">
        <v>25</v>
      </c>
      <c r="U30" s="754">
        <f t="shared" si="13"/>
        <v>100</v>
      </c>
      <c r="V30" s="753" t="s">
        <v>25</v>
      </c>
      <c r="W30" s="754">
        <f t="shared" si="14"/>
        <v>100</v>
      </c>
      <c r="X30" s="1900"/>
      <c r="Y30" s="3038"/>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8"/>
      <c r="Q31" s="1887" t="str">
        <f t="shared" si="11"/>
        <v>停车位面积</v>
      </c>
      <c r="R31" s="749" t="s">
        <v>25</v>
      </c>
      <c r="S31" s="750" t="e">
        <f t="shared" si="12"/>
        <v>#N/A</v>
      </c>
      <c r="T31" s="749" t="s">
        <v>25</v>
      </c>
      <c r="U31" s="750" t="e">
        <f t="shared" si="13"/>
        <v>#N/A</v>
      </c>
      <c r="V31" s="749" t="s">
        <v>25</v>
      </c>
      <c r="W31" s="750" t="e">
        <f t="shared" si="14"/>
        <v>#N/A</v>
      </c>
      <c r="X31" s="751"/>
      <c r="Y31" s="3038"/>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8" t="s">
        <v>2373</v>
      </c>
      <c r="Q32" s="1899" t="str">
        <f t="shared" si="11"/>
        <v>车位类型</v>
      </c>
      <c r="R32" s="753" t="s">
        <v>25</v>
      </c>
      <c r="S32" s="754">
        <f t="shared" si="12"/>
        <v>100</v>
      </c>
      <c r="T32" s="753" t="s">
        <v>25</v>
      </c>
      <c r="U32" s="754">
        <f t="shared" si="13"/>
        <v>100</v>
      </c>
      <c r="V32" s="753" t="s">
        <v>25</v>
      </c>
      <c r="W32" s="754">
        <f t="shared" si="14"/>
        <v>100</v>
      </c>
      <c r="X32" s="1900"/>
      <c r="Y32" s="3038" t="s">
        <v>2373</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8"/>
      <c r="Q33" s="1899" t="str">
        <f t="shared" si="11"/>
        <v>是否直接入户</v>
      </c>
      <c r="R33" s="753" t="s">
        <v>25</v>
      </c>
      <c r="S33" s="754">
        <f t="shared" si="12"/>
        <v>100</v>
      </c>
      <c r="T33" s="753" t="s">
        <v>25</v>
      </c>
      <c r="U33" s="754">
        <f t="shared" si="13"/>
        <v>100</v>
      </c>
      <c r="V33" s="753" t="s">
        <v>25</v>
      </c>
      <c r="W33" s="754">
        <f t="shared" si="14"/>
        <v>100</v>
      </c>
      <c r="X33" s="1900"/>
      <c r="Y33" s="3038"/>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8"/>
      <c r="Q34" s="1899">
        <f t="shared" si="11"/>
        <v>111</v>
      </c>
      <c r="R34" s="753" t="s">
        <v>25</v>
      </c>
      <c r="S34" s="754">
        <f t="shared" si="12"/>
        <v>100</v>
      </c>
      <c r="T34" s="753" t="s">
        <v>25</v>
      </c>
      <c r="U34" s="754">
        <f t="shared" si="13"/>
        <v>100</v>
      </c>
      <c r="V34" s="753" t="s">
        <v>25</v>
      </c>
      <c r="W34" s="754">
        <f t="shared" si="14"/>
        <v>100</v>
      </c>
      <c r="X34" s="1900"/>
      <c r="Y34" s="3038"/>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8"/>
      <c r="Q35" s="755">
        <f t="shared" si="11"/>
        <v>111</v>
      </c>
      <c r="R35" s="756" t="s">
        <v>25</v>
      </c>
      <c r="S35" s="757">
        <f t="shared" si="12"/>
        <v>100</v>
      </c>
      <c r="T35" s="756" t="s">
        <v>25</v>
      </c>
      <c r="U35" s="757">
        <f t="shared" si="13"/>
        <v>100</v>
      </c>
      <c r="V35" s="756" t="s">
        <v>25</v>
      </c>
      <c r="W35" s="757">
        <f t="shared" si="14"/>
        <v>100</v>
      </c>
      <c r="X35" s="758"/>
      <c r="Y35" s="3038"/>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8"/>
      <c r="Q36" s="1899">
        <f t="shared" si="11"/>
        <v>111</v>
      </c>
      <c r="R36" s="753" t="s">
        <v>25</v>
      </c>
      <c r="S36" s="754">
        <f t="shared" si="12"/>
        <v>100</v>
      </c>
      <c r="T36" s="753" t="s">
        <v>25</v>
      </c>
      <c r="U36" s="754">
        <f t="shared" si="13"/>
        <v>100</v>
      </c>
      <c r="V36" s="753" t="s">
        <v>25</v>
      </c>
      <c r="W36" s="754">
        <f t="shared" si="14"/>
        <v>100</v>
      </c>
      <c r="X36" s="1900"/>
      <c r="Y36" s="3038"/>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30" t="str">
        <f>A37</f>
        <v>成交单价</v>
      </c>
      <c r="Q37" s="3030"/>
      <c r="R37" s="3026">
        <f>E37</f>
        <v>0</v>
      </c>
      <c r="S37" s="3026"/>
      <c r="T37" s="3026">
        <f>G37</f>
        <v>0</v>
      </c>
      <c r="U37" s="3026"/>
      <c r="V37" s="3026">
        <f>I37</f>
        <v>0</v>
      </c>
      <c r="W37" s="3026"/>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0" t="str">
        <f>A38</f>
        <v>比较价值</v>
      </c>
      <c r="Q38" s="3030"/>
      <c r="R38" s="3026" t="e">
        <f>IF(E1="售价",ROUND(PRODUCT(R37,AA7:AA36),0),ROUND(PRODUCT(R37,AA7:AA36),1))</f>
        <v>#DIV/0!</v>
      </c>
      <c r="S38" s="3026"/>
      <c r="T38" s="3026" t="e">
        <f>IF(E1="售价",ROUND(PRODUCT(T37,AB7:AB36),0),ROUND(PRODUCT(T37,AB7:AB36),1))</f>
        <v>#DIV/0!</v>
      </c>
      <c r="U38" s="3026"/>
      <c r="V38" s="3026" t="e">
        <f>IF(E1="售价",ROUND(PRODUCT(V37,AC7:AC36),0),ROUND(PRODUCT(V37,AC7:AC36),1))</f>
        <v>#DIV/0!</v>
      </c>
      <c r="W38" s="3026"/>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27" t="str">
        <f>A39</f>
        <v>估价对象XX用房的比较价值（楼面单价，元/平方米）</v>
      </c>
      <c r="Q39" s="3028"/>
      <c r="R39" s="3029" t="e">
        <f>IF(E1="售价",ROUND(AVERAGE(R38:V38),0),ROUND(AVERAGE(R38:V38),1))</f>
        <v>#DIV/0!</v>
      </c>
      <c r="S39" s="3029"/>
      <c r="T39" s="3029"/>
      <c r="U39" s="3029"/>
      <c r="V39" s="3029"/>
      <c r="W39" s="302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2014-11</v>
      </c>
      <c r="D48" s="1679">
        <f>EDATE(C48,-1)</f>
        <v>41913</v>
      </c>
      <c r="E48" s="1679">
        <f t="shared" ref="E48:O48" si="16">EDATE(D48,-1)</f>
        <v>41883</v>
      </c>
      <c r="F48" s="1679">
        <f t="shared" si="16"/>
        <v>41852</v>
      </c>
      <c r="G48" s="1679">
        <f t="shared" si="16"/>
        <v>41821</v>
      </c>
      <c r="H48" s="1679">
        <f t="shared" si="16"/>
        <v>41791</v>
      </c>
      <c r="I48" s="1679">
        <f t="shared" si="16"/>
        <v>41760</v>
      </c>
      <c r="J48" s="1679">
        <f t="shared" si="16"/>
        <v>41730</v>
      </c>
      <c r="K48" s="1679">
        <f t="shared" si="16"/>
        <v>41699</v>
      </c>
      <c r="L48" s="1679">
        <f t="shared" si="16"/>
        <v>41671</v>
      </c>
      <c r="M48" s="1679">
        <f t="shared" si="16"/>
        <v>41640</v>
      </c>
      <c r="N48" s="1679">
        <f t="shared" si="16"/>
        <v>41609</v>
      </c>
      <c r="O48" s="1679">
        <f t="shared" si="16"/>
        <v>41579</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223.09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57" t="s">
        <v>2343</v>
      </c>
      <c r="D4" s="3058"/>
      <c r="E4" s="3059" t="s">
        <v>2344</v>
      </c>
      <c r="F4" s="3060"/>
      <c r="G4" s="3057" t="s">
        <v>2345</v>
      </c>
      <c r="H4" s="3058"/>
      <c r="I4" s="3057" t="s">
        <v>2346</v>
      </c>
      <c r="J4" s="3058"/>
      <c r="K4" s="594" t="s">
        <v>2347</v>
      </c>
      <c r="L4" s="1243"/>
      <c r="M4" s="1244"/>
      <c r="N4" s="1244"/>
      <c r="O4" s="1244"/>
      <c r="P4" s="3061" t="s">
        <v>2348</v>
      </c>
      <c r="Q4" s="3062"/>
      <c r="R4" s="3046" t="s">
        <v>2344</v>
      </c>
      <c r="S4" s="3047"/>
      <c r="T4" s="3046" t="s">
        <v>2345</v>
      </c>
      <c r="U4" s="3047"/>
      <c r="V4" s="3067" t="s">
        <v>2346</v>
      </c>
      <c r="W4" s="3067"/>
      <c r="X4" s="1900"/>
      <c r="Y4" s="3046" t="s">
        <v>2348</v>
      </c>
      <c r="Z4" s="3047"/>
      <c r="AA4" s="3054" t="s">
        <v>2344</v>
      </c>
      <c r="AB4" s="3055" t="s">
        <v>2345</v>
      </c>
      <c r="AC4" s="3054" t="s">
        <v>2346</v>
      </c>
    </row>
    <row r="5" spans="1:29" ht="15">
      <c r="A5" s="383"/>
      <c r="B5" s="384"/>
      <c r="C5" s="3042" t="s">
        <v>2349</v>
      </c>
      <c r="D5" s="3043"/>
      <c r="E5" s="3068" t="s">
        <v>2350</v>
      </c>
      <c r="F5" s="3069"/>
      <c r="G5" s="3042" t="s">
        <v>2351</v>
      </c>
      <c r="H5" s="3043"/>
      <c r="I5" s="3042" t="s">
        <v>2352</v>
      </c>
      <c r="J5" s="3043"/>
      <c r="K5" s="594"/>
      <c r="L5" s="1243"/>
      <c r="M5" s="1244"/>
      <c r="N5" s="1244"/>
      <c r="O5" s="1244"/>
      <c r="P5" s="3063"/>
      <c r="Q5" s="3064"/>
      <c r="R5" s="3048"/>
      <c r="S5" s="3049"/>
      <c r="T5" s="3048"/>
      <c r="U5" s="3049"/>
      <c r="V5" s="3067"/>
      <c r="W5" s="3067"/>
      <c r="X5" s="1900"/>
      <c r="Y5" s="3048"/>
      <c r="Z5" s="3049"/>
      <c r="AA5" s="3055"/>
      <c r="AB5" s="3055"/>
      <c r="AC5" s="3055"/>
    </row>
    <row r="6" spans="1:29" ht="15.75" thickBot="1">
      <c r="A6" s="385"/>
      <c r="B6" s="386"/>
      <c r="C6" s="3040" t="s">
        <v>2353</v>
      </c>
      <c r="D6" s="3041"/>
      <c r="E6" s="3070" t="s">
        <v>2353</v>
      </c>
      <c r="F6" s="3071"/>
      <c r="G6" s="3040" t="s">
        <v>2353</v>
      </c>
      <c r="H6" s="3041"/>
      <c r="I6" s="3040" t="s">
        <v>2353</v>
      </c>
      <c r="J6" s="3041"/>
      <c r="K6" s="594" t="s">
        <v>2354</v>
      </c>
      <c r="L6" s="1243"/>
      <c r="M6" s="1244"/>
      <c r="N6" s="1244"/>
      <c r="O6" s="1244"/>
      <c r="P6" s="3065"/>
      <c r="Q6" s="3066"/>
      <c r="R6" s="3048"/>
      <c r="S6" s="3049"/>
      <c r="T6" s="3050"/>
      <c r="U6" s="3051"/>
      <c r="V6" s="3067"/>
      <c r="W6" s="3067"/>
      <c r="X6" s="1900"/>
      <c r="Y6" s="3050"/>
      <c r="Z6" s="3051"/>
      <c r="AA6" s="3056"/>
      <c r="AB6" s="3056"/>
      <c r="AC6" s="3056"/>
    </row>
    <row r="7" spans="1:29" s="35" customFormat="1" ht="15.75" thickBot="1">
      <c r="A7" s="387" t="s">
        <v>2355</v>
      </c>
      <c r="B7" s="388"/>
      <c r="C7" s="389">
        <f>'数据-取费表'!B2</f>
        <v>41962</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4" t="s">
        <v>2356</v>
      </c>
      <c r="Q7" s="3052"/>
      <c r="R7" s="749" t="s">
        <v>25</v>
      </c>
      <c r="S7" s="750">
        <f t="shared" ref="S7:S14" si="0">F7</f>
        <v>0</v>
      </c>
      <c r="T7" s="749" t="s">
        <v>25</v>
      </c>
      <c r="U7" s="750">
        <f t="shared" ref="U7:U14" si="1">H7</f>
        <v>0</v>
      </c>
      <c r="V7" s="749" t="s">
        <v>25</v>
      </c>
      <c r="W7" s="750">
        <f t="shared" ref="W7:W14" si="2">J7</f>
        <v>0</v>
      </c>
      <c r="X7" s="751"/>
      <c r="Y7" s="3044" t="s">
        <v>2356</v>
      </c>
      <c r="Z7" s="3045"/>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4" t="s">
        <v>2359</v>
      </c>
      <c r="Q8" s="3045"/>
      <c r="R8" s="749" t="s">
        <v>25</v>
      </c>
      <c r="S8" s="750">
        <f t="shared" si="0"/>
        <v>0</v>
      </c>
      <c r="T8" s="749" t="s">
        <v>25</v>
      </c>
      <c r="U8" s="750">
        <f t="shared" si="1"/>
        <v>0</v>
      </c>
      <c r="V8" s="749" t="s">
        <v>25</v>
      </c>
      <c r="W8" s="750">
        <f t="shared" si="2"/>
        <v>0</v>
      </c>
      <c r="X8" s="751"/>
      <c r="Y8" s="3044" t="s">
        <v>2359</v>
      </c>
      <c r="Z8" s="3045"/>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0" t="s">
        <v>2362</v>
      </c>
      <c r="Q9" s="1887" t="str">
        <f t="shared" ref="Q9:Q14" si="6">B9</f>
        <v>用途</v>
      </c>
      <c r="R9" s="749" t="s">
        <v>25</v>
      </c>
      <c r="S9" s="750">
        <f t="shared" si="0"/>
        <v>100</v>
      </c>
      <c r="T9" s="749" t="s">
        <v>25</v>
      </c>
      <c r="U9" s="750">
        <f t="shared" si="1"/>
        <v>100</v>
      </c>
      <c r="V9" s="749" t="s">
        <v>25</v>
      </c>
      <c r="W9" s="750">
        <f t="shared" si="2"/>
        <v>100</v>
      </c>
      <c r="X9" s="751"/>
      <c r="Y9" s="2856"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0"/>
      <c r="Q10" s="1887" t="str">
        <f t="shared" si="6"/>
        <v>土地使用年限（年）</v>
      </c>
      <c r="R10" s="749" t="s">
        <v>25</v>
      </c>
      <c r="S10" s="750">
        <f t="shared" si="0"/>
        <v>100</v>
      </c>
      <c r="T10" s="749" t="s">
        <v>25</v>
      </c>
      <c r="U10" s="750">
        <f t="shared" si="1"/>
        <v>100</v>
      </c>
      <c r="V10" s="749" t="s">
        <v>25</v>
      </c>
      <c r="W10" s="750">
        <f t="shared" si="2"/>
        <v>100</v>
      </c>
      <c r="X10" s="751"/>
      <c r="Y10" s="2856"/>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0"/>
      <c r="Q11" s="1887">
        <f t="shared" si="6"/>
        <v>111</v>
      </c>
      <c r="R11" s="749" t="s">
        <v>25</v>
      </c>
      <c r="S11" s="750">
        <f t="shared" si="0"/>
        <v>100</v>
      </c>
      <c r="T11" s="749" t="s">
        <v>25</v>
      </c>
      <c r="U11" s="750">
        <f t="shared" si="1"/>
        <v>100</v>
      </c>
      <c r="V11" s="749" t="s">
        <v>25</v>
      </c>
      <c r="W11" s="750">
        <f t="shared" si="2"/>
        <v>100</v>
      </c>
      <c r="X11" s="751"/>
      <c r="Y11" s="2856"/>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0"/>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28.25">
      <c r="A14" s="419" t="s">
        <v>2366</v>
      </c>
      <c r="B14" s="26" t="s">
        <v>2509</v>
      </c>
      <c r="C14" s="2480" t="str">
        <f>IF(B1="工业",估价对象房地状况!G4,估价对象房地状况!C6)</f>
        <v>估价对象周边有44路、58路、139路、特2路、特12路等多条公交线路及地铁2、6号线换乘站（朝阳门站），综合评价交通便捷度较好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3" t="s">
        <v>2367</v>
      </c>
      <c r="Q14" s="1899" t="str">
        <f t="shared" si="6"/>
        <v>交通便捷度</v>
      </c>
      <c r="R14" s="753" t="s">
        <v>25</v>
      </c>
      <c r="S14" s="754">
        <f t="shared" si="0"/>
        <v>100</v>
      </c>
      <c r="T14" s="753" t="s">
        <v>25</v>
      </c>
      <c r="U14" s="754">
        <f t="shared" si="1"/>
        <v>100</v>
      </c>
      <c r="V14" s="753" t="s">
        <v>25</v>
      </c>
      <c r="W14" s="754">
        <f t="shared" si="2"/>
        <v>100</v>
      </c>
      <c r="X14" s="1900"/>
      <c r="Y14" s="3033"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4"/>
      <c r="Q15" s="1899"/>
      <c r="R15" s="753"/>
      <c r="S15" s="754"/>
      <c r="T15" s="753"/>
      <c r="U15" s="754"/>
      <c r="V15" s="753"/>
      <c r="W15" s="754"/>
      <c r="X15" s="1900"/>
      <c r="Y15" s="3034"/>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4"/>
      <c r="Q16" s="1899" t="str">
        <f>B16</f>
        <v>公共配套设施</v>
      </c>
      <c r="R16" s="753" t="s">
        <v>25</v>
      </c>
      <c r="S16" s="754">
        <f>F16</f>
        <v>100</v>
      </c>
      <c r="T16" s="753" t="s">
        <v>25</v>
      </c>
      <c r="U16" s="754">
        <f>H16</f>
        <v>100</v>
      </c>
      <c r="V16" s="753" t="s">
        <v>25</v>
      </c>
      <c r="W16" s="754">
        <f>J16</f>
        <v>100</v>
      </c>
      <c r="X16" s="1900"/>
      <c r="Y16" s="3034"/>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4"/>
      <c r="Q17" s="1899"/>
      <c r="R17" s="753"/>
      <c r="S17" s="754"/>
      <c r="T17" s="753"/>
      <c r="U17" s="754"/>
      <c r="V17" s="753"/>
      <c r="W17" s="754"/>
      <c r="X17" s="1900"/>
      <c r="Y17" s="3034"/>
      <c r="Z17" s="1902"/>
      <c r="AA17" s="1903">
        <v>1</v>
      </c>
      <c r="AB17" s="1903">
        <v>1</v>
      </c>
      <c r="AC17" s="1903">
        <v>1</v>
      </c>
    </row>
    <row r="18" spans="1:29" ht="15">
      <c r="A18" s="408"/>
      <c r="B18" s="617" t="s">
        <v>2482</v>
      </c>
      <c r="C18" s="2407"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4"/>
      <c r="Q18" s="1899" t="str">
        <f>B18</f>
        <v>基础设施水平</v>
      </c>
      <c r="R18" s="753" t="s">
        <v>25</v>
      </c>
      <c r="S18" s="754">
        <f>F18</f>
        <v>100</v>
      </c>
      <c r="T18" s="753" t="s">
        <v>25</v>
      </c>
      <c r="U18" s="754">
        <f>H18</f>
        <v>100</v>
      </c>
      <c r="V18" s="753" t="s">
        <v>25</v>
      </c>
      <c r="W18" s="754">
        <f>J18</f>
        <v>100</v>
      </c>
      <c r="X18" s="1900"/>
      <c r="Y18" s="3034"/>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4"/>
      <c r="Q19" s="1899"/>
      <c r="R19" s="753"/>
      <c r="S19" s="754"/>
      <c r="T19" s="753"/>
      <c r="U19" s="754"/>
      <c r="V19" s="753"/>
      <c r="W19" s="754"/>
      <c r="X19" s="1900"/>
      <c r="Y19" s="3034"/>
      <c r="Z19" s="1902"/>
      <c r="AA19" s="1903">
        <v>1</v>
      </c>
      <c r="AB19" s="1903">
        <v>1</v>
      </c>
      <c r="AC19" s="1903">
        <v>1</v>
      </c>
    </row>
    <row r="20" spans="1:29" ht="99.75">
      <c r="A20" s="408"/>
      <c r="B20" s="431" t="s">
        <v>2510</v>
      </c>
      <c r="C20" s="2407" t="str">
        <f>IF(B1="工业",估价对象房地状况!G7,估价对象房地状况!C9)</f>
        <v>区域自然环境：日坛公园；人文环境：朝阳区政府、中国司法部、使馆区；综合评价环境状况较好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4"/>
      <c r="Q20" s="1899" t="str">
        <f>B20</f>
        <v>自然及人文环境</v>
      </c>
      <c r="R20" s="753" t="s">
        <v>25</v>
      </c>
      <c r="S20" s="754">
        <f>F20</f>
        <v>100</v>
      </c>
      <c r="T20" s="753" t="s">
        <v>25</v>
      </c>
      <c r="U20" s="754">
        <f>H20</f>
        <v>100</v>
      </c>
      <c r="V20" s="753" t="s">
        <v>25</v>
      </c>
      <c r="W20" s="754">
        <f>J20</f>
        <v>100</v>
      </c>
      <c r="X20" s="1900"/>
      <c r="Y20" s="3034"/>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4"/>
      <c r="Q21" s="1899"/>
      <c r="R21" s="753"/>
      <c r="S21" s="754"/>
      <c r="T21" s="753"/>
      <c r="U21" s="754"/>
      <c r="V21" s="753"/>
      <c r="W21" s="754"/>
      <c r="X21" s="1900"/>
      <c r="Y21" s="3034"/>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4"/>
      <c r="Q22" s="1899" t="str">
        <f>B22</f>
        <v>楼层</v>
      </c>
      <c r="R22" s="753" t="s">
        <v>25</v>
      </c>
      <c r="S22" s="754">
        <f>F22</f>
        <v>100</v>
      </c>
      <c r="T22" s="753" t="s">
        <v>25</v>
      </c>
      <c r="U22" s="754">
        <f>H22</f>
        <v>100</v>
      </c>
      <c r="V22" s="753" t="s">
        <v>25</v>
      </c>
      <c r="W22" s="754">
        <f>J22</f>
        <v>100</v>
      </c>
      <c r="X22" s="1900"/>
      <c r="Y22" s="3034"/>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4"/>
      <c r="Q23" s="1899">
        <f>B23</f>
        <v>111</v>
      </c>
      <c r="R23" s="753" t="s">
        <v>25</v>
      </c>
      <c r="S23" s="754">
        <f>F23</f>
        <v>100</v>
      </c>
      <c r="T23" s="753" t="s">
        <v>25</v>
      </c>
      <c r="U23" s="754">
        <f>H23</f>
        <v>100</v>
      </c>
      <c r="V23" s="753" t="s">
        <v>25</v>
      </c>
      <c r="W23" s="754">
        <f>J23</f>
        <v>100</v>
      </c>
      <c r="X23" s="1900"/>
      <c r="Y23" s="3034"/>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4"/>
      <c r="Q24" s="1899">
        <f t="shared" ref="Q24:Q34" si="11">B24</f>
        <v>111</v>
      </c>
      <c r="R24" s="753" t="s">
        <v>25</v>
      </c>
      <c r="S24" s="754">
        <f>F24</f>
        <v>100</v>
      </c>
      <c r="T24" s="753" t="s">
        <v>25</v>
      </c>
      <c r="U24" s="754">
        <f>H24</f>
        <v>100</v>
      </c>
      <c r="V24" s="753" t="s">
        <v>25</v>
      </c>
      <c r="W24" s="754">
        <f>J24</f>
        <v>100</v>
      </c>
      <c r="X24" s="1900"/>
      <c r="Y24" s="3034"/>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34"/>
      <c r="Q25" s="1887">
        <f t="shared" si="11"/>
        <v>111</v>
      </c>
      <c r="R25" s="749" t="s">
        <v>25</v>
      </c>
      <c r="S25" s="750">
        <f>F25</f>
        <v>100</v>
      </c>
      <c r="T25" s="749" t="s">
        <v>25</v>
      </c>
      <c r="U25" s="750">
        <f>H25</f>
        <v>100</v>
      </c>
      <c r="V25" s="749" t="s">
        <v>25</v>
      </c>
      <c r="W25" s="750">
        <f>J25</f>
        <v>100</v>
      </c>
      <c r="X25" s="751"/>
      <c r="Y25" s="3034"/>
      <c r="Z25" s="23">
        <f>Q25</f>
        <v>111</v>
      </c>
      <c r="AA25" s="1903">
        <f>D25/F25</f>
        <v>1</v>
      </c>
      <c r="AB25" s="1903">
        <f>D25/H25</f>
        <v>1</v>
      </c>
      <c r="AC25" s="1903">
        <f>D25/J25</f>
        <v>1</v>
      </c>
    </row>
    <row r="26" spans="1:29" ht="15">
      <c r="A26" s="447" t="s">
        <v>2371</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79"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8" t="s">
        <v>2373</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8"/>
      <c r="Q27" s="755" t="str">
        <f t="shared" si="11"/>
        <v>成新率</v>
      </c>
      <c r="R27" s="756" t="s">
        <v>25</v>
      </c>
      <c r="S27" s="757" t="e">
        <f t="shared" si="12"/>
        <v>#N/A</v>
      </c>
      <c r="T27" s="756" t="s">
        <v>25</v>
      </c>
      <c r="U27" s="757" t="e">
        <f t="shared" si="13"/>
        <v>#N/A</v>
      </c>
      <c r="V27" s="756" t="s">
        <v>25</v>
      </c>
      <c r="W27" s="757" t="e">
        <f t="shared" si="14"/>
        <v>#N/A</v>
      </c>
      <c r="X27" s="758"/>
      <c r="Y27" s="3038"/>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8"/>
      <c r="Q28" s="1899" t="str">
        <f t="shared" si="11"/>
        <v>物业等级</v>
      </c>
      <c r="R28" s="753" t="s">
        <v>25</v>
      </c>
      <c r="S28" s="754">
        <f t="shared" si="12"/>
        <v>100</v>
      </c>
      <c r="T28" s="753" t="s">
        <v>25</v>
      </c>
      <c r="U28" s="754">
        <f t="shared" si="13"/>
        <v>100</v>
      </c>
      <c r="V28" s="753" t="s">
        <v>25</v>
      </c>
      <c r="W28" s="754">
        <f t="shared" si="14"/>
        <v>100</v>
      </c>
      <c r="X28" s="1900"/>
      <c r="Y28" s="3038"/>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8"/>
      <c r="Q29" s="1899" t="str">
        <f t="shared" si="11"/>
        <v>有无电梯</v>
      </c>
      <c r="R29" s="753" t="s">
        <v>25</v>
      </c>
      <c r="S29" s="754">
        <f t="shared" si="12"/>
        <v>100</v>
      </c>
      <c r="T29" s="753" t="s">
        <v>25</v>
      </c>
      <c r="U29" s="754">
        <f t="shared" si="13"/>
        <v>100</v>
      </c>
      <c r="V29" s="753" t="s">
        <v>25</v>
      </c>
      <c r="W29" s="754">
        <f t="shared" si="14"/>
        <v>100</v>
      </c>
      <c r="X29" s="1900"/>
      <c r="Y29" s="3038"/>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8"/>
      <c r="Q30" s="1899" t="str">
        <f t="shared" si="11"/>
        <v>建筑面积</v>
      </c>
      <c r="R30" s="753" t="s">
        <v>25</v>
      </c>
      <c r="S30" s="754" t="e">
        <f t="shared" si="12"/>
        <v>#N/A</v>
      </c>
      <c r="T30" s="753" t="s">
        <v>25</v>
      </c>
      <c r="U30" s="754" t="e">
        <f t="shared" si="13"/>
        <v>#N/A</v>
      </c>
      <c r="V30" s="753" t="s">
        <v>25</v>
      </c>
      <c r="W30" s="754" t="e">
        <f t="shared" si="14"/>
        <v>#N/A</v>
      </c>
      <c r="X30" s="1900"/>
      <c r="Y30" s="3038"/>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8"/>
      <c r="Q31" s="1887" t="str">
        <f t="shared" si="11"/>
        <v>是否封闭</v>
      </c>
      <c r="R31" s="749" t="s">
        <v>25</v>
      </c>
      <c r="S31" s="750">
        <f t="shared" si="12"/>
        <v>100</v>
      </c>
      <c r="T31" s="749" t="s">
        <v>25</v>
      </c>
      <c r="U31" s="750">
        <f t="shared" si="13"/>
        <v>100</v>
      </c>
      <c r="V31" s="749" t="s">
        <v>25</v>
      </c>
      <c r="W31" s="750">
        <f t="shared" si="14"/>
        <v>100</v>
      </c>
      <c r="X31" s="751"/>
      <c r="Y31" s="3038"/>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8" t="s">
        <v>2373</v>
      </c>
      <c r="Q32" s="1899">
        <f t="shared" si="11"/>
        <v>111</v>
      </c>
      <c r="R32" s="753" t="s">
        <v>25</v>
      </c>
      <c r="S32" s="754">
        <f t="shared" si="12"/>
        <v>100</v>
      </c>
      <c r="T32" s="753" t="s">
        <v>25</v>
      </c>
      <c r="U32" s="754">
        <f t="shared" si="13"/>
        <v>100</v>
      </c>
      <c r="V32" s="753" t="s">
        <v>25</v>
      </c>
      <c r="W32" s="754">
        <f t="shared" si="14"/>
        <v>100</v>
      </c>
      <c r="X32" s="1900"/>
      <c r="Y32" s="3038" t="s">
        <v>2373</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8"/>
      <c r="Q33" s="1899">
        <f t="shared" si="11"/>
        <v>111</v>
      </c>
      <c r="R33" s="753" t="s">
        <v>25</v>
      </c>
      <c r="S33" s="754">
        <f t="shared" si="12"/>
        <v>100</v>
      </c>
      <c r="T33" s="753" t="s">
        <v>25</v>
      </c>
      <c r="U33" s="754">
        <f t="shared" si="13"/>
        <v>100</v>
      </c>
      <c r="V33" s="753" t="s">
        <v>25</v>
      </c>
      <c r="W33" s="754">
        <f t="shared" si="14"/>
        <v>100</v>
      </c>
      <c r="X33" s="1900"/>
      <c r="Y33" s="3038"/>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38"/>
      <c r="Q34" s="1899">
        <f t="shared" si="11"/>
        <v>111</v>
      </c>
      <c r="R34" s="753" t="s">
        <v>25</v>
      </c>
      <c r="S34" s="754">
        <f t="shared" si="12"/>
        <v>100</v>
      </c>
      <c r="T34" s="753" t="s">
        <v>25</v>
      </c>
      <c r="U34" s="754">
        <f t="shared" si="13"/>
        <v>100</v>
      </c>
      <c r="V34" s="753" t="s">
        <v>25</v>
      </c>
      <c r="W34" s="754">
        <f t="shared" si="14"/>
        <v>100</v>
      </c>
      <c r="X34" s="1900"/>
      <c r="Y34" s="3038"/>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030" t="str">
        <f>A35</f>
        <v>成交单价（元/平方米）</v>
      </c>
      <c r="Q35" s="3030"/>
      <c r="R35" s="3026">
        <f>E35</f>
        <v>0</v>
      </c>
      <c r="S35" s="3026"/>
      <c r="T35" s="3026">
        <f>G35</f>
        <v>0</v>
      </c>
      <c r="U35" s="3026"/>
      <c r="V35" s="3026">
        <f>I35</f>
        <v>0</v>
      </c>
      <c r="W35" s="3026"/>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30" t="str">
        <f>A36</f>
        <v>比较价值（元/平方米）</v>
      </c>
      <c r="Q36" s="3030"/>
      <c r="R36" s="3026" t="e">
        <f>IF(E1="售价",ROUND(PRODUCT(R35,AA7:AA34),0),ROUND(PRODUCT(R35,AA7:AA34),1))</f>
        <v>#DIV/0!</v>
      </c>
      <c r="S36" s="3026"/>
      <c r="T36" s="3026" t="e">
        <f>IF(E1="售价",ROUND(PRODUCT(T35,AB7:AB34),0),ROUND(PRODUCT(T35,AB7:AB34),1))</f>
        <v>#DIV/0!</v>
      </c>
      <c r="U36" s="3026"/>
      <c r="V36" s="3026" t="e">
        <f>IF(E1="售价",ROUND(PRODUCT(V35,AC7:AC34),0),ROUND(PRODUCT(V35,AC7:AC34),1))</f>
        <v>#DIV/0!</v>
      </c>
      <c r="W36" s="3026"/>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27" t="str">
        <f>A37</f>
        <v>估价对象XX用房的比较价值（楼面单价，元/平方米）</v>
      </c>
      <c r="Q37" s="3028"/>
      <c r="R37" s="3029" t="e">
        <f>IF(E1="售价",ROUND(AVERAGE(R36:V36),0),ROUND(AVERAGE(R36:V36),1))</f>
        <v>#DIV/0!</v>
      </c>
      <c r="S37" s="3029"/>
      <c r="T37" s="3029"/>
      <c r="U37" s="3029"/>
      <c r="V37" s="3029"/>
      <c r="W37" s="302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2014-11</v>
      </c>
      <c r="D46" s="1679">
        <f>EDATE(C46,-1)</f>
        <v>41913</v>
      </c>
      <c r="E46" s="1679">
        <f t="shared" ref="E46:O46" si="16">EDATE(D46,-1)</f>
        <v>41883</v>
      </c>
      <c r="F46" s="1679">
        <f t="shared" si="16"/>
        <v>41852</v>
      </c>
      <c r="G46" s="1679">
        <f t="shared" si="16"/>
        <v>41821</v>
      </c>
      <c r="H46" s="1679">
        <f t="shared" si="16"/>
        <v>41791</v>
      </c>
      <c r="I46" s="1679">
        <f t="shared" si="16"/>
        <v>41760</v>
      </c>
      <c r="J46" s="1679">
        <f t="shared" si="16"/>
        <v>41730</v>
      </c>
      <c r="K46" s="1679">
        <f t="shared" si="16"/>
        <v>41699</v>
      </c>
      <c r="L46" s="1679">
        <f t="shared" si="16"/>
        <v>41671</v>
      </c>
      <c r="M46" s="1679">
        <f t="shared" si="16"/>
        <v>41640</v>
      </c>
      <c r="N46" s="1679">
        <f t="shared" si="16"/>
        <v>41609</v>
      </c>
      <c r="O46" s="1679">
        <f t="shared" si="16"/>
        <v>41579</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57" t="s">
        <v>2343</v>
      </c>
      <c r="D4" s="3058"/>
      <c r="E4" s="3059" t="s">
        <v>2344</v>
      </c>
      <c r="F4" s="3060"/>
      <c r="G4" s="3057" t="s">
        <v>2345</v>
      </c>
      <c r="H4" s="3058"/>
      <c r="I4" s="3057" t="s">
        <v>2346</v>
      </c>
      <c r="J4" s="3058"/>
      <c r="K4" s="594" t="s">
        <v>2347</v>
      </c>
      <c r="L4" s="1243"/>
      <c r="M4" s="1244"/>
      <c r="N4" s="1244"/>
      <c r="O4" s="1244"/>
      <c r="P4" s="3061" t="s">
        <v>2348</v>
      </c>
      <c r="Q4" s="3062"/>
      <c r="R4" s="3046" t="s">
        <v>2344</v>
      </c>
      <c r="S4" s="3047"/>
      <c r="T4" s="3046" t="s">
        <v>2345</v>
      </c>
      <c r="U4" s="3047"/>
      <c r="V4" s="3067" t="s">
        <v>2346</v>
      </c>
      <c r="W4" s="3067"/>
      <c r="X4" s="1900"/>
      <c r="Y4" s="3046" t="s">
        <v>2348</v>
      </c>
      <c r="Z4" s="3047"/>
      <c r="AA4" s="3054" t="s">
        <v>2344</v>
      </c>
      <c r="AB4" s="3055" t="s">
        <v>2345</v>
      </c>
      <c r="AC4" s="3054" t="s">
        <v>2346</v>
      </c>
    </row>
    <row r="5" spans="1:30" ht="15">
      <c r="A5" s="383"/>
      <c r="B5" s="384"/>
      <c r="C5" s="3042" t="s">
        <v>2349</v>
      </c>
      <c r="D5" s="3043"/>
      <c r="E5" s="3068" t="s">
        <v>2350</v>
      </c>
      <c r="F5" s="3069"/>
      <c r="G5" s="3042" t="s">
        <v>2351</v>
      </c>
      <c r="H5" s="3043"/>
      <c r="I5" s="3042" t="s">
        <v>2352</v>
      </c>
      <c r="J5" s="3043"/>
      <c r="K5" s="594"/>
      <c r="L5" s="1243"/>
      <c r="M5" s="1244"/>
      <c r="N5" s="1244"/>
      <c r="O5" s="1244"/>
      <c r="P5" s="3063"/>
      <c r="Q5" s="3064"/>
      <c r="R5" s="3048"/>
      <c r="S5" s="3049"/>
      <c r="T5" s="3048"/>
      <c r="U5" s="3049"/>
      <c r="V5" s="3067"/>
      <c r="W5" s="3067"/>
      <c r="X5" s="1900"/>
      <c r="Y5" s="3048"/>
      <c r="Z5" s="3049"/>
      <c r="AA5" s="3055"/>
      <c r="AB5" s="3055"/>
      <c r="AC5" s="3055"/>
    </row>
    <row r="6" spans="1:30" ht="15.75" thickBot="1">
      <c r="A6" s="385"/>
      <c r="B6" s="386"/>
      <c r="C6" s="3040" t="s">
        <v>2353</v>
      </c>
      <c r="D6" s="3041"/>
      <c r="E6" s="3070" t="s">
        <v>2353</v>
      </c>
      <c r="F6" s="3071"/>
      <c r="G6" s="3040" t="s">
        <v>2353</v>
      </c>
      <c r="H6" s="3041"/>
      <c r="I6" s="3040" t="s">
        <v>2353</v>
      </c>
      <c r="J6" s="3041"/>
      <c r="K6" s="594" t="s">
        <v>2354</v>
      </c>
      <c r="L6" s="1243"/>
      <c r="M6" s="1244"/>
      <c r="N6" s="1244"/>
      <c r="O6" s="1244"/>
      <c r="P6" s="3065"/>
      <c r="Q6" s="3066"/>
      <c r="R6" s="3048"/>
      <c r="S6" s="3049"/>
      <c r="T6" s="3050"/>
      <c r="U6" s="3051"/>
      <c r="V6" s="3067"/>
      <c r="W6" s="3067"/>
      <c r="X6" s="1900"/>
      <c r="Y6" s="3050"/>
      <c r="Z6" s="3051"/>
      <c r="AA6" s="3056"/>
      <c r="AB6" s="3056"/>
      <c r="AC6" s="3056"/>
    </row>
    <row r="7" spans="1:30" s="35" customFormat="1" ht="15.75" thickBot="1">
      <c r="A7" s="387" t="s">
        <v>2355</v>
      </c>
      <c r="B7" s="388"/>
      <c r="C7" s="389">
        <f>'数据-取费表'!B2</f>
        <v>41962</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4" t="s">
        <v>2356</v>
      </c>
      <c r="Q7" s="3052"/>
      <c r="R7" s="749" t="s">
        <v>25</v>
      </c>
      <c r="S7" s="750">
        <f t="shared" ref="S7:S15" si="0">F7</f>
        <v>0</v>
      </c>
      <c r="T7" s="749" t="s">
        <v>25</v>
      </c>
      <c r="U7" s="750">
        <f t="shared" ref="U7:U15" si="1">H7</f>
        <v>0</v>
      </c>
      <c r="V7" s="749" t="s">
        <v>25</v>
      </c>
      <c r="W7" s="750">
        <f t="shared" ref="W7:W15" si="2">J7</f>
        <v>0</v>
      </c>
      <c r="X7" s="751"/>
      <c r="Y7" s="3044" t="s">
        <v>2356</v>
      </c>
      <c r="Z7" s="3045"/>
      <c r="AA7" s="752" t="e">
        <f>D7/F7</f>
        <v>#DIV/0!</v>
      </c>
      <c r="AB7" s="752" t="e">
        <f>D7/H7</f>
        <v>#DIV/0!</v>
      </c>
      <c r="AC7" s="752" t="e">
        <f>D7/J7</f>
        <v>#DIV/0!</v>
      </c>
    </row>
    <row r="8" spans="1:30" s="35" customFormat="1" ht="15.75" thickBot="1">
      <c r="A8" s="387" t="s">
        <v>2357</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4" t="s">
        <v>2359</v>
      </c>
      <c r="Q8" s="3045"/>
      <c r="R8" s="749" t="s">
        <v>25</v>
      </c>
      <c r="S8" s="750">
        <f t="shared" si="0"/>
        <v>0</v>
      </c>
      <c r="T8" s="749" t="s">
        <v>25</v>
      </c>
      <c r="U8" s="750">
        <f t="shared" si="1"/>
        <v>0</v>
      </c>
      <c r="V8" s="749" t="s">
        <v>25</v>
      </c>
      <c r="W8" s="750">
        <f t="shared" si="2"/>
        <v>0</v>
      </c>
      <c r="X8" s="751"/>
      <c r="Y8" s="3044" t="s">
        <v>2359</v>
      </c>
      <c r="Z8" s="3045"/>
      <c r="AA8" s="752" t="e">
        <f t="shared" ref="AA8:AA45" si="3">D8/F8</f>
        <v>#DIV/0!</v>
      </c>
      <c r="AB8" s="752" t="e">
        <f t="shared" ref="AB8:AB45" si="4">D8/H8</f>
        <v>#DIV/0!</v>
      </c>
      <c r="AC8" s="752" t="e">
        <f t="shared" ref="AC8:AC45" si="5">D8/J8</f>
        <v>#DIV/0!</v>
      </c>
    </row>
    <row r="9" spans="1:30" s="35" customFormat="1">
      <c r="A9" s="395" t="s">
        <v>2360</v>
      </c>
      <c r="B9" s="28" t="s">
        <v>2361</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30" t="s">
        <v>2362</v>
      </c>
      <c r="Q9" s="1887"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110</v>
      </c>
      <c r="G10" s="444"/>
      <c r="H10" s="52">
        <f>ROUND(100/'数据-取费表'!B14,0)</f>
        <v>110</v>
      </c>
      <c r="I10" s="444"/>
      <c r="J10" s="52">
        <f>ROUND(100/'数据-取费表'!B14,0)</f>
        <v>110</v>
      </c>
      <c r="K10" s="655"/>
      <c r="L10" s="1248"/>
      <c r="M10" s="1249"/>
      <c r="N10" s="1249"/>
      <c r="O10" s="1250"/>
      <c r="P10" s="3030"/>
      <c r="Q10" s="1887" t="str">
        <f t="shared" si="6"/>
        <v>土地使用年限（年）</v>
      </c>
      <c r="R10" s="749" t="s">
        <v>25</v>
      </c>
      <c r="S10" s="750">
        <f t="shared" si="0"/>
        <v>110</v>
      </c>
      <c r="T10" s="749" t="s">
        <v>25</v>
      </c>
      <c r="U10" s="750">
        <f t="shared" si="1"/>
        <v>110</v>
      </c>
      <c r="V10" s="749" t="s">
        <v>25</v>
      </c>
      <c r="W10" s="750">
        <f t="shared" si="2"/>
        <v>110</v>
      </c>
      <c r="X10" s="751"/>
      <c r="Y10" s="2856"/>
      <c r="Z10" s="23" t="str">
        <f t="shared" si="7"/>
        <v>土地使用年限（年）</v>
      </c>
      <c r="AA10" s="752">
        <f t="shared" si="3"/>
        <v>0.90909090909090906</v>
      </c>
      <c r="AB10" s="752">
        <f t="shared" si="4"/>
        <v>0.90909090909090906</v>
      </c>
      <c r="AC10" s="752">
        <f t="shared" si="5"/>
        <v>0.90909090909090906</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0"/>
      <c r="Q11" s="1887"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0"/>
      <c r="Q12" s="1887" t="str">
        <f t="shared" si="6"/>
        <v>配建</v>
      </c>
      <c r="R12" s="749" t="s">
        <v>25</v>
      </c>
      <c r="S12" s="750">
        <f t="shared" si="0"/>
        <v>100</v>
      </c>
      <c r="T12" s="749" t="s">
        <v>25</v>
      </c>
      <c r="U12" s="750">
        <f t="shared" si="1"/>
        <v>100</v>
      </c>
      <c r="V12" s="749" t="s">
        <v>25</v>
      </c>
      <c r="W12" s="750">
        <f t="shared" si="2"/>
        <v>100</v>
      </c>
      <c r="X12" s="751"/>
      <c r="Y12" s="2856"/>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56"/>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0"/>
      <c r="Q14" s="1887">
        <f t="shared" si="6"/>
        <v>111</v>
      </c>
      <c r="R14" s="749" t="s">
        <v>25</v>
      </c>
      <c r="S14" s="750">
        <f t="shared" si="0"/>
        <v>100</v>
      </c>
      <c r="T14" s="749" t="s">
        <v>25</v>
      </c>
      <c r="U14" s="750">
        <f t="shared" si="1"/>
        <v>100</v>
      </c>
      <c r="V14" s="749" t="s">
        <v>25</v>
      </c>
      <c r="W14" s="750">
        <f t="shared" si="2"/>
        <v>100</v>
      </c>
      <c r="X14" s="751"/>
      <c r="Y14" s="2856"/>
      <c r="Z14" s="23">
        <f t="shared" si="7"/>
        <v>111</v>
      </c>
      <c r="AA14" s="752">
        <f>D14/F14</f>
        <v>1</v>
      </c>
      <c r="AB14" s="752">
        <f>D14/H14</f>
        <v>1</v>
      </c>
      <c r="AC14" s="752">
        <f>D14/J14</f>
        <v>1</v>
      </c>
    </row>
    <row r="15" spans="1:30" ht="99.75">
      <c r="A15" s="380" t="s">
        <v>2366</v>
      </c>
      <c r="B15" s="1487" t="s">
        <v>1740</v>
      </c>
      <c r="C15" s="2468" t="str">
        <f>估价对象房地状况!C15</f>
        <v>估价对象周边有雅宝里社区、三丰里社区、建国门外外交公寓、大方家社区等，综合评价居住社区成熟度较好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3" t="s">
        <v>2367</v>
      </c>
      <c r="Q15" s="1899" t="str">
        <f t="shared" si="6"/>
        <v>居住社区成熟度</v>
      </c>
      <c r="R15" s="753" t="s">
        <v>25</v>
      </c>
      <c r="S15" s="754">
        <f t="shared" si="0"/>
        <v>100</v>
      </c>
      <c r="T15" s="753" t="s">
        <v>25</v>
      </c>
      <c r="U15" s="754">
        <f t="shared" si="1"/>
        <v>100</v>
      </c>
      <c r="V15" s="753" t="s">
        <v>25</v>
      </c>
      <c r="W15" s="754">
        <f t="shared" si="2"/>
        <v>100</v>
      </c>
      <c r="X15" s="1900"/>
      <c r="Y15" s="3033"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34"/>
      <c r="Q16" s="1899"/>
      <c r="R16" s="753"/>
      <c r="S16" s="754"/>
      <c r="T16" s="753"/>
      <c r="U16" s="754"/>
      <c r="V16" s="753"/>
      <c r="W16" s="754"/>
      <c r="X16" s="1900"/>
      <c r="Y16" s="3034"/>
      <c r="Z16" s="1902"/>
      <c r="AA16" s="1903">
        <v>1</v>
      </c>
      <c r="AB16" s="1903">
        <v>1</v>
      </c>
      <c r="AC16" s="1903">
        <v>1</v>
      </c>
    </row>
    <row r="17" spans="1:29" ht="71.25">
      <c r="A17" s="383"/>
      <c r="B17" s="1489" t="s">
        <v>2451</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4"/>
      <c r="Q17" s="1899" t="str">
        <f>B17</f>
        <v>商业繁华度</v>
      </c>
      <c r="R17" s="753" t="s">
        <v>25</v>
      </c>
      <c r="S17" s="754">
        <f>F17</f>
        <v>100</v>
      </c>
      <c r="T17" s="753" t="s">
        <v>25</v>
      </c>
      <c r="U17" s="754">
        <f>H17</f>
        <v>100</v>
      </c>
      <c r="V17" s="753" t="s">
        <v>25</v>
      </c>
      <c r="W17" s="754">
        <f>J17</f>
        <v>100</v>
      </c>
      <c r="X17" s="1900"/>
      <c r="Y17" s="3034"/>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34"/>
      <c r="Q18" s="1899"/>
      <c r="R18" s="753"/>
      <c r="S18" s="754"/>
      <c r="T18" s="753"/>
      <c r="U18" s="754"/>
      <c r="V18" s="753"/>
      <c r="W18" s="754"/>
      <c r="X18" s="1900"/>
      <c r="Y18" s="3034"/>
      <c r="Z18" s="1902"/>
      <c r="AA18" s="1903">
        <v>1</v>
      </c>
      <c r="AB18" s="1903">
        <v>1</v>
      </c>
      <c r="AC18" s="1903">
        <v>1</v>
      </c>
    </row>
    <row r="19" spans="1:29" ht="71.25">
      <c r="A19" s="383"/>
      <c r="B19" s="1489" t="s">
        <v>2480</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4"/>
      <c r="Q19" s="1899" t="str">
        <f>B19</f>
        <v>办公集聚程度</v>
      </c>
      <c r="R19" s="753" t="s">
        <v>25</v>
      </c>
      <c r="S19" s="754">
        <f>F19</f>
        <v>100</v>
      </c>
      <c r="T19" s="753" t="s">
        <v>25</v>
      </c>
      <c r="U19" s="754">
        <f>H19</f>
        <v>100</v>
      </c>
      <c r="V19" s="753" t="s">
        <v>25</v>
      </c>
      <c r="W19" s="754">
        <f>J19</f>
        <v>100</v>
      </c>
      <c r="X19" s="1900"/>
      <c r="Y19" s="3034"/>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34"/>
      <c r="Q20" s="1899"/>
      <c r="R20" s="753"/>
      <c r="S20" s="754"/>
      <c r="T20" s="753"/>
      <c r="U20" s="754"/>
      <c r="V20" s="753"/>
      <c r="W20" s="754"/>
      <c r="X20" s="1900"/>
      <c r="Y20" s="3034"/>
      <c r="Z20" s="1902"/>
      <c r="AA20" s="1903">
        <v>1</v>
      </c>
      <c r="AB20" s="1903">
        <v>1</v>
      </c>
      <c r="AC20" s="1903">
        <v>1</v>
      </c>
    </row>
    <row r="21" spans="1:29" ht="128.25">
      <c r="A21" s="383"/>
      <c r="B21" s="1489" t="s">
        <v>2509</v>
      </c>
      <c r="C21" s="2469" t="str">
        <f>估价对象房地状况!C18</f>
        <v>估价对象周边有44路、58路、139路、特2路、特12路等多条公交线路及地铁2、6号线换乘站（朝阳门站），综合评价交通便捷度较好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4"/>
      <c r="Q21" s="1899" t="str">
        <f>B21</f>
        <v>交通便捷度</v>
      </c>
      <c r="R21" s="753" t="s">
        <v>25</v>
      </c>
      <c r="S21" s="754">
        <f>F21</f>
        <v>100</v>
      </c>
      <c r="T21" s="753" t="s">
        <v>25</v>
      </c>
      <c r="U21" s="754">
        <f>H21</f>
        <v>100</v>
      </c>
      <c r="V21" s="753" t="s">
        <v>25</v>
      </c>
      <c r="W21" s="754">
        <f>J21</f>
        <v>100</v>
      </c>
      <c r="X21" s="1900"/>
      <c r="Y21" s="3034"/>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34"/>
      <c r="Q22" s="1899"/>
      <c r="R22" s="753"/>
      <c r="S22" s="754"/>
      <c r="T22" s="753"/>
      <c r="U22" s="754"/>
      <c r="V22" s="753"/>
      <c r="W22" s="754"/>
      <c r="X22" s="1900"/>
      <c r="Y22" s="3034"/>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4"/>
      <c r="Q23" s="1899" t="str">
        <f t="shared" ref="Q23:Q37" si="8">B23</f>
        <v>区域土地利用方向</v>
      </c>
      <c r="R23" s="753" t="s">
        <v>25</v>
      </c>
      <c r="S23" s="754">
        <f>F23</f>
        <v>100</v>
      </c>
      <c r="T23" s="753" t="s">
        <v>25</v>
      </c>
      <c r="U23" s="754">
        <f>H23</f>
        <v>100</v>
      </c>
      <c r="V23" s="753" t="s">
        <v>25</v>
      </c>
      <c r="W23" s="754">
        <f>J23</f>
        <v>100</v>
      </c>
      <c r="X23" s="1900"/>
      <c r="Y23" s="3034"/>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34"/>
      <c r="Q24" s="1899"/>
      <c r="R24" s="753"/>
      <c r="S24" s="754"/>
      <c r="T24" s="753"/>
      <c r="U24" s="754"/>
      <c r="V24" s="753"/>
      <c r="W24" s="754"/>
      <c r="X24" s="1900"/>
      <c r="Y24" s="3034"/>
      <c r="Z24" s="1902"/>
      <c r="AA24" s="1903"/>
      <c r="AB24" s="1903"/>
      <c r="AC24" s="1903"/>
    </row>
    <row r="25" spans="1:29" ht="99.75">
      <c r="A25" s="383"/>
      <c r="B25" s="1491" t="s">
        <v>2550</v>
      </c>
      <c r="C25" s="2486" t="str">
        <f>估价对象房地状况!C20</f>
        <v>区域自然环境：日坛公园；人文环境：朝阳区政府、中国司法部、使馆区；综合评价环境状况较好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4"/>
      <c r="Q25" s="1899" t="str">
        <f t="shared" si="8"/>
        <v>自然及人文环境状况</v>
      </c>
      <c r="R25" s="753" t="s">
        <v>25</v>
      </c>
      <c r="S25" s="754">
        <f>F25</f>
        <v>100</v>
      </c>
      <c r="T25" s="753" t="s">
        <v>25</v>
      </c>
      <c r="U25" s="754">
        <f>H25</f>
        <v>100</v>
      </c>
      <c r="V25" s="753" t="s">
        <v>25</v>
      </c>
      <c r="W25" s="754">
        <f>J25</f>
        <v>100</v>
      </c>
      <c r="X25" s="1900"/>
      <c r="Y25" s="3034"/>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4"/>
      <c r="Q26" s="1899"/>
      <c r="R26" s="753"/>
      <c r="S26" s="754"/>
      <c r="T26" s="753"/>
      <c r="U26" s="754"/>
      <c r="V26" s="753"/>
      <c r="W26" s="754"/>
      <c r="X26" s="1900"/>
      <c r="Y26" s="3034"/>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4"/>
      <c r="Q27" s="1887" t="str">
        <f t="shared" ref="Q27" si="9">B27</f>
        <v>公共配套设施</v>
      </c>
      <c r="R27" s="749" t="s">
        <v>25</v>
      </c>
      <c r="S27" s="750">
        <f>F27</f>
        <v>100</v>
      </c>
      <c r="T27" s="749" t="s">
        <v>25</v>
      </c>
      <c r="U27" s="750">
        <f>H27</f>
        <v>100</v>
      </c>
      <c r="V27" s="749" t="s">
        <v>25</v>
      </c>
      <c r="W27" s="750">
        <f>J27</f>
        <v>100</v>
      </c>
      <c r="X27" s="1900"/>
      <c r="Y27" s="3034"/>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34"/>
      <c r="Q28" s="1899"/>
      <c r="R28" s="753"/>
      <c r="S28" s="754"/>
      <c r="T28" s="753"/>
      <c r="U28" s="754"/>
      <c r="V28" s="753"/>
      <c r="W28" s="754"/>
      <c r="X28" s="1900"/>
      <c r="Y28" s="3034"/>
      <c r="Z28" s="23"/>
      <c r="AA28" s="1903">
        <v>1</v>
      </c>
      <c r="AB28" s="1903">
        <v>1</v>
      </c>
      <c r="AC28" s="1903">
        <v>1</v>
      </c>
    </row>
    <row r="29" spans="1:29" s="35" customFormat="1" ht="15">
      <c r="A29" s="633"/>
      <c r="B29" s="1491" t="s">
        <v>2453</v>
      </c>
      <c r="C29" s="2489"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4"/>
      <c r="Q29" s="1887" t="str">
        <f t="shared" si="8"/>
        <v>基础设施水平</v>
      </c>
      <c r="R29" s="749" t="s">
        <v>25</v>
      </c>
      <c r="S29" s="750">
        <f>F29</f>
        <v>100</v>
      </c>
      <c r="T29" s="749" t="s">
        <v>25</v>
      </c>
      <c r="U29" s="750">
        <f>H29</f>
        <v>100</v>
      </c>
      <c r="V29" s="749" t="s">
        <v>25</v>
      </c>
      <c r="W29" s="750">
        <f>J29</f>
        <v>100</v>
      </c>
      <c r="X29" s="751"/>
      <c r="Y29" s="3034"/>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34"/>
      <c r="Q30" s="1887"/>
      <c r="R30" s="749"/>
      <c r="S30" s="750"/>
      <c r="T30" s="749"/>
      <c r="U30" s="750"/>
      <c r="V30" s="749"/>
      <c r="W30" s="750"/>
      <c r="X30" s="751"/>
      <c r="Y30" s="3034"/>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4"/>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4"/>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4"/>
      <c r="Q32" s="1899" t="str">
        <f t="shared" si="8"/>
        <v>毗邻道路的类型与等级</v>
      </c>
      <c r="R32" s="753" t="s">
        <v>25</v>
      </c>
      <c r="S32" s="754">
        <f t="shared" si="10"/>
        <v>100</v>
      </c>
      <c r="T32" s="753" t="s">
        <v>25</v>
      </c>
      <c r="U32" s="754">
        <f t="shared" si="11"/>
        <v>100</v>
      </c>
      <c r="V32" s="753" t="s">
        <v>25</v>
      </c>
      <c r="W32" s="754">
        <f t="shared" si="12"/>
        <v>100</v>
      </c>
      <c r="X32" s="1900"/>
      <c r="Y32" s="3034"/>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4"/>
      <c r="Q33" s="1899"/>
      <c r="R33" s="753"/>
      <c r="S33" s="754"/>
      <c r="T33" s="753"/>
      <c r="U33" s="754"/>
      <c r="V33" s="753"/>
      <c r="W33" s="754"/>
      <c r="X33" s="1900"/>
      <c r="Y33" s="3034"/>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4"/>
      <c r="Q34" s="1899" t="str">
        <f t="shared" si="8"/>
        <v>土地级别</v>
      </c>
      <c r="R34" s="753" t="s">
        <v>25</v>
      </c>
      <c r="S34" s="754">
        <f t="shared" si="10"/>
        <v>100</v>
      </c>
      <c r="T34" s="753" t="s">
        <v>25</v>
      </c>
      <c r="U34" s="754">
        <f t="shared" si="11"/>
        <v>100</v>
      </c>
      <c r="V34" s="753" t="s">
        <v>25</v>
      </c>
      <c r="W34" s="754">
        <f t="shared" si="12"/>
        <v>100</v>
      </c>
      <c r="X34" s="1900"/>
      <c r="Y34" s="3034"/>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4"/>
      <c r="Q35" s="1899">
        <f t="shared" si="8"/>
        <v>111</v>
      </c>
      <c r="R35" s="753" t="s">
        <v>25</v>
      </c>
      <c r="S35" s="754">
        <f t="shared" si="10"/>
        <v>100</v>
      </c>
      <c r="T35" s="753" t="s">
        <v>25</v>
      </c>
      <c r="U35" s="754">
        <f t="shared" si="11"/>
        <v>100</v>
      </c>
      <c r="V35" s="753" t="s">
        <v>25</v>
      </c>
      <c r="W35" s="754">
        <f t="shared" si="12"/>
        <v>100</v>
      </c>
      <c r="X35" s="1900"/>
      <c r="Y35" s="3034"/>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9" t="s">
        <v>2373</v>
      </c>
      <c r="Q36" s="1899">
        <f t="shared" si="8"/>
        <v>111</v>
      </c>
      <c r="R36" s="753" t="s">
        <v>25</v>
      </c>
      <c r="S36" s="754">
        <f t="shared" si="10"/>
        <v>100</v>
      </c>
      <c r="T36" s="753" t="s">
        <v>25</v>
      </c>
      <c r="U36" s="754">
        <f t="shared" si="11"/>
        <v>100</v>
      </c>
      <c r="V36" s="753" t="s">
        <v>25</v>
      </c>
      <c r="W36" s="754">
        <f t="shared" si="12"/>
        <v>100</v>
      </c>
      <c r="X36" s="1900"/>
      <c r="Y36" s="3038"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8"/>
      <c r="Q37" s="1899">
        <f t="shared" si="8"/>
        <v>111</v>
      </c>
      <c r="R37" s="756" t="s">
        <v>25</v>
      </c>
      <c r="S37" s="757">
        <f t="shared" si="10"/>
        <v>100</v>
      </c>
      <c r="T37" s="756" t="s">
        <v>25</v>
      </c>
      <c r="U37" s="757">
        <f t="shared" si="11"/>
        <v>100</v>
      </c>
      <c r="V37" s="756" t="s">
        <v>25</v>
      </c>
      <c r="W37" s="757">
        <f t="shared" si="12"/>
        <v>100</v>
      </c>
      <c r="X37" s="758"/>
      <c r="Y37" s="3038"/>
      <c r="Z37" s="759">
        <f t="shared" si="13"/>
        <v>111</v>
      </c>
      <c r="AA37" s="1903">
        <f t="shared" si="3"/>
        <v>1</v>
      </c>
      <c r="AB37" s="1903">
        <f t="shared" si="4"/>
        <v>1</v>
      </c>
      <c r="AC37" s="1903">
        <f t="shared" si="5"/>
        <v>1</v>
      </c>
    </row>
    <row r="38" spans="1:29" ht="15">
      <c r="A38" s="380" t="s">
        <v>2371</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8"/>
      <c r="Q38" s="1899" t="str">
        <f>B38</f>
        <v>宗地面积</v>
      </c>
      <c r="R38" s="753" t="s">
        <v>25</v>
      </c>
      <c r="S38" s="754" t="e">
        <f t="shared" si="10"/>
        <v>#N/A</v>
      </c>
      <c r="T38" s="753" t="s">
        <v>25</v>
      </c>
      <c r="U38" s="754" t="e">
        <f t="shared" si="11"/>
        <v>#N/A</v>
      </c>
      <c r="V38" s="753" t="s">
        <v>25</v>
      </c>
      <c r="W38" s="754" t="e">
        <f t="shared" si="12"/>
        <v>#N/A</v>
      </c>
      <c r="X38" s="1900"/>
      <c r="Y38" s="3038"/>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38"/>
      <c r="Q39" s="1899" t="str">
        <f t="shared" ref="Q39:Q45" si="14">B39</f>
        <v>宗地形状</v>
      </c>
      <c r="R39" s="753" t="s">
        <v>25</v>
      </c>
      <c r="S39" s="754">
        <f t="shared" si="10"/>
        <v>100</v>
      </c>
      <c r="T39" s="753" t="s">
        <v>25</v>
      </c>
      <c r="U39" s="754">
        <f t="shared" si="11"/>
        <v>100</v>
      </c>
      <c r="V39" s="753" t="s">
        <v>25</v>
      </c>
      <c r="W39" s="754">
        <f t="shared" si="12"/>
        <v>100</v>
      </c>
      <c r="X39" s="1900"/>
      <c r="Y39" s="3038"/>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38"/>
      <c r="Q40" s="1899" t="str">
        <f t="shared" si="14"/>
        <v>临街宽度及深度</v>
      </c>
      <c r="R40" s="753" t="s">
        <v>25</v>
      </c>
      <c r="S40" s="754">
        <f t="shared" si="10"/>
        <v>100</v>
      </c>
      <c r="T40" s="753" t="s">
        <v>25</v>
      </c>
      <c r="U40" s="754">
        <f t="shared" si="11"/>
        <v>100</v>
      </c>
      <c r="V40" s="753" t="s">
        <v>25</v>
      </c>
      <c r="W40" s="754">
        <f t="shared" si="12"/>
        <v>100</v>
      </c>
      <c r="X40" s="1900"/>
      <c r="Y40" s="3038"/>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38"/>
      <c r="Q41" s="1899" t="str">
        <f t="shared" si="14"/>
        <v>宗地开发程度</v>
      </c>
      <c r="R41" s="749" t="s">
        <v>25</v>
      </c>
      <c r="S41" s="750">
        <f t="shared" si="10"/>
        <v>100</v>
      </c>
      <c r="T41" s="749" t="s">
        <v>25</v>
      </c>
      <c r="U41" s="750">
        <f t="shared" si="11"/>
        <v>100</v>
      </c>
      <c r="V41" s="749" t="s">
        <v>25</v>
      </c>
      <c r="W41" s="750">
        <f t="shared" si="12"/>
        <v>100</v>
      </c>
      <c r="X41" s="751"/>
      <c r="Y41" s="3038"/>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38" t="s">
        <v>2373</v>
      </c>
      <c r="Q42" s="1899" t="str">
        <f t="shared" si="14"/>
        <v>工程地质条件</v>
      </c>
      <c r="R42" s="753" t="s">
        <v>25</v>
      </c>
      <c r="S42" s="754">
        <f t="shared" si="10"/>
        <v>100</v>
      </c>
      <c r="T42" s="753" t="s">
        <v>25</v>
      </c>
      <c r="U42" s="754">
        <f t="shared" si="11"/>
        <v>100</v>
      </c>
      <c r="V42" s="753" t="s">
        <v>25</v>
      </c>
      <c r="W42" s="754">
        <f t="shared" si="12"/>
        <v>100</v>
      </c>
      <c r="X42" s="1900"/>
      <c r="Y42" s="3038" t="s">
        <v>2373</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8"/>
      <c r="Q43" s="1899">
        <f t="shared" si="14"/>
        <v>111</v>
      </c>
      <c r="R43" s="753" t="s">
        <v>25</v>
      </c>
      <c r="S43" s="754">
        <f t="shared" si="10"/>
        <v>100</v>
      </c>
      <c r="T43" s="753" t="s">
        <v>25</v>
      </c>
      <c r="U43" s="754">
        <f t="shared" si="11"/>
        <v>100</v>
      </c>
      <c r="V43" s="753" t="s">
        <v>25</v>
      </c>
      <c r="W43" s="754">
        <f t="shared" si="12"/>
        <v>100</v>
      </c>
      <c r="X43" s="1900"/>
      <c r="Y43" s="3038"/>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8"/>
      <c r="Q44" s="1899">
        <f t="shared" si="14"/>
        <v>111</v>
      </c>
      <c r="R44" s="753" t="s">
        <v>25</v>
      </c>
      <c r="S44" s="754">
        <f t="shared" si="10"/>
        <v>100</v>
      </c>
      <c r="T44" s="753" t="s">
        <v>25</v>
      </c>
      <c r="U44" s="754">
        <f t="shared" si="11"/>
        <v>100</v>
      </c>
      <c r="V44" s="753" t="s">
        <v>25</v>
      </c>
      <c r="W44" s="754">
        <f t="shared" si="12"/>
        <v>100</v>
      </c>
      <c r="X44" s="1900"/>
      <c r="Y44" s="3038"/>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8"/>
      <c r="Q45" s="1899">
        <f t="shared" si="14"/>
        <v>111</v>
      </c>
      <c r="R45" s="756" t="s">
        <v>25</v>
      </c>
      <c r="S45" s="757">
        <f t="shared" si="10"/>
        <v>100</v>
      </c>
      <c r="T45" s="756" t="s">
        <v>25</v>
      </c>
      <c r="U45" s="757">
        <f t="shared" si="11"/>
        <v>100</v>
      </c>
      <c r="V45" s="756" t="s">
        <v>25</v>
      </c>
      <c r="W45" s="757">
        <f t="shared" si="12"/>
        <v>100</v>
      </c>
      <c r="X45" s="758"/>
      <c r="Y45" s="3038"/>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30" t="str">
        <f>A46</f>
        <v>成交单价</v>
      </c>
      <c r="Q46" s="3030"/>
      <c r="R46" s="3067">
        <f>E46</f>
        <v>0</v>
      </c>
      <c r="S46" s="3067"/>
      <c r="T46" s="3067">
        <f>G46</f>
        <v>0</v>
      </c>
      <c r="U46" s="3067"/>
      <c r="V46" s="3067">
        <f>I46</f>
        <v>0</v>
      </c>
      <c r="W46" s="3067"/>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30" t="str">
        <f>A47</f>
        <v>比较价值（元/平方米）</v>
      </c>
      <c r="Q47" s="3030"/>
      <c r="R47" s="3080" t="e">
        <f>ROUND(PRODUCT(R46,AA7:AA45),0)</f>
        <v>#DIV/0!</v>
      </c>
      <c r="S47" s="3080"/>
      <c r="T47" s="3080" t="e">
        <f>ROUND(PRODUCT(T46,AB7:AB45),0)</f>
        <v>#DIV/0!</v>
      </c>
      <c r="U47" s="3080"/>
      <c r="V47" s="3080" t="e">
        <f>ROUND(PRODUCT(V46,AC7:AC45),0)</f>
        <v>#DIV/0!</v>
      </c>
      <c r="W47" s="308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27" t="str">
        <f>A48</f>
        <v>估价对象XX用房的比较价值（楼面单价，元/平方米）</v>
      </c>
      <c r="Q48" s="3028"/>
      <c r="R48" s="3081" t="e">
        <f>ROUND(AVERAGE(R47:V47),0)</f>
        <v>#DIV/0!</v>
      </c>
      <c r="S48" s="3081"/>
      <c r="T48" s="3081"/>
      <c r="U48" s="3081"/>
      <c r="V48" s="3081"/>
      <c r="W48" s="308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2569</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2570</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2571</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2572</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2573</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2574</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2575</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2014-11-1</v>
      </c>
      <c r="D68" s="1670">
        <f>EDATE(C68,-3)</f>
        <v>41852</v>
      </c>
      <c r="E68" s="1670">
        <f t="shared" ref="E68:O68" si="18">EDATE(D68,-3)</f>
        <v>41760</v>
      </c>
      <c r="F68" s="1670">
        <f t="shared" si="18"/>
        <v>41671</v>
      </c>
      <c r="G68" s="1670">
        <f t="shared" si="18"/>
        <v>41579</v>
      </c>
      <c r="H68" s="1670">
        <f t="shared" si="18"/>
        <v>41487</v>
      </c>
      <c r="I68" s="1670">
        <f t="shared" si="18"/>
        <v>41395</v>
      </c>
      <c r="J68" s="1670">
        <f t="shared" si="18"/>
        <v>41306</v>
      </c>
      <c r="K68" s="1670">
        <f t="shared" si="18"/>
        <v>41214</v>
      </c>
      <c r="L68" s="1670">
        <f t="shared" si="18"/>
        <v>41122</v>
      </c>
      <c r="M68" s="1670">
        <f t="shared" si="18"/>
        <v>41030</v>
      </c>
      <c r="N68" s="1670">
        <f t="shared" si="18"/>
        <v>40940</v>
      </c>
      <c r="O68" s="1670">
        <f t="shared" si="18"/>
        <v>40848</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2014-4</v>
      </c>
      <c r="D70" s="1671" t="str">
        <f>YEAR(D68)&amp;"-"&amp;ROUNDUP(MONTH(D68)/3,0)</f>
        <v>2014-3</v>
      </c>
      <c r="E70" s="1671" t="str">
        <f t="shared" ref="E70:O70" si="19">YEAR(E68)&amp;"-"&amp;ROUNDUP(MONTH(E68)/3,0)</f>
        <v>2014-2</v>
      </c>
      <c r="F70" s="1671" t="str">
        <f t="shared" si="19"/>
        <v>2014-1</v>
      </c>
      <c r="G70" s="1671" t="str">
        <f t="shared" si="19"/>
        <v>2013-4</v>
      </c>
      <c r="H70" s="1671" t="str">
        <f t="shared" si="19"/>
        <v>2013-3</v>
      </c>
      <c r="I70" s="1671" t="str">
        <f t="shared" si="19"/>
        <v>2013-2</v>
      </c>
      <c r="J70" s="1671" t="str">
        <f t="shared" si="19"/>
        <v>2013-1</v>
      </c>
      <c r="K70" s="1671" t="str">
        <f t="shared" si="19"/>
        <v>2012-4</v>
      </c>
      <c r="L70" s="1671" t="str">
        <f t="shared" si="19"/>
        <v>2012-3</v>
      </c>
      <c r="M70" s="1671" t="str">
        <f t="shared" si="19"/>
        <v>2012-2</v>
      </c>
      <c r="N70" s="1671" t="str">
        <f t="shared" si="19"/>
        <v>2012-1</v>
      </c>
      <c r="O70" s="1671" t="str">
        <f t="shared" si="19"/>
        <v>2011-4</v>
      </c>
      <c r="P70" s="1673"/>
    </row>
    <row r="71" spans="1:17" s="35" customFormat="1" ht="29.25" customHeight="1">
      <c r="A71" s="2498" t="s">
        <v>2578</v>
      </c>
      <c r="B71" s="284" t="str">
        <f>"北京市平均增长率"&amp;TEXT(SUMIF(基准地价修正!N21:N25,A71,基准地价修正!P21:P25),"0.00%")</f>
        <v>北京市平均增长率1.56%</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57" t="s">
        <v>2343</v>
      </c>
      <c r="D4" s="3058"/>
      <c r="E4" s="3059" t="s">
        <v>2344</v>
      </c>
      <c r="F4" s="3060"/>
      <c r="G4" s="3057" t="s">
        <v>2345</v>
      </c>
      <c r="H4" s="3058"/>
      <c r="I4" s="3057" t="s">
        <v>2346</v>
      </c>
      <c r="J4" s="3058"/>
      <c r="K4" s="594" t="s">
        <v>2347</v>
      </c>
      <c r="L4" s="1243"/>
      <c r="M4" s="1244"/>
      <c r="N4" s="1244"/>
      <c r="O4" s="1244"/>
      <c r="P4" s="3061" t="s">
        <v>2348</v>
      </c>
      <c r="Q4" s="3062"/>
      <c r="R4" s="3046" t="s">
        <v>2344</v>
      </c>
      <c r="S4" s="3047"/>
      <c r="T4" s="3046" t="s">
        <v>2345</v>
      </c>
      <c r="U4" s="3047"/>
      <c r="V4" s="3067" t="s">
        <v>2346</v>
      </c>
      <c r="W4" s="3067"/>
      <c r="X4" s="1900"/>
      <c r="Y4" s="3046" t="s">
        <v>2348</v>
      </c>
      <c r="Z4" s="3047"/>
      <c r="AA4" s="3054" t="s">
        <v>2344</v>
      </c>
      <c r="AB4" s="3055" t="s">
        <v>2345</v>
      </c>
      <c r="AC4" s="3054" t="s">
        <v>2346</v>
      </c>
    </row>
    <row r="5" spans="1:29" ht="15">
      <c r="A5" s="383"/>
      <c r="B5" s="384"/>
      <c r="C5" s="3042" t="s">
        <v>2349</v>
      </c>
      <c r="D5" s="3043"/>
      <c r="E5" s="3068" t="s">
        <v>2350</v>
      </c>
      <c r="F5" s="3069"/>
      <c r="G5" s="3042" t="s">
        <v>2351</v>
      </c>
      <c r="H5" s="3043"/>
      <c r="I5" s="3042" t="s">
        <v>2352</v>
      </c>
      <c r="J5" s="3043"/>
      <c r="K5" s="594"/>
      <c r="L5" s="1243"/>
      <c r="M5" s="1244"/>
      <c r="N5" s="1244"/>
      <c r="O5" s="1244"/>
      <c r="P5" s="3063"/>
      <c r="Q5" s="3064"/>
      <c r="R5" s="3048"/>
      <c r="S5" s="3049"/>
      <c r="T5" s="3048"/>
      <c r="U5" s="3049"/>
      <c r="V5" s="3067"/>
      <c r="W5" s="3067"/>
      <c r="X5" s="1900"/>
      <c r="Y5" s="3048"/>
      <c r="Z5" s="3049"/>
      <c r="AA5" s="3055"/>
      <c r="AB5" s="3055"/>
      <c r="AC5" s="3055"/>
    </row>
    <row r="6" spans="1:29" ht="15.75" thickBot="1">
      <c r="A6" s="385"/>
      <c r="B6" s="386"/>
      <c r="C6" s="3040" t="s">
        <v>2353</v>
      </c>
      <c r="D6" s="3041"/>
      <c r="E6" s="3070" t="s">
        <v>2353</v>
      </c>
      <c r="F6" s="3071"/>
      <c r="G6" s="3040" t="s">
        <v>2353</v>
      </c>
      <c r="H6" s="3041"/>
      <c r="I6" s="3040" t="s">
        <v>2353</v>
      </c>
      <c r="J6" s="3041"/>
      <c r="K6" s="594" t="s">
        <v>2354</v>
      </c>
      <c r="L6" s="1243"/>
      <c r="M6" s="1244"/>
      <c r="N6" s="1244"/>
      <c r="O6" s="1244"/>
      <c r="P6" s="3065"/>
      <c r="Q6" s="3066"/>
      <c r="R6" s="3048"/>
      <c r="S6" s="3049"/>
      <c r="T6" s="3050"/>
      <c r="U6" s="3051"/>
      <c r="V6" s="3067"/>
      <c r="W6" s="3067"/>
      <c r="X6" s="1900"/>
      <c r="Y6" s="3050"/>
      <c r="Z6" s="3051"/>
      <c r="AA6" s="3056"/>
      <c r="AB6" s="3056"/>
      <c r="AC6" s="3056"/>
    </row>
    <row r="7" spans="1:29" s="35" customFormat="1" ht="15.75" thickBot="1">
      <c r="A7" s="387" t="s">
        <v>2355</v>
      </c>
      <c r="B7" s="388"/>
      <c r="C7" s="389">
        <f>'数据-取费表'!B2</f>
        <v>41962</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4" t="s">
        <v>2356</v>
      </c>
      <c r="Q7" s="3052"/>
      <c r="R7" s="749" t="s">
        <v>25</v>
      </c>
      <c r="S7" s="750">
        <f t="shared" ref="S7:S15" si="0">F7</f>
        <v>0</v>
      </c>
      <c r="T7" s="749" t="s">
        <v>25</v>
      </c>
      <c r="U7" s="750">
        <f t="shared" ref="U7:U15" si="1">H7</f>
        <v>0</v>
      </c>
      <c r="V7" s="749" t="s">
        <v>25</v>
      </c>
      <c r="W7" s="750">
        <f t="shared" ref="W7:W15" si="2">J7</f>
        <v>0</v>
      </c>
      <c r="X7" s="751"/>
      <c r="Y7" s="3044" t="s">
        <v>2356</v>
      </c>
      <c r="Z7" s="3045"/>
      <c r="AA7" s="752" t="e">
        <f>D7/F7</f>
        <v>#DIV/0!</v>
      </c>
      <c r="AB7" s="752" t="e">
        <f>D7/H7</f>
        <v>#DIV/0!</v>
      </c>
      <c r="AC7" s="752" t="e">
        <f>D7/J7</f>
        <v>#DIV/0!</v>
      </c>
    </row>
    <row r="8" spans="1:29" s="35" customFormat="1" ht="15.75" thickBot="1">
      <c r="A8" s="387" t="s">
        <v>2357</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4" t="s">
        <v>2359</v>
      </c>
      <c r="Q8" s="3045"/>
      <c r="R8" s="749" t="s">
        <v>25</v>
      </c>
      <c r="S8" s="750">
        <f t="shared" si="0"/>
        <v>0</v>
      </c>
      <c r="T8" s="749" t="s">
        <v>25</v>
      </c>
      <c r="U8" s="750">
        <f t="shared" si="1"/>
        <v>0</v>
      </c>
      <c r="V8" s="749" t="s">
        <v>25</v>
      </c>
      <c r="W8" s="750">
        <f t="shared" si="2"/>
        <v>0</v>
      </c>
      <c r="X8" s="751"/>
      <c r="Y8" s="3044" t="s">
        <v>2359</v>
      </c>
      <c r="Z8" s="3045"/>
      <c r="AA8" s="752" t="e">
        <f t="shared" ref="AA8:AA40" si="3">D8/F8</f>
        <v>#DIV/0!</v>
      </c>
      <c r="AB8" s="752" t="e">
        <f t="shared" ref="AB8:AB40" si="4">D8/H8</f>
        <v>#DIV/0!</v>
      </c>
      <c r="AC8" s="752" t="e">
        <f t="shared" ref="AC8:AC40" si="5">D8/J8</f>
        <v>#DIV/0!</v>
      </c>
    </row>
    <row r="9" spans="1:29" s="35" customFormat="1">
      <c r="A9" s="395" t="s">
        <v>2360</v>
      </c>
      <c r="B9" s="28" t="s">
        <v>2361</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30" t="s">
        <v>2362</v>
      </c>
      <c r="Q9" s="1887" t="str">
        <f t="shared" ref="Q9:Q15" si="6">B9</f>
        <v>用途</v>
      </c>
      <c r="R9" s="749" t="s">
        <v>25</v>
      </c>
      <c r="S9" s="750">
        <f t="shared" si="0"/>
        <v>100</v>
      </c>
      <c r="T9" s="749" t="s">
        <v>25</v>
      </c>
      <c r="U9" s="750">
        <f t="shared" si="1"/>
        <v>100</v>
      </c>
      <c r="V9" s="749" t="s">
        <v>25</v>
      </c>
      <c r="W9" s="750">
        <f t="shared" si="2"/>
        <v>100</v>
      </c>
      <c r="X9" s="751"/>
      <c r="Y9" s="2856"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110</v>
      </c>
      <c r="G10" s="412"/>
      <c r="H10" s="52">
        <f>ROUND(100/'数据-取费表'!B14,0)</f>
        <v>110</v>
      </c>
      <c r="I10" s="412"/>
      <c r="J10" s="52">
        <f>ROUND(100/'数据-取费表'!B14,0)</f>
        <v>110</v>
      </c>
      <c r="K10" s="655"/>
      <c r="L10" s="1248"/>
      <c r="M10" s="1249"/>
      <c r="N10" s="1249"/>
      <c r="O10" s="1250"/>
      <c r="P10" s="3030"/>
      <c r="Q10" s="1887" t="str">
        <f t="shared" si="6"/>
        <v>土地使用年限（年）</v>
      </c>
      <c r="R10" s="749" t="s">
        <v>25</v>
      </c>
      <c r="S10" s="750">
        <f t="shared" si="0"/>
        <v>110</v>
      </c>
      <c r="T10" s="749" t="s">
        <v>25</v>
      </c>
      <c r="U10" s="750">
        <f t="shared" si="1"/>
        <v>110</v>
      </c>
      <c r="V10" s="749" t="s">
        <v>25</v>
      </c>
      <c r="W10" s="750">
        <f t="shared" si="2"/>
        <v>110</v>
      </c>
      <c r="X10" s="751"/>
      <c r="Y10" s="2856"/>
      <c r="Z10" s="23" t="str">
        <f t="shared" si="7"/>
        <v>土地使用年限（年）</v>
      </c>
      <c r="AA10" s="752">
        <f t="shared" si="3"/>
        <v>0.90909090909090906</v>
      </c>
      <c r="AB10" s="752">
        <f t="shared" si="4"/>
        <v>0.90909090909090906</v>
      </c>
      <c r="AC10" s="752">
        <f t="shared" si="5"/>
        <v>0.90909090909090906</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0"/>
      <c r="Q11" s="1887" t="str">
        <f t="shared" si="6"/>
        <v>容积率</v>
      </c>
      <c r="R11" s="749" t="s">
        <v>25</v>
      </c>
      <c r="S11" s="750" t="e">
        <f t="shared" si="0"/>
        <v>#N/A</v>
      </c>
      <c r="T11" s="749" t="s">
        <v>25</v>
      </c>
      <c r="U11" s="750" t="e">
        <f t="shared" si="1"/>
        <v>#N/A</v>
      </c>
      <c r="V11" s="749" t="s">
        <v>25</v>
      </c>
      <c r="W11" s="750" t="e">
        <f t="shared" si="2"/>
        <v>#N/A</v>
      </c>
      <c r="X11" s="751"/>
      <c r="Y11" s="2856"/>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0"/>
      <c r="Q12" s="1887">
        <f t="shared" si="6"/>
        <v>111</v>
      </c>
      <c r="R12" s="749" t="s">
        <v>25</v>
      </c>
      <c r="S12" s="750">
        <f t="shared" si="0"/>
        <v>100</v>
      </c>
      <c r="T12" s="749" t="s">
        <v>25</v>
      </c>
      <c r="U12" s="750">
        <f t="shared" si="1"/>
        <v>100</v>
      </c>
      <c r="V12" s="749" t="s">
        <v>25</v>
      </c>
      <c r="W12" s="750">
        <f t="shared" si="2"/>
        <v>100</v>
      </c>
      <c r="X12" s="751"/>
      <c r="Y12" s="2856"/>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0"/>
      <c r="Q13" s="1887">
        <f t="shared" si="6"/>
        <v>111</v>
      </c>
      <c r="R13" s="749" t="s">
        <v>25</v>
      </c>
      <c r="S13" s="750">
        <f t="shared" si="0"/>
        <v>100</v>
      </c>
      <c r="T13" s="749" t="s">
        <v>25</v>
      </c>
      <c r="U13" s="750">
        <f t="shared" si="1"/>
        <v>100</v>
      </c>
      <c r="V13" s="749" t="s">
        <v>25</v>
      </c>
      <c r="W13" s="750">
        <f t="shared" si="2"/>
        <v>100</v>
      </c>
      <c r="X13" s="751"/>
      <c r="Y13" s="2856"/>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0"/>
      <c r="Q14" s="1887">
        <f t="shared" si="6"/>
        <v>111</v>
      </c>
      <c r="R14" s="749" t="s">
        <v>25</v>
      </c>
      <c r="S14" s="750">
        <f t="shared" si="0"/>
        <v>100</v>
      </c>
      <c r="T14" s="749" t="s">
        <v>25</v>
      </c>
      <c r="U14" s="750">
        <f t="shared" si="1"/>
        <v>100</v>
      </c>
      <c r="V14" s="749" t="s">
        <v>25</v>
      </c>
      <c r="W14" s="750">
        <f t="shared" si="2"/>
        <v>100</v>
      </c>
      <c r="X14" s="751"/>
      <c r="Y14" s="2856"/>
      <c r="Z14" s="23">
        <f t="shared" si="7"/>
        <v>111</v>
      </c>
      <c r="AA14" s="752">
        <f t="shared" si="3"/>
        <v>1</v>
      </c>
      <c r="AB14" s="752">
        <f t="shared" si="4"/>
        <v>1</v>
      </c>
      <c r="AC14" s="752">
        <f t="shared" si="5"/>
        <v>1</v>
      </c>
    </row>
    <row r="15" spans="1:29" ht="57">
      <c r="A15" s="419" t="s">
        <v>2366</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3" t="s">
        <v>2367</v>
      </c>
      <c r="Q15" s="1899" t="str">
        <f t="shared" si="6"/>
        <v>产业集聚程度</v>
      </c>
      <c r="R15" s="753" t="s">
        <v>25</v>
      </c>
      <c r="S15" s="754">
        <f t="shared" si="0"/>
        <v>100</v>
      </c>
      <c r="T15" s="753" t="s">
        <v>25</v>
      </c>
      <c r="U15" s="754">
        <f t="shared" si="1"/>
        <v>100</v>
      </c>
      <c r="V15" s="753" t="s">
        <v>25</v>
      </c>
      <c r="W15" s="754">
        <f t="shared" si="2"/>
        <v>100</v>
      </c>
      <c r="X15" s="1900"/>
      <c r="Y15" s="3033"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4"/>
      <c r="Q16" s="1899"/>
      <c r="R16" s="753"/>
      <c r="S16" s="754"/>
      <c r="T16" s="753"/>
      <c r="U16" s="754"/>
      <c r="V16" s="753"/>
      <c r="W16" s="754"/>
      <c r="X16" s="1900"/>
      <c r="Y16" s="3034"/>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4"/>
      <c r="Q17" s="1899" t="str">
        <f>B17</f>
        <v>交通便捷度</v>
      </c>
      <c r="R17" s="753" t="s">
        <v>25</v>
      </c>
      <c r="S17" s="754">
        <f>F17</f>
        <v>100</v>
      </c>
      <c r="T17" s="753" t="s">
        <v>25</v>
      </c>
      <c r="U17" s="754">
        <f>H17</f>
        <v>100</v>
      </c>
      <c r="V17" s="753" t="s">
        <v>25</v>
      </c>
      <c r="W17" s="754">
        <f>J17</f>
        <v>100</v>
      </c>
      <c r="X17" s="1900"/>
      <c r="Y17" s="3034"/>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34"/>
      <c r="Q18" s="1899"/>
      <c r="R18" s="753"/>
      <c r="S18" s="754"/>
      <c r="T18" s="753"/>
      <c r="U18" s="754"/>
      <c r="V18" s="753"/>
      <c r="W18" s="754"/>
      <c r="X18" s="1900"/>
      <c r="Y18" s="3034"/>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4"/>
      <c r="Q19" s="1899" t="str">
        <f t="shared" ref="Q19:Q33" si="8">B19</f>
        <v>区域土地利用方向</v>
      </c>
      <c r="R19" s="753" t="s">
        <v>25</v>
      </c>
      <c r="S19" s="754">
        <f>F19</f>
        <v>100</v>
      </c>
      <c r="T19" s="753" t="s">
        <v>25</v>
      </c>
      <c r="U19" s="754">
        <f>H19</f>
        <v>100</v>
      </c>
      <c r="V19" s="753" t="s">
        <v>25</v>
      </c>
      <c r="W19" s="754">
        <f>J19</f>
        <v>100</v>
      </c>
      <c r="X19" s="1900"/>
      <c r="Y19" s="3034"/>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4"/>
      <c r="Q20" s="1899"/>
      <c r="R20" s="753"/>
      <c r="S20" s="754"/>
      <c r="T20" s="753"/>
      <c r="U20" s="754"/>
      <c r="V20" s="753"/>
      <c r="W20" s="754"/>
      <c r="X20" s="1900"/>
      <c r="Y20" s="3034"/>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4"/>
      <c r="Q21" s="1899" t="str">
        <f t="shared" si="8"/>
        <v>环境状况</v>
      </c>
      <c r="R21" s="753" t="s">
        <v>25</v>
      </c>
      <c r="S21" s="754">
        <f>F21</f>
        <v>100</v>
      </c>
      <c r="T21" s="753" t="s">
        <v>25</v>
      </c>
      <c r="U21" s="754">
        <f>H21</f>
        <v>100</v>
      </c>
      <c r="V21" s="753" t="s">
        <v>25</v>
      </c>
      <c r="W21" s="754">
        <f>J21</f>
        <v>100</v>
      </c>
      <c r="X21" s="1900"/>
      <c r="Y21" s="3034"/>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4"/>
      <c r="Q22" s="1899"/>
      <c r="R22" s="753"/>
      <c r="S22" s="754"/>
      <c r="T22" s="753"/>
      <c r="U22" s="754"/>
      <c r="V22" s="753"/>
      <c r="W22" s="754"/>
      <c r="X22" s="1900"/>
      <c r="Y22" s="3034"/>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4"/>
      <c r="Q23" s="1887" t="str">
        <f t="shared" si="8"/>
        <v>公共配套设施</v>
      </c>
      <c r="R23" s="749" t="s">
        <v>25</v>
      </c>
      <c r="S23" s="750">
        <f>F23</f>
        <v>100</v>
      </c>
      <c r="T23" s="749" t="s">
        <v>25</v>
      </c>
      <c r="U23" s="750">
        <f>H23</f>
        <v>100</v>
      </c>
      <c r="V23" s="749" t="s">
        <v>25</v>
      </c>
      <c r="W23" s="750">
        <f>J23</f>
        <v>100</v>
      </c>
      <c r="X23" s="751"/>
      <c r="Y23" s="3034"/>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34"/>
      <c r="Q24" s="1887"/>
      <c r="R24" s="749"/>
      <c r="S24" s="750"/>
      <c r="T24" s="749"/>
      <c r="U24" s="750"/>
      <c r="V24" s="749"/>
      <c r="W24" s="750"/>
      <c r="X24" s="751"/>
      <c r="Y24" s="3034"/>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4"/>
      <c r="Q25" s="1887" t="str">
        <f t="shared" ref="Q25" si="9">B25</f>
        <v>基础设施水平</v>
      </c>
      <c r="R25" s="749" t="s">
        <v>25</v>
      </c>
      <c r="S25" s="750">
        <f>F25</f>
        <v>100</v>
      </c>
      <c r="T25" s="749" t="s">
        <v>25</v>
      </c>
      <c r="U25" s="750">
        <f>H25</f>
        <v>100</v>
      </c>
      <c r="V25" s="749" t="s">
        <v>25</v>
      </c>
      <c r="W25" s="750">
        <f>J25</f>
        <v>100</v>
      </c>
      <c r="X25" s="751"/>
      <c r="Y25" s="3034"/>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34"/>
      <c r="Q26" s="1887"/>
      <c r="R26" s="749"/>
      <c r="S26" s="750"/>
      <c r="T26" s="749"/>
      <c r="U26" s="750"/>
      <c r="V26" s="749"/>
      <c r="W26" s="750"/>
      <c r="X26" s="751"/>
      <c r="Y26" s="3034"/>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4"/>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4"/>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4"/>
      <c r="Q28" s="1899" t="str">
        <f t="shared" si="8"/>
        <v>毗邻道路的类型与等级</v>
      </c>
      <c r="R28" s="753" t="s">
        <v>25</v>
      </c>
      <c r="S28" s="754">
        <f t="shared" si="10"/>
        <v>100</v>
      </c>
      <c r="T28" s="753" t="s">
        <v>25</v>
      </c>
      <c r="U28" s="754">
        <f t="shared" si="11"/>
        <v>100</v>
      </c>
      <c r="V28" s="753" t="s">
        <v>25</v>
      </c>
      <c r="W28" s="754">
        <f t="shared" si="12"/>
        <v>100</v>
      </c>
      <c r="X28" s="1900"/>
      <c r="Y28" s="3034"/>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4"/>
      <c r="Q29" s="1899"/>
      <c r="R29" s="753"/>
      <c r="S29" s="754"/>
      <c r="T29" s="753"/>
      <c r="U29" s="754"/>
      <c r="V29" s="753"/>
      <c r="W29" s="754"/>
      <c r="X29" s="1900"/>
      <c r="Y29" s="3034"/>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4"/>
      <c r="Q30" s="1899" t="str">
        <f t="shared" si="8"/>
        <v>土地级别</v>
      </c>
      <c r="R30" s="753" t="s">
        <v>25</v>
      </c>
      <c r="S30" s="754">
        <f t="shared" si="10"/>
        <v>100</v>
      </c>
      <c r="T30" s="753" t="s">
        <v>25</v>
      </c>
      <c r="U30" s="754">
        <f t="shared" si="11"/>
        <v>100</v>
      </c>
      <c r="V30" s="753" t="s">
        <v>25</v>
      </c>
      <c r="W30" s="754">
        <f t="shared" si="12"/>
        <v>100</v>
      </c>
      <c r="X30" s="1900"/>
      <c r="Y30" s="3034"/>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4"/>
      <c r="Q31" s="1899">
        <f t="shared" si="8"/>
        <v>111</v>
      </c>
      <c r="R31" s="753" t="s">
        <v>25</v>
      </c>
      <c r="S31" s="754">
        <f t="shared" si="10"/>
        <v>100</v>
      </c>
      <c r="T31" s="753" t="s">
        <v>25</v>
      </c>
      <c r="U31" s="754">
        <f t="shared" si="11"/>
        <v>100</v>
      </c>
      <c r="V31" s="753" t="s">
        <v>25</v>
      </c>
      <c r="W31" s="754">
        <f t="shared" si="12"/>
        <v>100</v>
      </c>
      <c r="X31" s="1900"/>
      <c r="Y31" s="3034"/>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9" t="s">
        <v>2373</v>
      </c>
      <c r="Q32" s="1899">
        <f t="shared" si="8"/>
        <v>111</v>
      </c>
      <c r="R32" s="753" t="s">
        <v>25</v>
      </c>
      <c r="S32" s="754">
        <f t="shared" si="10"/>
        <v>100</v>
      </c>
      <c r="T32" s="753" t="s">
        <v>25</v>
      </c>
      <c r="U32" s="754">
        <f t="shared" si="11"/>
        <v>100</v>
      </c>
      <c r="V32" s="753" t="s">
        <v>25</v>
      </c>
      <c r="W32" s="754">
        <f t="shared" si="12"/>
        <v>100</v>
      </c>
      <c r="X32" s="1900"/>
      <c r="Y32" s="3038" t="s">
        <v>2373</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8"/>
      <c r="Q33" s="1899">
        <f t="shared" si="8"/>
        <v>111</v>
      </c>
      <c r="R33" s="756" t="s">
        <v>25</v>
      </c>
      <c r="S33" s="757">
        <f t="shared" si="10"/>
        <v>100</v>
      </c>
      <c r="T33" s="756" t="s">
        <v>25</v>
      </c>
      <c r="U33" s="757">
        <f t="shared" si="11"/>
        <v>100</v>
      </c>
      <c r="V33" s="756" t="s">
        <v>25</v>
      </c>
      <c r="W33" s="757">
        <f t="shared" si="12"/>
        <v>100</v>
      </c>
      <c r="X33" s="758"/>
      <c r="Y33" s="3038"/>
      <c r="Z33" s="759">
        <f t="shared" si="13"/>
        <v>111</v>
      </c>
      <c r="AA33" s="1903">
        <f t="shared" si="3"/>
        <v>1</v>
      </c>
      <c r="AB33" s="1903">
        <f t="shared" si="4"/>
        <v>1</v>
      </c>
      <c r="AC33" s="1903">
        <f t="shared" si="5"/>
        <v>1</v>
      </c>
    </row>
    <row r="34" spans="1:29" ht="15">
      <c r="A34" s="453" t="s">
        <v>2371</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8"/>
      <c r="Q34" s="1899" t="str">
        <f>B34</f>
        <v>宗地面积</v>
      </c>
      <c r="R34" s="753" t="s">
        <v>25</v>
      </c>
      <c r="S34" s="754" t="e">
        <f t="shared" si="10"/>
        <v>#N/A</v>
      </c>
      <c r="T34" s="753" t="s">
        <v>25</v>
      </c>
      <c r="U34" s="754" t="e">
        <f t="shared" si="11"/>
        <v>#N/A</v>
      </c>
      <c r="V34" s="753" t="s">
        <v>25</v>
      </c>
      <c r="W34" s="754" t="e">
        <f t="shared" si="12"/>
        <v>#N/A</v>
      </c>
      <c r="X34" s="1900"/>
      <c r="Y34" s="3038"/>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38"/>
      <c r="Q35" s="1899" t="str">
        <f t="shared" ref="Q35:Q40" si="14">B35</f>
        <v>宗地形状</v>
      </c>
      <c r="R35" s="753" t="s">
        <v>25</v>
      </c>
      <c r="S35" s="754">
        <f t="shared" si="10"/>
        <v>100</v>
      </c>
      <c r="T35" s="753" t="s">
        <v>25</v>
      </c>
      <c r="U35" s="754">
        <f t="shared" si="11"/>
        <v>100</v>
      </c>
      <c r="V35" s="753" t="s">
        <v>25</v>
      </c>
      <c r="W35" s="754">
        <f t="shared" si="12"/>
        <v>100</v>
      </c>
      <c r="X35" s="1900"/>
      <c r="Y35" s="3038"/>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38"/>
      <c r="Q36" s="1899" t="str">
        <f t="shared" si="14"/>
        <v>宗地开发程度</v>
      </c>
      <c r="R36" s="749" t="s">
        <v>25</v>
      </c>
      <c r="S36" s="750">
        <f t="shared" si="10"/>
        <v>100</v>
      </c>
      <c r="T36" s="749" t="s">
        <v>25</v>
      </c>
      <c r="U36" s="750">
        <f t="shared" si="11"/>
        <v>100</v>
      </c>
      <c r="V36" s="749" t="s">
        <v>25</v>
      </c>
      <c r="W36" s="750">
        <f t="shared" si="12"/>
        <v>100</v>
      </c>
      <c r="X36" s="751"/>
      <c r="Y36" s="3038"/>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38" t="s">
        <v>2373</v>
      </c>
      <c r="Q37" s="1899" t="str">
        <f t="shared" si="14"/>
        <v>工程地质条件</v>
      </c>
      <c r="R37" s="753" t="s">
        <v>25</v>
      </c>
      <c r="S37" s="754">
        <f t="shared" si="10"/>
        <v>100</v>
      </c>
      <c r="T37" s="753" t="s">
        <v>25</v>
      </c>
      <c r="U37" s="754">
        <f t="shared" si="11"/>
        <v>100</v>
      </c>
      <c r="V37" s="753" t="s">
        <v>25</v>
      </c>
      <c r="W37" s="754">
        <f t="shared" si="12"/>
        <v>100</v>
      </c>
      <c r="X37" s="1900"/>
      <c r="Y37" s="3038" t="s">
        <v>2373</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8"/>
      <c r="Q38" s="1899">
        <f t="shared" si="14"/>
        <v>111</v>
      </c>
      <c r="R38" s="753" t="s">
        <v>25</v>
      </c>
      <c r="S38" s="754">
        <f t="shared" si="10"/>
        <v>100</v>
      </c>
      <c r="T38" s="753" t="s">
        <v>25</v>
      </c>
      <c r="U38" s="754">
        <f t="shared" si="11"/>
        <v>100</v>
      </c>
      <c r="V38" s="753" t="s">
        <v>25</v>
      </c>
      <c r="W38" s="754">
        <f t="shared" si="12"/>
        <v>100</v>
      </c>
      <c r="X38" s="1900"/>
      <c r="Y38" s="3038"/>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8"/>
      <c r="Q39" s="1899">
        <f t="shared" si="14"/>
        <v>111</v>
      </c>
      <c r="R39" s="753" t="s">
        <v>25</v>
      </c>
      <c r="S39" s="754">
        <f t="shared" si="10"/>
        <v>100</v>
      </c>
      <c r="T39" s="753" t="s">
        <v>25</v>
      </c>
      <c r="U39" s="754">
        <f t="shared" si="11"/>
        <v>100</v>
      </c>
      <c r="V39" s="753" t="s">
        <v>25</v>
      </c>
      <c r="W39" s="754">
        <f t="shared" si="12"/>
        <v>100</v>
      </c>
      <c r="X39" s="1900"/>
      <c r="Y39" s="3038"/>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8"/>
      <c r="Q40" s="1899">
        <f t="shared" si="14"/>
        <v>111</v>
      </c>
      <c r="R40" s="756" t="s">
        <v>25</v>
      </c>
      <c r="S40" s="757">
        <f t="shared" si="10"/>
        <v>100</v>
      </c>
      <c r="T40" s="756" t="s">
        <v>25</v>
      </c>
      <c r="U40" s="757">
        <f t="shared" si="11"/>
        <v>100</v>
      </c>
      <c r="V40" s="756" t="s">
        <v>25</v>
      </c>
      <c r="W40" s="757">
        <f t="shared" si="12"/>
        <v>100</v>
      </c>
      <c r="X40" s="758"/>
      <c r="Y40" s="3038"/>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30" t="str">
        <f>A41</f>
        <v>成交单价</v>
      </c>
      <c r="Q41" s="3030"/>
      <c r="R41" s="3067">
        <f>E41</f>
        <v>0</v>
      </c>
      <c r="S41" s="3067"/>
      <c r="T41" s="3067">
        <f>G41</f>
        <v>0</v>
      </c>
      <c r="U41" s="3067"/>
      <c r="V41" s="3067">
        <f>I41</f>
        <v>0</v>
      </c>
      <c r="W41" s="3067"/>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30" t="str">
        <f>A42</f>
        <v>比较价值（元/平方米）</v>
      </c>
      <c r="Q42" s="3030"/>
      <c r="R42" s="3080" t="e">
        <f>ROUND(PRODUCT(R41,AA7:AA40),0)</f>
        <v>#DIV/0!</v>
      </c>
      <c r="S42" s="3080"/>
      <c r="T42" s="3080" t="e">
        <f>ROUND(PRODUCT(T41,AB7:AB40),0)</f>
        <v>#DIV/0!</v>
      </c>
      <c r="U42" s="3080"/>
      <c r="V42" s="3080" t="e">
        <f>ROUND(PRODUCT(V41,AC7:AC40),0)</f>
        <v>#DIV/0!</v>
      </c>
      <c r="W42" s="308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27" t="str">
        <f>A43</f>
        <v>估价对象XX用房的比较价值（楼面单价，元/平方米）</v>
      </c>
      <c r="Q43" s="3028"/>
      <c r="R43" s="3081" t="e">
        <f>ROUND(AVERAGE(R42:V42),0)</f>
        <v>#DIV/0!</v>
      </c>
      <c r="S43" s="3081"/>
      <c r="T43" s="3081"/>
      <c r="U43" s="3081"/>
      <c r="V43" s="3081"/>
      <c r="W43" s="308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2569</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2570</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2571</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2572</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2573</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2574</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2575</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2014-11-1</v>
      </c>
      <c r="D63" s="1670">
        <f>EDATE(C63,-3)</f>
        <v>41852</v>
      </c>
      <c r="E63" s="1670">
        <f t="shared" ref="E63:O63" si="18">EDATE(D63,-3)</f>
        <v>41760</v>
      </c>
      <c r="F63" s="1670">
        <f t="shared" si="18"/>
        <v>41671</v>
      </c>
      <c r="G63" s="1670">
        <f t="shared" si="18"/>
        <v>41579</v>
      </c>
      <c r="H63" s="1670">
        <f t="shared" si="18"/>
        <v>41487</v>
      </c>
      <c r="I63" s="1670">
        <f t="shared" si="18"/>
        <v>41395</v>
      </c>
      <c r="J63" s="1670">
        <f t="shared" si="18"/>
        <v>41306</v>
      </c>
      <c r="K63" s="1670">
        <f t="shared" si="18"/>
        <v>41214</v>
      </c>
      <c r="L63" s="1670">
        <f t="shared" si="18"/>
        <v>41122</v>
      </c>
      <c r="M63" s="1670">
        <f t="shared" si="18"/>
        <v>41030</v>
      </c>
      <c r="N63" s="1670">
        <f t="shared" si="18"/>
        <v>40940</v>
      </c>
      <c r="O63" s="1670">
        <f t="shared" si="18"/>
        <v>40848</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2014-4</v>
      </c>
      <c r="D65" s="1671" t="str">
        <f t="shared" ref="D65:O65" si="19">YEAR(D63)&amp;"-"&amp;ROUNDUP(MONTH(D63)/3,0)</f>
        <v>2014-3</v>
      </c>
      <c r="E65" s="1671" t="str">
        <f t="shared" si="19"/>
        <v>2014-2</v>
      </c>
      <c r="F65" s="1671" t="str">
        <f t="shared" si="19"/>
        <v>2014-1</v>
      </c>
      <c r="G65" s="1671" t="str">
        <f t="shared" si="19"/>
        <v>2013-4</v>
      </c>
      <c r="H65" s="1671" t="str">
        <f t="shared" si="19"/>
        <v>2013-3</v>
      </c>
      <c r="I65" s="1671" t="str">
        <f t="shared" si="19"/>
        <v>2013-2</v>
      </c>
      <c r="J65" s="1671" t="str">
        <f t="shared" si="19"/>
        <v>2013-1</v>
      </c>
      <c r="K65" s="1671" t="str">
        <f t="shared" si="19"/>
        <v>2012-4</v>
      </c>
      <c r="L65" s="1671" t="str">
        <f t="shared" si="19"/>
        <v>2012-3</v>
      </c>
      <c r="M65" s="1671" t="str">
        <f t="shared" si="19"/>
        <v>2012-2</v>
      </c>
      <c r="N65" s="1671" t="str">
        <f t="shared" si="19"/>
        <v>2012-1</v>
      </c>
      <c r="O65" s="1671" t="str">
        <f t="shared" si="19"/>
        <v>2011-4</v>
      </c>
      <c r="P65" s="488"/>
    </row>
    <row r="66" spans="1:17" s="35" customFormat="1" ht="33.75" customHeight="1">
      <c r="A66" s="2503" t="s">
        <v>2597</v>
      </c>
      <c r="B66" s="284" t="str">
        <f>"北京市平均增长率"&amp;TEXT(基准地价修正!P24,"0.00%")</f>
        <v>北京市平均增长率1.12%</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估价对象为北京市房地产，为所有。根据《不动产权证书》[]，估价对象建筑面积为223.09平方米，（分摊）出让国有建设用地使用权面积为平方米。估价对象用途为。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2014年11月19日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本次估价的“房地产价值”是指在正常市场情况下，在价值时点2014年11月19日，估价对象规划用途为，假定未设立法定优先受偿款下的房地产市场价值。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t="str">
        <f>项目基本情况!F9</f>
        <v>一级</v>
      </c>
      <c r="H2" s="2513" t="s">
        <v>2610</v>
      </c>
      <c r="I2" s="2512" t="str">
        <f>项目基本情况!F10</f>
        <v>Ⅰ—04</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5"/>
      <c r="B4" s="3086"/>
      <c r="C4" s="3086"/>
      <c r="D4" s="3087"/>
      <c r="E4" s="3087"/>
      <c r="F4" s="3087"/>
      <c r="G4" s="3087"/>
      <c r="H4" s="3087"/>
      <c r="I4" s="3087"/>
      <c r="J4" s="3088"/>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89"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t="str">
        <f>G2</f>
        <v>一级</v>
      </c>
      <c r="Y7" s="1711" t="s">
        <v>2630</v>
      </c>
      <c r="Z7" s="1712">
        <f>G3</f>
        <v>0</v>
      </c>
      <c r="AA7" s="1713"/>
      <c r="AB7" s="1713"/>
      <c r="AC7" s="1714"/>
      <c r="AD7" s="1715"/>
      <c r="AE7" s="1715"/>
      <c r="AF7" s="1715"/>
      <c r="AG7" s="1715"/>
      <c r="AH7" s="1715"/>
      <c r="AI7" s="1715"/>
      <c r="AJ7" s="1716"/>
    </row>
    <row r="8" spans="1:36" ht="15">
      <c r="A8" s="3090"/>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2" t="s">
        <v>2634</v>
      </c>
      <c r="X8" s="308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90"/>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0"/>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0"/>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9"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8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1"/>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2"/>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9"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0"/>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7.4999999999999997E-2</v>
      </c>
      <c r="N17" s="128">
        <f ca="1">ROUND($E$20*(1+N16),3)</f>
        <v>7.1999999999999995E-2</v>
      </c>
      <c r="O17" s="128">
        <f ca="1">ROUND($E$20*(1+O16),3)</f>
        <v>6.9000000000000006E-2</v>
      </c>
      <c r="P17" s="1465">
        <f ca="1">ROUND($E$20*(1+P16),3)</f>
        <v>6.6000000000000003E-2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41962</v>
      </c>
      <c r="H19" s="2587" t="s">
        <v>2693</v>
      </c>
      <c r="I19" s="955" t="str">
        <f>IF(H19="季度增幅（自定义）",SUMIF(N21:N24,E2,O21:O24),"")</f>
        <v/>
      </c>
      <c r="J19" s="2583"/>
      <c r="K19" s="2584"/>
      <c r="L19" s="2588" t="s">
        <v>2694</v>
      </c>
      <c r="M19" s="1826">
        <f>ROUND(SUMIF(地价!B2:F2,E2,地价!B21:F21),0)</f>
        <v>0</v>
      </c>
      <c r="N19" s="1466" t="s">
        <v>2695</v>
      </c>
      <c r="O19" s="956">
        <f>ROUNDDOWN(DATEDIF(E19,G19,"M")/3,0)</f>
        <v>3</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0.06</v>
      </c>
      <c r="F20" s="2594" t="s">
        <v>2686</v>
      </c>
      <c r="G20" s="963">
        <f>SUMIF(M15:P15,E2,M17:P17)</f>
        <v>0</v>
      </c>
      <c r="H20" s="2594" t="s">
        <v>2699</v>
      </c>
      <c r="I20" s="964">
        <f>'数据-取费表'!B13</f>
        <v>54</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1.5599999999999999E-2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1.5599999999999999E-2</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t="e">
        <f>ROUND(IF(G3&gt;1,IF(I3&lt;7,SUMPRODUCT((B93:B98=I3)*(C92:N92=G2)*(C93:N98)),SUMIF(C92:N92,G2,C100:N100)),IF(I3&lt;7,SUMPRODUCT((B102:B107=I3)*(C92:N92=G2)*(C102:N107)),SUMIF(C92:N92,G2,C109:N109))),4)</f>
        <v>#DIV/0!</v>
      </c>
      <c r="D23" s="2564"/>
      <c r="E23" s="2564"/>
      <c r="F23" s="2606"/>
      <c r="G23" s="2607"/>
      <c r="H23" s="2608"/>
      <c r="I23" s="2609"/>
      <c r="J23" s="2610"/>
      <c r="N23" s="2603" t="s">
        <v>2711</v>
      </c>
      <c r="O23" s="1664"/>
      <c r="P23" s="1665">
        <f>SUMPRODUCT((地价!A3:A21=YEAR(G19)&amp;"-"&amp;ROUNDUP(MONTH(G19)/3,0))*(地价!AD2:AH2=N23)*(地价!AD3:AH21))</f>
        <v>1.66E-2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1.12E-2</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1.6E-2</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101" t="s">
        <v>2732</v>
      </c>
      <c r="B33" s="2650" t="s">
        <v>2733</v>
      </c>
      <c r="C33" s="123" t="e">
        <f>ROUND(D5*C19*C20*C24*F33,0)</f>
        <v>#DIV/0!</v>
      </c>
      <c r="D33" s="2635"/>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2"/>
      <c r="B34" s="2555" t="s">
        <v>2734</v>
      </c>
      <c r="C34" s="123" t="e">
        <f>ROUND(D5*C19*C20*C24*F34,0)</f>
        <v>#DIV/0!</v>
      </c>
      <c r="D34" s="2635"/>
      <c r="E34" s="117" t="e">
        <f t="shared" si="6"/>
        <v>#DIV/0!</v>
      </c>
      <c r="F34" s="117">
        <f>SUMIF(修正!A45:A56,G2,修正!C45:C56)</f>
        <v>0.5</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2"/>
      <c r="B35" s="2555" t="s">
        <v>2735</v>
      </c>
      <c r="C35" s="123" t="e">
        <f>ROUND(D5*C19*C20*C24*F35,0)</f>
        <v>#DIV/0!</v>
      </c>
      <c r="D35" s="2635"/>
      <c r="E35" s="117" t="e">
        <f t="shared" si="6"/>
        <v>#DIV/0!</v>
      </c>
      <c r="F35" s="117">
        <f>SUMIF(修正!A45:A56,G2,修正!D45:D56)</f>
        <v>0.36</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3"/>
      <c r="B36" s="2555" t="s">
        <v>2736</v>
      </c>
      <c r="C36" s="123" t="e">
        <f>ROUND(D5*C19*C20*C24*F36,0)</f>
        <v>#DIV/0!</v>
      </c>
      <c r="D36" s="2635"/>
      <c r="E36" s="117" t="e">
        <f t="shared" si="6"/>
        <v>#DIV/0!</v>
      </c>
      <c r="F36" s="117">
        <f>SUMIF(修正!A45:A56,G2,修正!E45:E56)</f>
        <v>0.3</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0.3</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0.3</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0.25</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2758</v>
      </c>
      <c r="B48" s="2674" t="str">
        <f>估价对象房地状况!C16</f>
        <v>估价对象位于XX商圈，周边商业氛围成熟，人流量大，商业繁华度好</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估价对象周边有44路、58路、139路、特2路、特12路等多条公交线路及地铁2、6号线换乘站（朝阳门站），综合评价交通便捷度较好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5.5">
      <c r="A52" s="2671" t="s">
        <v>2763</v>
      </c>
      <c r="B52" s="2675" t="str">
        <f>估价对象房地状况!C24</f>
        <v>城市次干道——外交部南街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4">
      <c r="A55" s="2678" t="s">
        <v>2767</v>
      </c>
      <c r="B55" s="2675" t="str">
        <f>估价对象房地状况!C22</f>
        <v>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64.5" thickBot="1">
      <c r="A56" s="2680" t="s">
        <v>2768</v>
      </c>
      <c r="B56" s="2681" t="str">
        <f>估价对象房地状况!C20</f>
        <v>区域自然环境：日坛公园；人文环境：朝阳区政府、中国司法部、使馆区；综合评价环境状况较好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38.25">
      <c r="A59" s="2671" t="s">
        <v>2773</v>
      </c>
      <c r="B59" s="2674" t="str">
        <f>估价对象房地状况!C17</f>
        <v>估价对象位于XX商圈，周边办公楼项目较多，入驻率高，办公集聚程度较好</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估价对象周边有44路、58路、139路、特2路、特12路等多条公交线路及地铁2、6号线换乘站（朝阳门站），综合评价交通便捷度较好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5.5">
      <c r="A63" s="2671" t="s">
        <v>2763</v>
      </c>
      <c r="B63" s="2675" t="str">
        <f>估价对象房地状况!C24</f>
        <v>城市次干道——外交部南街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4">
      <c r="A66" s="2671" t="s">
        <v>2767</v>
      </c>
      <c r="B66" s="2679" t="str">
        <f>估价对象房地状况!C22</f>
        <v>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64.5" thickBot="1">
      <c r="A67" s="2680" t="s">
        <v>2768</v>
      </c>
      <c r="B67" s="2683" t="str">
        <f>估价对象房地状况!C20</f>
        <v>区域自然环境：日坛公园；人文环境：朝阳区政府、中国司法部、使馆区；综合评价环境状况较好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63.75">
      <c r="A70" s="2671" t="s">
        <v>2775</v>
      </c>
      <c r="B70" s="2674" t="str">
        <f>估价对象房地状况!C15</f>
        <v>估价对象周边有雅宝里社区、三丰里社区、建国门外外交公寓、大方家社区等，综合评价居住社区成熟度较好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估价对象周边有44路、58路、139路、特2路、特12路等多条公交线路及地铁2、6号线换乘站（朝阳门站），综合评价交通便捷度较好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25.5">
      <c r="A73" s="2671" t="s">
        <v>2776</v>
      </c>
      <c r="B73" s="2675" t="str">
        <f>估价对象房地状况!C24</f>
        <v>城市次干道——外交部南街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4">
      <c r="A75" s="2671" t="s">
        <v>2767</v>
      </c>
      <c r="B75" s="2679" t="str">
        <f>估价对象房地状况!C22</f>
        <v>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63.75">
      <c r="A77" s="2671" t="s">
        <v>2768</v>
      </c>
      <c r="B77" s="2674" t="str">
        <f>估价对象房地状况!C20</f>
        <v>区域自然环境：日坛公园；人文环境：朝阳区政府、中国司法部、使馆区；综合评价环境状况较好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93" t="s">
        <v>2781</v>
      </c>
      <c r="B90" s="3093"/>
      <c r="C90" s="3093"/>
      <c r="D90" s="3093"/>
      <c r="E90" s="3093"/>
      <c r="F90" s="3093"/>
      <c r="G90" s="3093"/>
      <c r="H90" s="3093"/>
      <c r="I90" s="3093"/>
      <c r="J90" s="3093"/>
      <c r="K90" s="2688"/>
      <c r="L90" s="2688"/>
      <c r="M90" s="2688"/>
      <c r="N90" s="2688"/>
    </row>
    <row r="91" spans="1:37">
      <c r="A91" s="3095" t="s">
        <v>2782</v>
      </c>
      <c r="B91" s="3095" t="s">
        <v>2783</v>
      </c>
      <c r="C91" s="2636" t="s">
        <v>2784</v>
      </c>
      <c r="D91" s="2637"/>
      <c r="E91" s="2637"/>
      <c r="F91" s="2637"/>
      <c r="G91" s="2637"/>
      <c r="H91" s="2637"/>
      <c r="I91" s="2637"/>
      <c r="J91" s="2689"/>
      <c r="K91" s="2690"/>
      <c r="L91" s="2690"/>
      <c r="M91" s="2690"/>
      <c r="N91" s="2690"/>
    </row>
    <row r="92" spans="1:37">
      <c r="A92" s="3095"/>
      <c r="B92" s="309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96"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9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9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9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9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9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97"/>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9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96"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9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9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9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9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9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9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97"/>
      <c r="B108" s="3099"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98"/>
      <c r="B109" s="310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94" t="s">
        <v>2789</v>
      </c>
      <c r="B110" s="3094"/>
      <c r="C110" s="3094"/>
      <c r="D110" s="3094"/>
      <c r="E110" s="3094"/>
      <c r="F110" s="3094"/>
      <c r="G110" s="3094"/>
      <c r="H110" s="3094"/>
      <c r="I110" s="3094"/>
      <c r="J110" s="3094"/>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t="str">
        <f>G2</f>
        <v>一级</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4" t="s">
        <v>788</v>
      </c>
      <c r="B1" s="3104"/>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估价对象周边有44路、58路、139路、特2路、特12路等多条公交线路及地铁2、6号线换乘站（朝阳门站），综合评价交通便捷度较好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城市次干道——外交部南街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区域自然环境：日坛公园；人文环境：朝阳区政府、中国司法部、使馆区；综合评价环境状况较好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估价对象周边有44路、58路、139路、特2路、特12路等多条公交线路及地铁2、6号线换乘站（朝阳门站），综合评价交通便捷度较好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城市次干道——外交部南街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区域自然环境：日坛公园；人文环境：朝阳区政府、中国司法部、使馆区；综合评价环境状况较好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估价对象周边有雅宝里社区、三丰里社区、建国门外外交公寓、大方家社区等，综合评价居住社区成熟度较好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估价对象周边有44路、58路、139路、特2路、特12路等多条公交线路及地铁2、6号线换乘站（朝阳门站），综合评价交通便捷度较好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城市次干道——外交部南街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区域自然环境：日坛公园；人文环境：朝阳区政府、中国司法部、使馆区；综合评价环境状况较好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4" t="s">
        <v>105</v>
      </c>
      <c r="B1" s="3104"/>
      <c r="C1" s="3104"/>
      <c r="D1" s="3104"/>
      <c r="E1" s="3104"/>
      <c r="F1" s="310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5" t="s">
        <v>118</v>
      </c>
      <c r="B2" s="3105"/>
      <c r="C2" s="3105"/>
      <c r="D2" s="3105"/>
      <c r="E2" s="3105"/>
      <c r="F2" s="310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8" t="s">
        <v>132</v>
      </c>
      <c r="B18" s="907" t="s">
        <v>517</v>
      </c>
      <c r="C18" s="908" t="s">
        <v>518</v>
      </c>
      <c r="D18" s="909"/>
      <c r="E18" s="907">
        <v>1</v>
      </c>
      <c r="F18" s="910" t="s">
        <v>519</v>
      </c>
      <c r="G18" s="911"/>
      <c r="H18" s="903"/>
      <c r="I18" s="903"/>
    </row>
    <row r="19" spans="1:9" s="912" customFormat="1" ht="19.5" customHeight="1">
      <c r="A19" s="3108"/>
      <c r="B19" s="3108" t="s">
        <v>520</v>
      </c>
      <c r="C19" s="908" t="s">
        <v>521</v>
      </c>
      <c r="D19" s="909"/>
      <c r="E19" s="907">
        <v>0.9</v>
      </c>
      <c r="F19" s="910" t="s">
        <v>522</v>
      </c>
      <c r="G19" s="911"/>
      <c r="H19" s="903"/>
      <c r="I19" s="903"/>
    </row>
    <row r="20" spans="1:9" s="912" customFormat="1" ht="19.5" customHeight="1">
      <c r="A20" s="3108"/>
      <c r="B20" s="3108"/>
      <c r="C20" s="908" t="s">
        <v>523</v>
      </c>
      <c r="D20" s="909"/>
      <c r="E20" s="907">
        <v>1.1000000000000001</v>
      </c>
      <c r="F20" s="910" t="s">
        <v>524</v>
      </c>
      <c r="G20" s="911"/>
      <c r="H20" s="903"/>
      <c r="I20" s="903"/>
    </row>
    <row r="21" spans="1:9" s="912" customFormat="1" ht="19.5" customHeight="1">
      <c r="A21" s="3108"/>
      <c r="B21" s="3108"/>
      <c r="C21" s="908" t="s">
        <v>525</v>
      </c>
      <c r="D21" s="909"/>
      <c r="E21" s="907">
        <v>0.8</v>
      </c>
      <c r="F21" s="910" t="s">
        <v>526</v>
      </c>
      <c r="G21" s="911"/>
      <c r="H21" s="903"/>
      <c r="I21" s="903"/>
    </row>
    <row r="22" spans="1:9" s="912" customFormat="1" ht="19.5" customHeight="1">
      <c r="A22" s="3108"/>
      <c r="B22" s="3108"/>
      <c r="C22" s="908" t="s">
        <v>527</v>
      </c>
      <c r="D22" s="909"/>
      <c r="E22" s="907">
        <v>0.5</v>
      </c>
      <c r="F22" s="910"/>
      <c r="G22" s="911"/>
      <c r="H22" s="903"/>
      <c r="I22" s="903"/>
    </row>
    <row r="23" spans="1:9" s="912" customFormat="1" ht="19.5" customHeight="1">
      <c r="A23" s="3108" t="s">
        <v>133</v>
      </c>
      <c r="B23" s="907" t="s">
        <v>517</v>
      </c>
      <c r="C23" s="908" t="s">
        <v>528</v>
      </c>
      <c r="D23" s="909"/>
      <c r="E23" s="907">
        <v>1</v>
      </c>
      <c r="F23" s="910" t="s">
        <v>529</v>
      </c>
      <c r="G23" s="911"/>
      <c r="H23" s="903"/>
      <c r="I23" s="903"/>
    </row>
    <row r="24" spans="1:9" s="912" customFormat="1" ht="19.5" customHeight="1">
      <c r="A24" s="3108"/>
      <c r="B24" s="3108" t="s">
        <v>520</v>
      </c>
      <c r="C24" s="908" t="s">
        <v>530</v>
      </c>
      <c r="D24" s="909"/>
      <c r="E24" s="907">
        <v>0.5</v>
      </c>
      <c r="F24" s="910"/>
      <c r="G24" s="911"/>
      <c r="H24" s="903"/>
      <c r="I24" s="903"/>
    </row>
    <row r="25" spans="1:9" s="912" customFormat="1" ht="19.5" customHeight="1">
      <c r="A25" s="3108"/>
      <c r="B25" s="3108"/>
      <c r="C25" s="908" t="s">
        <v>531</v>
      </c>
      <c r="D25" s="909"/>
      <c r="E25" s="907">
        <v>1.1000000000000001</v>
      </c>
      <c r="F25" s="910"/>
      <c r="G25" s="911"/>
      <c r="H25" s="903"/>
      <c r="I25" s="903"/>
    </row>
    <row r="26" spans="1:9" s="912" customFormat="1" ht="19.5" customHeight="1">
      <c r="A26" s="3108"/>
      <c r="B26" s="3108"/>
      <c r="C26" s="908" t="s">
        <v>532</v>
      </c>
      <c r="D26" s="909"/>
      <c r="E26" s="907">
        <v>1.1000000000000001</v>
      </c>
      <c r="F26" s="910"/>
      <c r="G26" s="911"/>
      <c r="H26" s="903"/>
      <c r="I26" s="903"/>
    </row>
    <row r="27" spans="1:9" s="912" customFormat="1" ht="19.5" customHeight="1">
      <c r="A27" s="3108"/>
      <c r="B27" s="3108"/>
      <c r="C27" s="908" t="s">
        <v>533</v>
      </c>
      <c r="D27" s="909"/>
      <c r="E27" s="907">
        <v>0.9</v>
      </c>
      <c r="F27" s="910" t="s">
        <v>534</v>
      </c>
      <c r="G27" s="911"/>
      <c r="H27" s="903"/>
      <c r="I27" s="903"/>
    </row>
    <row r="28" spans="1:9" s="912" customFormat="1" ht="19.5" customHeight="1">
      <c r="A28" s="3108"/>
      <c r="B28" s="3108"/>
      <c r="C28" s="908" t="s">
        <v>535</v>
      </c>
      <c r="D28" s="909"/>
      <c r="E28" s="907">
        <v>0.9</v>
      </c>
      <c r="F28" s="910" t="s">
        <v>536</v>
      </c>
      <c r="G28" s="911"/>
      <c r="H28" s="903"/>
      <c r="I28" s="903"/>
    </row>
    <row r="29" spans="1:9" s="912" customFormat="1" ht="19.5" customHeight="1">
      <c r="A29" s="3108"/>
      <c r="B29" s="3108"/>
      <c r="C29" s="908" t="s">
        <v>537</v>
      </c>
      <c r="D29" s="909"/>
      <c r="E29" s="907">
        <v>0.9</v>
      </c>
      <c r="F29" s="910" t="s">
        <v>538</v>
      </c>
      <c r="G29" s="911"/>
      <c r="H29" s="903"/>
      <c r="I29" s="903"/>
    </row>
    <row r="30" spans="1:9" s="912" customFormat="1" ht="19.5" customHeight="1">
      <c r="A30" s="3108"/>
      <c r="B30" s="3108"/>
      <c r="C30" s="908" t="s">
        <v>539</v>
      </c>
      <c r="D30" s="909"/>
      <c r="E30" s="907">
        <v>0.9</v>
      </c>
      <c r="F30" s="910" t="s">
        <v>540</v>
      </c>
      <c r="G30" s="911"/>
      <c r="H30" s="903"/>
      <c r="I30" s="903"/>
    </row>
    <row r="31" spans="1:9" s="912" customFormat="1" ht="19.5" customHeight="1">
      <c r="A31" s="3108"/>
      <c r="B31" s="3108"/>
      <c r="C31" s="908" t="s">
        <v>541</v>
      </c>
      <c r="D31" s="909"/>
      <c r="E31" s="907">
        <v>0.8</v>
      </c>
      <c r="F31" s="910" t="s">
        <v>542</v>
      </c>
      <c r="G31" s="911"/>
      <c r="H31" s="903"/>
      <c r="I31" s="903"/>
    </row>
    <row r="32" spans="1:9" s="912" customFormat="1" ht="19.5" customHeight="1">
      <c r="A32" s="3108"/>
      <c r="B32" s="3108"/>
      <c r="C32" s="908" t="s">
        <v>543</v>
      </c>
      <c r="D32" s="909"/>
      <c r="E32" s="907">
        <v>0.8</v>
      </c>
      <c r="F32" s="910" t="s">
        <v>544</v>
      </c>
      <c r="G32" s="911"/>
      <c r="H32" s="903"/>
      <c r="I32" s="903"/>
    </row>
    <row r="33" spans="1:9" s="912" customFormat="1" ht="19.5" customHeight="1">
      <c r="A33" s="3108" t="s">
        <v>134</v>
      </c>
      <c r="B33" s="907" t="s">
        <v>517</v>
      </c>
      <c r="C33" s="908" t="s">
        <v>545</v>
      </c>
      <c r="D33" s="909"/>
      <c r="E33" s="907">
        <v>1</v>
      </c>
      <c r="F33" s="910" t="s">
        <v>546</v>
      </c>
      <c r="G33" s="911"/>
      <c r="H33" s="903"/>
      <c r="I33" s="903"/>
    </row>
    <row r="34" spans="1:9" s="912" customFormat="1" ht="19.5" customHeight="1">
      <c r="A34" s="3108"/>
      <c r="B34" s="907" t="s">
        <v>520</v>
      </c>
      <c r="C34" s="908" t="s">
        <v>547</v>
      </c>
      <c r="D34" s="909"/>
      <c r="E34" s="907">
        <v>1.5</v>
      </c>
      <c r="F34" s="910" t="s">
        <v>548</v>
      </c>
      <c r="G34" s="911"/>
      <c r="H34" s="903"/>
      <c r="I34" s="903"/>
    </row>
    <row r="35" spans="1:9" s="912" customFormat="1" ht="19.5" customHeight="1">
      <c r="A35" s="3108" t="s">
        <v>135</v>
      </c>
      <c r="B35" s="907" t="s">
        <v>517</v>
      </c>
      <c r="C35" s="908" t="s">
        <v>549</v>
      </c>
      <c r="D35" s="909"/>
      <c r="E35" s="907">
        <v>1</v>
      </c>
      <c r="F35" s="910" t="s">
        <v>550</v>
      </c>
      <c r="G35" s="911"/>
      <c r="H35" s="903"/>
      <c r="I35" s="903"/>
    </row>
    <row r="36" spans="1:9" s="912" customFormat="1" ht="19.5" customHeight="1">
      <c r="A36" s="3108"/>
      <c r="B36" s="3108" t="s">
        <v>520</v>
      </c>
      <c r="C36" s="908" t="s">
        <v>551</v>
      </c>
      <c r="D36" s="909"/>
      <c r="E36" s="907">
        <v>1</v>
      </c>
      <c r="F36" s="910" t="s">
        <v>552</v>
      </c>
      <c r="G36" s="911"/>
      <c r="H36" s="903"/>
      <c r="I36" s="903"/>
    </row>
    <row r="37" spans="1:9" s="912" customFormat="1" ht="19.5" customHeight="1">
      <c r="A37" s="3108"/>
      <c r="B37" s="3108"/>
      <c r="C37" s="908" t="s">
        <v>553</v>
      </c>
      <c r="D37" s="909"/>
      <c r="E37" s="907">
        <v>1.5</v>
      </c>
      <c r="F37" s="910" t="s">
        <v>554</v>
      </c>
      <c r="G37" s="911"/>
      <c r="H37" s="903"/>
      <c r="I37" s="903"/>
    </row>
    <row r="38" spans="1:9" s="912" customFormat="1" ht="19.5" customHeight="1">
      <c r="A38" s="3108"/>
      <c r="B38" s="3108"/>
      <c r="C38" s="908" t="s">
        <v>555</v>
      </c>
      <c r="D38" s="909"/>
      <c r="E38" s="907">
        <v>1</v>
      </c>
      <c r="F38" s="910" t="s">
        <v>556</v>
      </c>
      <c r="G38" s="911"/>
      <c r="H38" s="903"/>
      <c r="I38" s="903"/>
    </row>
    <row r="39" spans="1:9" s="912" customFormat="1" ht="19.5" customHeight="1">
      <c r="A39" s="3108"/>
      <c r="B39" s="310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8" t="s">
        <v>571</v>
      </c>
      <c r="C61" s="821" t="s">
        <v>572</v>
      </c>
      <c r="D61" s="821" t="s">
        <v>573</v>
      </c>
      <c r="E61" s="920">
        <v>0.5</v>
      </c>
      <c r="F61" s="907">
        <v>80</v>
      </c>
    </row>
    <row r="62" spans="1:8" s="903" customFormat="1" ht="24">
      <c r="A62" s="907">
        <v>2</v>
      </c>
      <c r="B62" s="3108"/>
      <c r="C62" s="821" t="s">
        <v>574</v>
      </c>
      <c r="D62" s="821" t="s">
        <v>575</v>
      </c>
      <c r="E62" s="920">
        <v>0.5</v>
      </c>
      <c r="F62" s="907">
        <v>80</v>
      </c>
    </row>
    <row r="63" spans="1:8" s="903" customFormat="1" ht="36">
      <c r="A63" s="907">
        <v>3</v>
      </c>
      <c r="B63" s="3108"/>
      <c r="C63" s="821" t="s">
        <v>576</v>
      </c>
      <c r="D63" s="821" t="s">
        <v>577</v>
      </c>
      <c r="E63" s="920">
        <v>0.5</v>
      </c>
      <c r="F63" s="907">
        <v>80</v>
      </c>
    </row>
    <row r="64" spans="1:8" s="903" customFormat="1" ht="36">
      <c r="A64" s="907">
        <v>4</v>
      </c>
      <c r="B64" s="3108"/>
      <c r="C64" s="821" t="s">
        <v>578</v>
      </c>
      <c r="D64" s="821" t="s">
        <v>579</v>
      </c>
      <c r="E64" s="920">
        <v>0.4</v>
      </c>
      <c r="F64" s="907">
        <v>60</v>
      </c>
    </row>
    <row r="65" spans="1:6" s="903" customFormat="1" ht="36">
      <c r="A65" s="907">
        <v>5</v>
      </c>
      <c r="B65" s="3108"/>
      <c r="C65" s="821" t="s">
        <v>580</v>
      </c>
      <c r="D65" s="821" t="s">
        <v>581</v>
      </c>
      <c r="E65" s="920">
        <v>0.2</v>
      </c>
      <c r="F65" s="907">
        <v>30</v>
      </c>
    </row>
    <row r="66" spans="1:6" s="903" customFormat="1" ht="36">
      <c r="A66" s="907">
        <v>6</v>
      </c>
      <c r="B66" s="3108"/>
      <c r="C66" s="821" t="s">
        <v>582</v>
      </c>
      <c r="D66" s="821" t="s">
        <v>583</v>
      </c>
      <c r="E66" s="920">
        <v>0.3</v>
      </c>
      <c r="F66" s="907">
        <v>50</v>
      </c>
    </row>
    <row r="67" spans="1:6" s="903" customFormat="1" ht="36">
      <c r="A67" s="907">
        <v>7</v>
      </c>
      <c r="B67" s="3108"/>
      <c r="C67" s="821" t="s">
        <v>584</v>
      </c>
      <c r="D67" s="821" t="s">
        <v>585</v>
      </c>
      <c r="E67" s="920">
        <v>0.2</v>
      </c>
      <c r="F67" s="907">
        <v>30</v>
      </c>
    </row>
    <row r="68" spans="1:6" s="903" customFormat="1" ht="36">
      <c r="A68" s="907">
        <v>8</v>
      </c>
      <c r="B68" s="3108"/>
      <c r="C68" s="821" t="s">
        <v>586</v>
      </c>
      <c r="D68" s="821" t="s">
        <v>587</v>
      </c>
      <c r="E68" s="920">
        <v>0.2</v>
      </c>
      <c r="F68" s="907">
        <v>30</v>
      </c>
    </row>
    <row r="69" spans="1:6" s="903" customFormat="1" ht="36">
      <c r="A69" s="907">
        <v>9</v>
      </c>
      <c r="B69" s="3108"/>
      <c r="C69" s="821" t="s">
        <v>588</v>
      </c>
      <c r="D69" s="821" t="s">
        <v>589</v>
      </c>
      <c r="E69" s="920">
        <v>0.2</v>
      </c>
      <c r="F69" s="907">
        <v>30</v>
      </c>
    </row>
    <row r="70" spans="1:6" s="903" customFormat="1" ht="48">
      <c r="A70" s="907">
        <v>10</v>
      </c>
      <c r="B70" s="3108"/>
      <c r="C70" s="821" t="s">
        <v>590</v>
      </c>
      <c r="D70" s="821" t="s">
        <v>591</v>
      </c>
      <c r="E70" s="920">
        <v>0.2</v>
      </c>
      <c r="F70" s="907">
        <v>30</v>
      </c>
    </row>
    <row r="71" spans="1:6" s="903" customFormat="1" ht="48">
      <c r="A71" s="907">
        <v>11</v>
      </c>
      <c r="B71" s="3108"/>
      <c r="C71" s="821" t="s">
        <v>592</v>
      </c>
      <c r="D71" s="821" t="s">
        <v>593</v>
      </c>
      <c r="E71" s="920">
        <v>0.2</v>
      </c>
      <c r="F71" s="907">
        <v>30</v>
      </c>
    </row>
    <row r="72" spans="1:6" s="903" customFormat="1" ht="36">
      <c r="A72" s="907">
        <v>12</v>
      </c>
      <c r="B72" s="3108"/>
      <c r="C72" s="821" t="s">
        <v>594</v>
      </c>
      <c r="D72" s="821" t="s">
        <v>595</v>
      </c>
      <c r="E72" s="920">
        <v>0.5</v>
      </c>
      <c r="F72" s="907">
        <v>80</v>
      </c>
    </row>
    <row r="73" spans="1:6" s="903" customFormat="1" ht="24">
      <c r="A73" s="907">
        <v>13</v>
      </c>
      <c r="B73" s="3108"/>
      <c r="C73" s="821" t="s">
        <v>596</v>
      </c>
      <c r="D73" s="821" t="s">
        <v>597</v>
      </c>
      <c r="E73" s="920">
        <v>0.4</v>
      </c>
      <c r="F73" s="907">
        <v>60</v>
      </c>
    </row>
    <row r="74" spans="1:6" s="903" customFormat="1" ht="24">
      <c r="A74" s="907">
        <v>14</v>
      </c>
      <c r="B74" s="3108"/>
      <c r="C74" s="821" t="s">
        <v>598</v>
      </c>
      <c r="D74" s="821" t="s">
        <v>599</v>
      </c>
      <c r="E74" s="920">
        <v>0.2</v>
      </c>
      <c r="F74" s="907">
        <v>30</v>
      </c>
    </row>
    <row r="75" spans="1:6" s="903" customFormat="1" ht="24">
      <c r="A75" s="907">
        <v>15</v>
      </c>
      <c r="B75" s="3108"/>
      <c r="C75" s="821" t="s">
        <v>600</v>
      </c>
      <c r="D75" s="821" t="s">
        <v>601</v>
      </c>
      <c r="E75" s="920">
        <v>0.2</v>
      </c>
      <c r="F75" s="907">
        <v>30</v>
      </c>
    </row>
    <row r="76" spans="1:6" s="903" customFormat="1" ht="24">
      <c r="A76" s="907">
        <v>16</v>
      </c>
      <c r="B76" s="3108" t="s">
        <v>602</v>
      </c>
      <c r="C76" s="821" t="s">
        <v>603</v>
      </c>
      <c r="D76" s="821" t="s">
        <v>604</v>
      </c>
      <c r="E76" s="920">
        <v>0.5</v>
      </c>
      <c r="F76" s="907">
        <v>80</v>
      </c>
    </row>
    <row r="77" spans="1:6" s="903" customFormat="1" ht="24">
      <c r="A77" s="907">
        <v>17</v>
      </c>
      <c r="B77" s="3108"/>
      <c r="C77" s="821" t="s">
        <v>605</v>
      </c>
      <c r="D77" s="821" t="s">
        <v>606</v>
      </c>
      <c r="E77" s="920">
        <v>0.5</v>
      </c>
      <c r="F77" s="907">
        <v>80</v>
      </c>
    </row>
    <row r="78" spans="1:6" s="903" customFormat="1" ht="24">
      <c r="A78" s="907">
        <v>18</v>
      </c>
      <c r="B78" s="3108"/>
      <c r="C78" s="821" t="s">
        <v>607</v>
      </c>
      <c r="D78" s="821" t="s">
        <v>608</v>
      </c>
      <c r="E78" s="920">
        <v>0.2</v>
      </c>
      <c r="F78" s="907">
        <v>30</v>
      </c>
    </row>
    <row r="79" spans="1:6" s="903" customFormat="1" ht="24">
      <c r="A79" s="907">
        <v>19</v>
      </c>
      <c r="B79" s="3108"/>
      <c r="C79" s="821" t="s">
        <v>609</v>
      </c>
      <c r="D79" s="821" t="s">
        <v>610</v>
      </c>
      <c r="E79" s="920">
        <v>0.5</v>
      </c>
      <c r="F79" s="907">
        <v>80</v>
      </c>
    </row>
    <row r="80" spans="1:6" s="903" customFormat="1" ht="36">
      <c r="A80" s="907">
        <v>20</v>
      </c>
      <c r="B80" s="3108"/>
      <c r="C80" s="821" t="s">
        <v>611</v>
      </c>
      <c r="D80" s="821" t="s">
        <v>612</v>
      </c>
      <c r="E80" s="920">
        <v>0.2</v>
      </c>
      <c r="F80" s="907">
        <v>30</v>
      </c>
    </row>
    <row r="81" spans="1:6" s="903" customFormat="1" ht="36">
      <c r="A81" s="907">
        <v>21</v>
      </c>
      <c r="B81" s="3108"/>
      <c r="C81" s="821" t="s">
        <v>613</v>
      </c>
      <c r="D81" s="821" t="s">
        <v>614</v>
      </c>
      <c r="E81" s="920">
        <v>0.2</v>
      </c>
      <c r="F81" s="907">
        <v>30</v>
      </c>
    </row>
    <row r="82" spans="1:6" s="903" customFormat="1" ht="48">
      <c r="A82" s="907">
        <v>22</v>
      </c>
      <c r="B82" s="3108"/>
      <c r="C82" s="821" t="s">
        <v>615</v>
      </c>
      <c r="D82" s="821" t="s">
        <v>616</v>
      </c>
      <c r="E82" s="920">
        <v>0.2</v>
      </c>
      <c r="F82" s="907">
        <v>30</v>
      </c>
    </row>
    <row r="83" spans="1:6" s="903" customFormat="1" ht="48">
      <c r="A83" s="907">
        <v>23</v>
      </c>
      <c r="B83" s="3108"/>
      <c r="C83" s="821" t="s">
        <v>617</v>
      </c>
      <c r="D83" s="821" t="s">
        <v>618</v>
      </c>
      <c r="E83" s="920">
        <v>0.2</v>
      </c>
      <c r="F83" s="907">
        <v>30</v>
      </c>
    </row>
    <row r="84" spans="1:6" s="903" customFormat="1" ht="36">
      <c r="A84" s="907">
        <v>24</v>
      </c>
      <c r="B84" s="3108"/>
      <c r="C84" s="821" t="s">
        <v>619</v>
      </c>
      <c r="D84" s="821" t="s">
        <v>620</v>
      </c>
      <c r="E84" s="920">
        <v>0.2</v>
      </c>
      <c r="F84" s="907">
        <v>30</v>
      </c>
    </row>
    <row r="85" spans="1:6" s="903" customFormat="1" ht="36">
      <c r="A85" s="907">
        <v>25</v>
      </c>
      <c r="B85" s="3108"/>
      <c r="C85" s="821" t="s">
        <v>621</v>
      </c>
      <c r="D85" s="821" t="s">
        <v>622</v>
      </c>
      <c r="E85" s="920">
        <v>0.5</v>
      </c>
      <c r="F85" s="907">
        <v>80</v>
      </c>
    </row>
    <row r="86" spans="1:6" s="903" customFormat="1" ht="36">
      <c r="A86" s="907">
        <v>26</v>
      </c>
      <c r="B86" s="3108"/>
      <c r="C86" s="821" t="s">
        <v>623</v>
      </c>
      <c r="D86" s="821" t="s">
        <v>624</v>
      </c>
      <c r="E86" s="920">
        <v>0.2</v>
      </c>
      <c r="F86" s="907">
        <v>30</v>
      </c>
    </row>
    <row r="87" spans="1:6" s="903" customFormat="1" ht="36">
      <c r="A87" s="907">
        <v>27</v>
      </c>
      <c r="B87" s="3108"/>
      <c r="C87" s="821" t="s">
        <v>625</v>
      </c>
      <c r="D87" s="821" t="s">
        <v>626</v>
      </c>
      <c r="E87" s="920">
        <v>0.2</v>
      </c>
      <c r="F87" s="907">
        <v>30</v>
      </c>
    </row>
    <row r="88" spans="1:6" s="903" customFormat="1" ht="36">
      <c r="A88" s="907">
        <v>28</v>
      </c>
      <c r="B88" s="3108"/>
      <c r="C88" s="821" t="s">
        <v>627</v>
      </c>
      <c r="D88" s="821" t="s">
        <v>628</v>
      </c>
      <c r="E88" s="920">
        <v>0.2</v>
      </c>
      <c r="F88" s="907">
        <v>30</v>
      </c>
    </row>
    <row r="89" spans="1:6" s="903" customFormat="1" ht="24">
      <c r="A89" s="907">
        <v>29</v>
      </c>
      <c r="B89" s="3108"/>
      <c r="C89" s="821" t="s">
        <v>629</v>
      </c>
      <c r="D89" s="821" t="s">
        <v>630</v>
      </c>
      <c r="E89" s="920">
        <v>0.2</v>
      </c>
      <c r="F89" s="907">
        <v>30</v>
      </c>
    </row>
    <row r="90" spans="1:6" s="903" customFormat="1" ht="24">
      <c r="A90" s="907">
        <v>30</v>
      </c>
      <c r="B90" s="3108"/>
      <c r="C90" s="821" t="s">
        <v>631</v>
      </c>
      <c r="D90" s="821" t="s">
        <v>632</v>
      </c>
      <c r="E90" s="920">
        <v>0.2</v>
      </c>
      <c r="F90" s="907">
        <v>30</v>
      </c>
    </row>
    <row r="91" spans="1:6" s="903" customFormat="1" ht="36">
      <c r="A91" s="907">
        <v>31</v>
      </c>
      <c r="B91" s="3108"/>
      <c r="C91" s="821" t="s">
        <v>633</v>
      </c>
      <c r="D91" s="821" t="s">
        <v>634</v>
      </c>
      <c r="E91" s="920">
        <v>0.2</v>
      </c>
      <c r="F91" s="907">
        <v>30</v>
      </c>
    </row>
    <row r="92" spans="1:6" s="903" customFormat="1" ht="24">
      <c r="A92" s="907">
        <v>32</v>
      </c>
      <c r="B92" s="3108" t="s">
        <v>635</v>
      </c>
      <c r="C92" s="907" t="s">
        <v>636</v>
      </c>
      <c r="D92" s="821" t="s">
        <v>637</v>
      </c>
      <c r="E92" s="920">
        <v>0.2</v>
      </c>
      <c r="F92" s="907">
        <v>30</v>
      </c>
    </row>
    <row r="93" spans="1:6" s="903" customFormat="1" ht="36">
      <c r="A93" s="907">
        <v>33</v>
      </c>
      <c r="B93" s="3108"/>
      <c r="C93" s="907" t="s">
        <v>638</v>
      </c>
      <c r="D93" s="821" t="s">
        <v>639</v>
      </c>
      <c r="E93" s="920">
        <v>0.2</v>
      </c>
      <c r="F93" s="907">
        <v>30</v>
      </c>
    </row>
    <row r="94" spans="1:6" s="903" customFormat="1" ht="48">
      <c r="A94" s="907">
        <v>34</v>
      </c>
      <c r="B94" s="3108"/>
      <c r="C94" s="907" t="s">
        <v>640</v>
      </c>
      <c r="D94" s="821" t="s">
        <v>641</v>
      </c>
      <c r="E94" s="920">
        <v>0.2</v>
      </c>
      <c r="F94" s="907">
        <v>30</v>
      </c>
    </row>
    <row r="95" spans="1:6" s="903" customFormat="1" ht="36">
      <c r="A95" s="907">
        <v>35</v>
      </c>
      <c r="B95" s="3108"/>
      <c r="C95" s="907" t="s">
        <v>642</v>
      </c>
      <c r="D95" s="821" t="s">
        <v>643</v>
      </c>
      <c r="E95" s="920">
        <v>0.2</v>
      </c>
      <c r="F95" s="907">
        <v>30</v>
      </c>
    </row>
    <row r="96" spans="1:6" s="903" customFormat="1" ht="48">
      <c r="A96" s="907">
        <v>36</v>
      </c>
      <c r="B96" s="3108"/>
      <c r="C96" s="821" t="s">
        <v>644</v>
      </c>
      <c r="D96" s="821" t="s">
        <v>645</v>
      </c>
      <c r="E96" s="920">
        <v>0.2</v>
      </c>
      <c r="F96" s="907">
        <v>30</v>
      </c>
    </row>
    <row r="97" spans="1:6" s="903" customFormat="1" ht="36">
      <c r="A97" s="907">
        <v>37</v>
      </c>
      <c r="B97" s="3108"/>
      <c r="C97" s="907" t="s">
        <v>646</v>
      </c>
      <c r="D97" s="821" t="s">
        <v>647</v>
      </c>
      <c r="E97" s="920">
        <v>0.2</v>
      </c>
      <c r="F97" s="907">
        <v>30</v>
      </c>
    </row>
    <row r="98" spans="1:6" s="903" customFormat="1" ht="36">
      <c r="A98" s="907">
        <v>38</v>
      </c>
      <c r="B98" s="3108"/>
      <c r="C98" s="907" t="s">
        <v>648</v>
      </c>
      <c r="D98" s="821" t="s">
        <v>649</v>
      </c>
      <c r="E98" s="920">
        <v>0.2</v>
      </c>
      <c r="F98" s="907">
        <v>30</v>
      </c>
    </row>
    <row r="99" spans="1:6" s="903" customFormat="1" ht="36">
      <c r="A99" s="907">
        <v>39</v>
      </c>
      <c r="B99" s="3108" t="s">
        <v>650</v>
      </c>
      <c r="C99" s="907" t="s">
        <v>651</v>
      </c>
      <c r="D99" s="821" t="s">
        <v>652</v>
      </c>
      <c r="E99" s="920">
        <v>0.3</v>
      </c>
      <c r="F99" s="907">
        <v>50</v>
      </c>
    </row>
    <row r="100" spans="1:6" s="903" customFormat="1" ht="24">
      <c r="A100" s="907">
        <v>40</v>
      </c>
      <c r="B100" s="3108"/>
      <c r="C100" s="907" t="s">
        <v>653</v>
      </c>
      <c r="D100" s="821" t="s">
        <v>654</v>
      </c>
      <c r="E100" s="920">
        <v>0.2</v>
      </c>
      <c r="F100" s="907">
        <v>30</v>
      </c>
    </row>
    <row r="101" spans="1:6" s="903" customFormat="1" ht="36">
      <c r="A101" s="907">
        <v>41</v>
      </c>
      <c r="B101" s="310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8" t="s">
        <v>665</v>
      </c>
      <c r="C105" s="907" t="s">
        <v>666</v>
      </c>
      <c r="D105" s="821" t="s">
        <v>667</v>
      </c>
      <c r="E105" s="920">
        <v>0.2</v>
      </c>
      <c r="F105" s="907">
        <v>30</v>
      </c>
    </row>
    <row r="106" spans="1:6" s="903" customFormat="1" ht="36">
      <c r="A106" s="907">
        <v>46</v>
      </c>
      <c r="B106" s="3108"/>
      <c r="C106" s="907" t="s">
        <v>668</v>
      </c>
      <c r="D106" s="821" t="s">
        <v>669</v>
      </c>
      <c r="E106" s="920">
        <v>0.2</v>
      </c>
      <c r="F106" s="907">
        <v>30</v>
      </c>
    </row>
    <row r="107" spans="1:6" s="903" customFormat="1" ht="36">
      <c r="A107" s="907">
        <v>47</v>
      </c>
      <c r="B107" s="3108" t="s">
        <v>670</v>
      </c>
      <c r="C107" s="907" t="s">
        <v>671</v>
      </c>
      <c r="D107" s="821" t="s">
        <v>672</v>
      </c>
      <c r="E107" s="920">
        <v>0.3</v>
      </c>
      <c r="F107" s="907">
        <v>50</v>
      </c>
    </row>
    <row r="108" spans="1:6" s="903" customFormat="1" ht="36">
      <c r="A108" s="907">
        <v>48</v>
      </c>
      <c r="B108" s="310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8" t="s">
        <v>681</v>
      </c>
      <c r="C111" s="907" t="s">
        <v>682</v>
      </c>
      <c r="D111" s="821" t="s">
        <v>683</v>
      </c>
      <c r="E111" s="920">
        <v>0.2</v>
      </c>
      <c r="F111" s="907">
        <v>30</v>
      </c>
    </row>
    <row r="112" spans="1:6" s="903" customFormat="1" ht="24">
      <c r="A112" s="907">
        <v>52</v>
      </c>
      <c r="B112" s="3108"/>
      <c r="C112" s="907" t="s">
        <v>684</v>
      </c>
      <c r="D112" s="821" t="s">
        <v>685</v>
      </c>
      <c r="E112" s="920">
        <v>0.2</v>
      </c>
      <c r="F112" s="907">
        <v>30</v>
      </c>
    </row>
    <row r="113" spans="1:6" s="903" customFormat="1" ht="24">
      <c r="A113" s="907">
        <v>53</v>
      </c>
      <c r="B113" s="310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8" t="s">
        <v>694</v>
      </c>
      <c r="C116" s="907" t="s">
        <v>695</v>
      </c>
      <c r="D116" s="821" t="s">
        <v>696</v>
      </c>
      <c r="E116" s="920">
        <v>0.2</v>
      </c>
      <c r="F116" s="907">
        <v>30</v>
      </c>
    </row>
    <row r="117" spans="1:6" ht="36">
      <c r="A117" s="907">
        <v>57</v>
      </c>
      <c r="B117" s="310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E10" sqref="E10"/>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4" t="s">
        <v>1034</v>
      </c>
      <c r="C1" s="3114"/>
      <c r="D1" s="3114"/>
      <c r="E1" s="3114"/>
      <c r="F1" s="3114"/>
      <c r="G1" s="3110" t="s">
        <v>1035</v>
      </c>
      <c r="H1" s="3110"/>
      <c r="I1" s="3110"/>
      <c r="J1" s="3110"/>
      <c r="K1" s="3110"/>
      <c r="L1" s="3110"/>
      <c r="N1" s="3110" t="s">
        <v>1036</v>
      </c>
      <c r="O1" s="3110"/>
      <c r="P1" s="3110"/>
      <c r="Q1" s="3110"/>
      <c r="R1" s="1548"/>
      <c r="S1" s="3110" t="s">
        <v>1037</v>
      </c>
      <c r="T1" s="3110"/>
      <c r="U1" s="3110"/>
      <c r="V1" s="3110"/>
      <c r="X1" s="3109" t="s">
        <v>1038</v>
      </c>
      <c r="Y1" s="3110"/>
      <c r="Z1" s="3110"/>
      <c r="AA1" s="3110"/>
      <c r="AB1" s="3110"/>
      <c r="AD1" s="3109" t="s">
        <v>1039</v>
      </c>
      <c r="AE1" s="3110"/>
      <c r="AF1" s="3110"/>
      <c r="AG1" s="3110"/>
      <c r="AH1" s="3110"/>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5">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12"/>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12"/>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13"/>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11">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12"/>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12"/>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13"/>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11">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12"/>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12"/>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13"/>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6">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7"/>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7"/>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8"/>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11">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12"/>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12"/>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13"/>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11">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12">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12">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13">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11">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12">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12">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13">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11">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12">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12">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13">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11">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12">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12">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13">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11">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12">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12">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13">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11">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12">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12">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13">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11">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12">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12">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13">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11">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12">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12">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13">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11">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12">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12">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13">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11">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12">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12">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13">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41962</v>
      </c>
      <c r="D1" s="1802" t="s">
        <v>1187</v>
      </c>
      <c r="E1" s="1808">
        <f>'数据-取费表'!B23</f>
        <v>2</v>
      </c>
      <c r="F1" s="1802" t="s">
        <v>1188</v>
      </c>
      <c r="G1" s="1809">
        <f ca="1">INDIRECT("d"&amp;$K$1)/100</f>
        <v>6.1500000000000006E-2</v>
      </c>
      <c r="H1" s="1802" t="s">
        <v>1218</v>
      </c>
      <c r="I1" s="1809">
        <f ca="1">F4/100</f>
        <v>0.03</v>
      </c>
      <c r="J1" s="1803">
        <f>IF(C1&gt;C13,0,MATCH(C1,C$13:C$100,-1))+IF(SUMIF(C13:C100,C1,D13:D100)=0,13,12)</f>
        <v>19</v>
      </c>
      <c r="K1" s="1803">
        <f>MATCH(E1,C3:C7,1)+IF(SUMIF(C3:C7,E1,D3:D7)=0,2,1)</f>
        <v>5</v>
      </c>
      <c r="L1" s="1803">
        <f>IF(C1&gt;M13,0,MATCH(C1,M$13:M$100,-1))+IF(SUMIF(M13:M100,C1,N13:N100)=0,13,12)</f>
        <v>19</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5.6</v>
      </c>
      <c r="E3" s="1750">
        <v>0.5</v>
      </c>
      <c r="F3" s="1751">
        <f ca="1">INDIRECT("p"&amp;$L$1)</f>
        <v>2.8</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6</v>
      </c>
      <c r="E4" s="1756">
        <v>1</v>
      </c>
      <c r="F4" s="1757">
        <f ca="1">INDIRECT("q"&amp;$L$1)</f>
        <v>3</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6.15</v>
      </c>
      <c r="E5" s="1756">
        <v>2</v>
      </c>
      <c r="F5" s="1757">
        <f ca="1">INDIRECT("r"&amp;$L$1)</f>
        <v>3.75</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6.4</v>
      </c>
      <c r="E6" s="1756">
        <v>3</v>
      </c>
      <c r="F6" s="1757">
        <f ca="1">INDIRECT("s"&amp;$L$1)</f>
        <v>4.25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6.55</v>
      </c>
      <c r="E7" s="1761">
        <v>5</v>
      </c>
      <c r="F7" s="1762">
        <f ca="1">INDIRECT("t"&amp;$L$1)</f>
        <v>4.75</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57" sqref="P5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9"/>
      <c r="C2" s="2779"/>
      <c r="D2" s="2779"/>
      <c r="E2" s="2779"/>
    </row>
    <row r="3" spans="1:5" ht="13.5" customHeight="1">
      <c r="A3" s="1930"/>
      <c r="B3" s="1930"/>
      <c r="C3" s="1930"/>
      <c r="D3" s="1930"/>
      <c r="E3" s="1930"/>
    </row>
    <row r="4" spans="1:5" ht="19.5" thickBot="1">
      <c r="A4" s="2780" t="str">
        <f>IF(项目基本情况!D5="房地产市场价值","估价结果一览表（市场价值不需本页表格)","估价结果一览表")</f>
        <v>估价结果一览表（市场价值不需本页表格)</v>
      </c>
      <c r="B4" s="2780"/>
      <c r="C4" s="2780"/>
      <c r="D4" s="2780"/>
      <c r="E4" s="2780"/>
    </row>
    <row r="5" spans="1:5" ht="14.25" customHeight="1" thickTop="1">
      <c r="A5" s="1927"/>
      <c r="B5" s="1931" t="s">
        <v>742</v>
      </c>
      <c r="C5" s="2781" t="s">
        <v>784</v>
      </c>
      <c r="D5" s="2782"/>
      <c r="E5" s="1927"/>
    </row>
    <row r="6" spans="1:5" ht="14.25">
      <c r="A6" s="1927"/>
      <c r="B6" s="1932" t="str">
        <f>项目基本情况!I1</f>
        <v>北京市房地产</v>
      </c>
      <c r="C6" s="2783">
        <f>项目基本情况!C12</f>
        <v>223.09</v>
      </c>
      <c r="D6" s="2783"/>
      <c r="E6" s="1927"/>
    </row>
    <row r="7" spans="1:5" ht="14.25">
      <c r="A7" s="1927"/>
      <c r="B7" s="2777" t="s">
        <v>785</v>
      </c>
      <c r="C7" s="1933" t="str">
        <f>IF('数据-取费表'!B3="万元","总价（万元）","总价（元）")</f>
        <v>总价（元）</v>
      </c>
      <c r="D7" s="1934">
        <f ca="1">IF('数据-取费表'!E3="否",结果表!I102,'结果表 (1修多)'!I103)</f>
        <v>8991642</v>
      </c>
      <c r="E7" s="1927"/>
    </row>
    <row r="8" spans="1:5" ht="28.5">
      <c r="A8" s="1927"/>
      <c r="B8" s="2777"/>
      <c r="C8" s="1935" t="s">
        <v>1176</v>
      </c>
      <c r="D8" s="1936" t="str">
        <f ca="1">IF('数据-取费表'!B3="万元",NUMBERSTRING(INT(D7*10000),2)&amp;"元整",NUMBERSTRING(INT(D7),2)&amp;"元整")</f>
        <v>捌佰玖拾玖万壹仟陆佰肆拾贰元整</v>
      </c>
      <c r="E8" s="1927"/>
    </row>
    <row r="9" spans="1:5" ht="14.25">
      <c r="A9" s="1927"/>
      <c r="B9" s="2777"/>
      <c r="C9" s="1937" t="s">
        <v>1274</v>
      </c>
      <c r="D9" s="1934">
        <f ca="1">IF('数据-取费表'!E3="否",结果表!I103,'结果表 (1修多)'!I104)</f>
        <v>40305</v>
      </c>
      <c r="E9" s="1927"/>
    </row>
    <row r="10" spans="1:5" ht="14.25">
      <c r="A10" s="1927"/>
      <c r="B10" s="278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4"/>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4" t="str">
        <f>IF('数据-取费表'!E3="否",结果表!F110,'结果表 (1修多)'!F111)</f>
        <v>3.房地产抵押价值</v>
      </c>
      <c r="C15" s="1928" t="str">
        <f>C7</f>
        <v>总价（元）</v>
      </c>
      <c r="D15" s="1934">
        <f ca="1">IF('数据-取费表'!E3="否",结果表!I110,'结果表 (1修多)'!I111)</f>
        <v>8991642</v>
      </c>
      <c r="E15" s="1927"/>
    </row>
    <row r="16" spans="1:5" ht="28.5">
      <c r="A16" s="1927"/>
      <c r="B16" s="2784"/>
      <c r="C16" s="1935" t="s">
        <v>1176</v>
      </c>
      <c r="D16" s="1934" t="str">
        <f ca="1">IF('数据-取费表'!B3="万元",NUMBERSTRING(INT(D15*10000),2)&amp;"元整",NUMBERSTRING(INT(D15),2)&amp;"元整")</f>
        <v>捌佰玖拾玖万壹仟陆佰肆拾贰元整</v>
      </c>
      <c r="E16" s="1927"/>
    </row>
    <row r="17" spans="1:5" ht="14.25">
      <c r="A17" s="1927"/>
      <c r="B17" s="2784"/>
      <c r="C17" s="1937" t="s">
        <v>1274</v>
      </c>
      <c r="D17" s="1934">
        <f ca="1">IF('数据-取费表'!E3="否",结果表!I111,'结果表 (1修多)'!I112)</f>
        <v>40305</v>
      </c>
      <c r="E17" s="1927"/>
    </row>
    <row r="18" spans="1:5" ht="14.25">
      <c r="A18" s="1927"/>
      <c r="B18" s="2784" t="str">
        <f>IF('数据-取费表'!E3="否",结果表!F112,'结果表 (1修多)'!F113)</f>
        <v>——</v>
      </c>
      <c r="C18" s="1928" t="str">
        <f>C7</f>
        <v>总价（元）</v>
      </c>
      <c r="D18" s="1934" t="str">
        <f>IF('数据-取费表'!E3="否",结果表!I112,'结果表 (1修多)'!I113)</f>
        <v>——</v>
      </c>
      <c r="E18" s="1927"/>
    </row>
    <row r="19" spans="1:5" ht="14.25">
      <c r="A19" s="1927"/>
      <c r="B19" s="2784"/>
      <c r="C19" s="1935" t="s">
        <v>1176</v>
      </c>
      <c r="D19" s="1934" t="e">
        <f>IF('数据-取费表'!B3="万元",NUMBERSTRING(INT(D18*10000),2)&amp;"元整",NUMBERSTRING(INT(D18),2)&amp;"元整")</f>
        <v>#VALUE!</v>
      </c>
      <c r="E19" s="1927"/>
    </row>
    <row r="20" spans="1:5" ht="14.25">
      <c r="A20" s="1927"/>
      <c r="B20" s="2784"/>
      <c r="C20" s="1937" t="s">
        <v>1274</v>
      </c>
      <c r="D20" s="1934" t="str">
        <f>IF('数据-取费表'!E3="否",结果表!I113,'结果表 (1修多)'!I114)</f>
        <v>——</v>
      </c>
      <c r="E20" s="1927"/>
    </row>
    <row r="21" spans="1:5" ht="14.25">
      <c r="A21" s="1927"/>
      <c r="B21" s="2777" t="str">
        <f>IF('数据-取费表'!E3="否",结果表!F114,'结果表 (1修多)'!F115)</f>
        <v>——</v>
      </c>
      <c r="C21" s="1933" t="str">
        <f>C7</f>
        <v>总价（元）</v>
      </c>
      <c r="D21" s="1934" t="str">
        <f>IF('数据-取费表'!E3="否",结果表!I114,'结果表 (1修多)'!I115)</f>
        <v>——</v>
      </c>
      <c r="E21" s="1927"/>
    </row>
    <row r="22" spans="1:5" ht="14.25">
      <c r="A22" s="1927"/>
      <c r="B22" s="2777"/>
      <c r="C22" s="1935" t="s">
        <v>1176</v>
      </c>
      <c r="D22" s="1936" t="e">
        <f>IF('数据-取费表'!B3="万元",NUMBERSTRING(INT(D21*10000),2)&amp;"元整",NUMBERSTRING(INT(D21),2)&amp;"元整")</f>
        <v>#VALUE!</v>
      </c>
      <c r="E22" s="1927"/>
    </row>
    <row r="23" spans="1:5" ht="15" thickBot="1">
      <c r="A23" s="1927"/>
      <c r="B23" s="2778"/>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9" t="s">
        <v>1275</v>
      </c>
      <c r="C25" s="2769"/>
      <c r="D25" s="2769"/>
      <c r="E25" s="1927"/>
    </row>
    <row r="26" spans="1:5" ht="18.75" customHeight="1" thickTop="1">
      <c r="A26" s="1927"/>
      <c r="B26" s="2772" t="s">
        <v>1175</v>
      </c>
      <c r="C26" s="2773"/>
      <c r="D26" s="2770" t="s">
        <v>1174</v>
      </c>
      <c r="E26" s="1927"/>
    </row>
    <row r="27" spans="1:5" ht="18.75" customHeight="1">
      <c r="A27" s="1927"/>
      <c r="B27" s="2774"/>
      <c r="C27" s="2775"/>
      <c r="D27" s="2771"/>
      <c r="E27" s="1927"/>
    </row>
    <row r="28" spans="1:5" ht="14.25">
      <c r="A28" s="1927"/>
      <c r="B28" s="2762" t="s">
        <v>785</v>
      </c>
      <c r="C28" s="1944" t="s">
        <v>1177</v>
      </c>
      <c r="D28" s="1945">
        <f ca="1">IF('数据-取费表'!E3="否",结果表!I102,'结果表 (1修多)'!I103)</f>
        <v>8991642</v>
      </c>
      <c r="E28" s="1927"/>
    </row>
    <row r="29" spans="1:5" ht="28.5">
      <c r="A29" s="1927"/>
      <c r="B29" s="2763"/>
      <c r="C29" s="1946" t="s">
        <v>1176</v>
      </c>
      <c r="D29" s="1947" t="str">
        <f ca="1">IF('数据-取费表'!B3="万元",NUMBERSTRING(INT(D28*10000),2)&amp;"元整",NUMBERSTRING(INT(D28),2)&amp;"元整")</f>
        <v>捌佰玖拾玖万壹仟陆佰肆拾贰元整</v>
      </c>
      <c r="E29" s="1927"/>
    </row>
    <row r="30" spans="1:5" ht="14.25">
      <c r="A30" s="1927"/>
      <c r="B30" s="2764"/>
      <c r="C30" s="1937" t="s">
        <v>1179</v>
      </c>
      <c r="D30" s="1948">
        <f ca="1">IF('数据-取费表'!E3="否",结果表!I103,'结果表 (1修多)'!I104)</f>
        <v>40305</v>
      </c>
      <c r="E30" s="1927"/>
    </row>
    <row r="31" spans="1:5" ht="14.25">
      <c r="A31" s="1927"/>
      <c r="B31" s="2767" t="str">
        <f>B10</f>
        <v>2.估价师所知悉的法定优先受偿款</v>
      </c>
      <c r="C31" s="1949" t="s">
        <v>1178</v>
      </c>
      <c r="D31" s="1950">
        <f>IF('数据-取费表'!E3="否",结果表!I105,'结果表 (1修多)'!I106)</f>
        <v>0</v>
      </c>
      <c r="E31" s="1927"/>
    </row>
    <row r="32" spans="1:5" ht="14.25">
      <c r="A32" s="1927"/>
      <c r="B32" s="2776"/>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5" t="str">
        <f>B15</f>
        <v>3.房地产抵押价值</v>
      </c>
      <c r="C36" s="1949" t="str">
        <f>C28</f>
        <v>总价</v>
      </c>
      <c r="D36" s="1950">
        <f ca="1">IF('数据-取费表'!E3="否",结果表!I110,'结果表 (1修多)'!I111)</f>
        <v>8991642</v>
      </c>
      <c r="E36" s="1927"/>
    </row>
    <row r="37" spans="1:5" ht="28.5">
      <c r="A37" s="1927"/>
      <c r="B37" s="2765"/>
      <c r="C37" s="1946" t="s">
        <v>1176</v>
      </c>
      <c r="D37" s="1951" t="str">
        <f ca="1">IF('数据-取费表'!B3="万元",NUMBERSTRING(INT(D36*10000),2)&amp;"元整",NUMBERSTRING(INT(D36),2)&amp;"元整")</f>
        <v>捌佰玖拾玖万壹仟陆佰肆拾贰元整</v>
      </c>
      <c r="E37" s="1927"/>
    </row>
    <row r="38" spans="1:5" ht="14.25">
      <c r="A38" s="1927"/>
      <c r="B38" s="2765"/>
      <c r="C38" s="1937" t="s">
        <v>1180</v>
      </c>
      <c r="D38" s="1948">
        <f ca="1">IF('数据-取费表'!E3="否",结果表!D113,'结果表 (1修多)'!D116)</f>
        <v>40305</v>
      </c>
      <c r="E38" s="1927"/>
    </row>
    <row r="39" spans="1:5" ht="14.25">
      <c r="A39" s="1927"/>
      <c r="B39" s="2766" t="str">
        <f>B18</f>
        <v>——</v>
      </c>
      <c r="C39" s="1949" t="str">
        <f>C28</f>
        <v>总价</v>
      </c>
      <c r="D39" s="1950" t="str">
        <f>IF('数据-取费表'!E3="否",结果表!I112,'结果表 (1修多)'!I113)</f>
        <v>——</v>
      </c>
      <c r="E39" s="1927"/>
    </row>
    <row r="40" spans="1:5" ht="14.25">
      <c r="A40" s="1927"/>
      <c r="B40" s="2766"/>
      <c r="C40" s="1946" t="s">
        <v>1176</v>
      </c>
      <c r="D40" s="1951" t="e">
        <f>IF('数据-取费表'!B3="万元",NUMBERSTRING(INT(D39*10000),2)&amp;"元整",NUMBERSTRING(INT(D39),2)&amp;"元整")</f>
        <v>#VALUE!</v>
      </c>
      <c r="E40" s="1927"/>
    </row>
    <row r="41" spans="1:5" ht="14.25">
      <c r="A41" s="1927"/>
      <c r="B41" s="2766"/>
      <c r="C41" s="1937" t="s">
        <v>1180</v>
      </c>
      <c r="D41" s="1948" t="str">
        <f>IF('数据-取费表'!E3="否",结果表!D115,'结果表 (1修多)'!D118)</f>
        <v>——</v>
      </c>
      <c r="E41" s="1927"/>
    </row>
    <row r="42" spans="1:5" ht="14.25">
      <c r="A42" s="1927"/>
      <c r="B42" s="2765" t="str">
        <f>B21</f>
        <v>——</v>
      </c>
      <c r="C42" s="1949" t="str">
        <f>C28</f>
        <v>总价</v>
      </c>
      <c r="D42" s="1950" t="str">
        <f>IF('数据-取费表'!E3="否",结果表!I114,'结果表 (1修多)'!I115)</f>
        <v>——</v>
      </c>
      <c r="E42" s="1927"/>
    </row>
    <row r="43" spans="1:5" ht="14.25">
      <c r="A43" s="1927"/>
      <c r="B43" s="2767"/>
      <c r="C43" s="1946" t="s">
        <v>1176</v>
      </c>
      <c r="D43" s="1952" t="e">
        <f>IF('数据-取费表'!B3="万元",NUMBERSTRING(INT(D42*10000),2)&amp;"元整",NUMBERSTRING(INT(D42),2)&amp;"元整")</f>
        <v>#VALUE!</v>
      </c>
      <c r="E43" s="1927"/>
    </row>
    <row r="44" spans="1:5" ht="15" thickBot="1">
      <c r="A44" s="1927"/>
      <c r="B44" s="2768"/>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1276</v>
      </c>
      <c r="B2" s="2792" t="s">
        <v>1277</v>
      </c>
      <c r="C2" s="2792" t="s">
        <v>1278</v>
      </c>
      <c r="D2" s="2792" t="str">
        <f>IF('数据-取费表'!E3="否",结果表!D119,'结果表 (1修多)'!D122)</f>
        <v>出让国有建设用地使用权价值</v>
      </c>
      <c r="E2" s="2792"/>
      <c r="F2" s="2792" t="s">
        <v>1279</v>
      </c>
      <c r="G2" s="2792"/>
      <c r="H2" s="2792" t="s">
        <v>1280</v>
      </c>
      <c r="I2" s="2792"/>
    </row>
    <row r="3" spans="1:9" ht="15">
      <c r="A3" s="2785"/>
      <c r="B3" s="2785"/>
      <c r="C3" s="2785"/>
      <c r="D3" s="1049" t="s">
        <v>1281</v>
      </c>
      <c r="E3" s="1049" t="s">
        <v>1282</v>
      </c>
      <c r="F3" s="1049" t="s">
        <v>1281</v>
      </c>
      <c r="G3" s="1049" t="s">
        <v>1283</v>
      </c>
      <c r="H3" s="1049" t="s">
        <v>1281</v>
      </c>
      <c r="I3" s="1049" t="s">
        <v>1283</v>
      </c>
    </row>
    <row r="4" spans="1:9" ht="46.5" customHeight="1">
      <c r="A4" s="1049" t="str">
        <f>项目基本情况!I1</f>
        <v>北京市房地产</v>
      </c>
      <c r="B4" s="1049">
        <f>结果表!B121</f>
        <v>223.09</v>
      </c>
      <c r="C4" s="1049">
        <f>结果表!C121</f>
        <v>0</v>
      </c>
      <c r="D4" s="1049">
        <f ca="1">IF('数据-取费表'!E3="否",结果表!D121,'结果表 (1修多)'!D124)</f>
        <v>8146354</v>
      </c>
      <c r="E4" s="1049">
        <f ca="1">IF('数据-取费表'!E3="否",结果表!E121,'结果表 (1修多)'!E124)</f>
        <v>36516</v>
      </c>
      <c r="F4" s="1049">
        <f ca="1">IF('数据-取费表'!E3="否",结果表!F121,'结果表 (1修多)'!F124)</f>
        <v>845288</v>
      </c>
      <c r="G4" s="1049">
        <f ca="1">IF('数据-取费表'!E3="否",结果表!G121,'结果表 (1修多)'!G124)</f>
        <v>3789</v>
      </c>
      <c r="H4" s="1049">
        <f ca="1">IF('数据-取费表'!E3="否",结果表!H121,'结果表 (1修多)'!H124)</f>
        <v>8991642</v>
      </c>
      <c r="I4" s="1049">
        <f ca="1">IF('数据-取费表'!E3="否",结果表!I121,'结果表 (1修多)'!I124)</f>
        <v>40305</v>
      </c>
    </row>
    <row r="5" spans="1:9" ht="15">
      <c r="A5" s="2785" t="s">
        <v>1284</v>
      </c>
      <c r="B5" s="2785"/>
      <c r="C5" s="2785"/>
      <c r="D5" s="2786" t="str">
        <f ca="1">IF('数据-取费表'!E3="否",结果表!D122,'结果表 (1修多)'!D125)</f>
        <v>捌佰壹拾肆万陆仟叁佰伍拾肆元整</v>
      </c>
      <c r="E5" s="2786"/>
      <c r="F5" s="2786" t="str">
        <f ca="1">IF('数据-取费表'!E3="否",结果表!F122,'结果表 (1修多)'!F125)</f>
        <v>捌拾肆万伍仟贰佰捌拾捌元整</v>
      </c>
      <c r="G5" s="2786"/>
      <c r="H5" s="2786" t="str">
        <f ca="1">IF('数据-取费表'!E3="否",结果表!H122,'结果表 (1修多)'!H125)</f>
        <v>捌佰玖拾玖万壹仟陆佰肆拾贰元整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5" t="s">
        <v>1284</v>
      </c>
      <c r="B7" s="2785"/>
      <c r="C7" s="2785"/>
      <c r="D7" s="2793">
        <f>IF('数据-取费表'!E3="否",结果表!D124,'结果表 (1修多)'!D127)</f>
        <v>0</v>
      </c>
      <c r="E7" s="2794"/>
      <c r="F7" s="2794"/>
      <c r="G7" s="2794"/>
      <c r="H7" s="2794"/>
      <c r="I7" s="2795"/>
    </row>
    <row r="8" spans="1:9" ht="15.75">
      <c r="A8" s="2787" t="str">
        <f>IF('数据-取费表'!E3="否",结果表!A125,'结果表 (1修多)'!A128)</f>
        <v>——</v>
      </c>
      <c r="B8" s="2787"/>
      <c r="C8" s="2787"/>
      <c r="D8" s="2787">
        <f ca="1">IF('数据-取费表'!E3="否",结果表!D125,'结果表 (1修多)'!D128)</f>
        <v>8991642</v>
      </c>
      <c r="E8" s="2787"/>
      <c r="F8" s="2787"/>
      <c r="G8" s="2787"/>
      <c r="H8" s="2787"/>
      <c r="I8" s="2787"/>
    </row>
    <row r="9" spans="1:9" ht="15">
      <c r="A9" s="2785" t="s">
        <v>1284</v>
      </c>
      <c r="B9" s="2785"/>
      <c r="C9" s="2785"/>
      <c r="D9" s="2786">
        <f ca="1">IF('数据-取费表'!E3="否",结果表!D126,'结果表 (1修多)'!D129)</f>
        <v>40305</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5" t="s">
        <v>1284</v>
      </c>
      <c r="B11" s="2785"/>
      <c r="C11" s="2785"/>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88" t="s">
        <v>1284</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7" t="s">
        <v>1298</v>
      </c>
      <c r="B1" s="2797"/>
      <c r="C1" s="2797"/>
      <c r="D1" s="2797"/>
    </row>
    <row r="2" spans="1:4" ht="18">
      <c r="A2" s="2796" t="s">
        <v>1286</v>
      </c>
      <c r="B2" s="2796"/>
      <c r="C2" s="2796"/>
      <c r="D2" s="2796"/>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陈颖</v>
      </c>
      <c r="B5" s="1958">
        <f ca="1">项目基本情况!E3</f>
        <v>1120060040</v>
      </c>
      <c r="C5" s="1961"/>
      <c r="D5" s="1960" t="s">
        <v>1299</v>
      </c>
    </row>
    <row r="6" spans="1:4" ht="12" customHeight="1">
      <c r="A6" s="1957"/>
      <c r="B6" s="1958"/>
      <c r="C6" s="1962"/>
      <c r="D6" s="1960"/>
    </row>
    <row r="7" spans="1:4" ht="18">
      <c r="A7" s="2796" t="s">
        <v>1291</v>
      </c>
      <c r="B7" s="2796"/>
      <c r="C7" s="2796"/>
      <c r="D7" s="2796"/>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98" t="s">
        <v>1300</v>
      </c>
      <c r="B12" s="2799"/>
      <c r="C12" s="2799"/>
      <c r="D12" s="2799"/>
    </row>
    <row r="13" spans="1:4" ht="15.75">
      <c r="A13" s="279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8" t="str">
        <f>IF(项目基本情况!D4="抵押","3.抵押双方在办理抵押登记手续时，应使用本公司出具的正式《房地产评估报告》，特提醒报告使用者注意。","——")</f>
        <v>——</v>
      </c>
      <c r="B14" s="2799"/>
      <c r="C14" s="2799"/>
      <c r="D14" s="2799"/>
    </row>
    <row r="15" spans="1:4" ht="15.75" customHeight="1">
      <c r="A15" s="2798" t="str">
        <f>IF(项目基本情况!D4="抵押","4.本次评估估价师所知悉的法定优先受偿款情况说明如下：","——")</f>
        <v>——</v>
      </c>
      <c r="B15" s="2799"/>
      <c r="C15" s="2799"/>
      <c r="D15" s="2799"/>
    </row>
    <row r="16" spans="1:4" ht="75" customHeight="1">
      <c r="A16" s="2798" t="str">
        <f>IF(项目基本情况!D4="抵押",CONCATENATE(项目基本情况!J13,项目基本情况!J14,项目基本情况!J15),"——")</f>
        <v>——</v>
      </c>
      <c r="B16" s="2798"/>
      <c r="C16" s="2798"/>
      <c r="D16" s="2798"/>
    </row>
    <row r="17" spans="1:4" ht="63.75" customHeight="1">
      <c r="A17" s="2800" t="s">
        <v>1301</v>
      </c>
      <c r="B17" s="2800"/>
      <c r="C17" s="2800"/>
      <c r="D17" s="2800"/>
    </row>
    <row r="18" spans="1:4" ht="15.75" customHeight="1">
      <c r="A18" s="2798" t="str">
        <f>IF(项目基本情况!D4="抵押",结果表!K106,"——")</f>
        <v>——</v>
      </c>
      <c r="B18" s="2798"/>
      <c r="C18" s="2798"/>
      <c r="D18" s="2798"/>
    </row>
    <row r="19" spans="1:4" ht="46.5" customHeight="1">
      <c r="A19" s="279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8"/>
      <c r="C19" s="2798"/>
      <c r="D19" s="2798"/>
    </row>
    <row r="20" spans="1:4" ht="15">
      <c r="A20" s="2800" t="s">
        <v>1294</v>
      </c>
      <c r="B20" s="2800"/>
      <c r="C20" s="2800"/>
      <c r="D20" s="2800"/>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Z24" sqref="Z24"/>
      <selection pane="bottomLeft" activeCell="Z24" sqref="Z2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6" t="s">
        <v>1380</v>
      </c>
      <c r="B15" s="2801" t="s">
        <v>1381</v>
      </c>
      <c r="C15" s="2802"/>
    </row>
    <row r="16" spans="1:7" ht="14.25">
      <c r="A16" s="2807"/>
      <c r="B16" s="2801" t="s">
        <v>1382</v>
      </c>
      <c r="C16" s="2802"/>
    </row>
    <row r="17" spans="1:3" ht="14.25">
      <c r="A17" s="2807"/>
      <c r="B17" s="2801" t="s">
        <v>1383</v>
      </c>
      <c r="C17" s="2802"/>
    </row>
    <row r="18" spans="1:3" ht="14.25">
      <c r="A18" s="2808"/>
      <c r="B18" s="2803" t="s">
        <v>1384</v>
      </c>
      <c r="C18" s="2802"/>
    </row>
    <row r="19" spans="1:3" ht="14.25">
      <c r="A19" s="1980" t="s">
        <v>1385</v>
      </c>
      <c r="B19" s="1981"/>
      <c r="C19" s="1982"/>
    </row>
    <row r="20" spans="1:3" ht="14.25">
      <c r="A20" s="2804" t="s">
        <v>1386</v>
      </c>
      <c r="B20" s="2803" t="s">
        <v>1387</v>
      </c>
      <c r="C20" s="2802"/>
    </row>
    <row r="21" spans="1:3" ht="14.25">
      <c r="A21" s="2804"/>
      <c r="B21" s="2803" t="s">
        <v>1388</v>
      </c>
      <c r="C21" s="2802"/>
    </row>
    <row r="22" spans="1:3" ht="14.25">
      <c r="A22" s="2804"/>
      <c r="B22" s="2803" t="s">
        <v>1389</v>
      </c>
      <c r="C22" s="2802"/>
    </row>
    <row r="23" spans="1:3" ht="14.25">
      <c r="A23" s="2804"/>
      <c r="B23" s="2805" t="s">
        <v>1390</v>
      </c>
      <c r="C23" s="1983" t="s">
        <v>1391</v>
      </c>
    </row>
    <row r="24" spans="1:3" ht="14.25">
      <c r="A24" s="2804"/>
      <c r="B24" s="2805"/>
      <c r="C24" s="1983" t="s">
        <v>1392</v>
      </c>
    </row>
    <row r="25" spans="1:3" ht="14.25">
      <c r="A25" s="2804"/>
      <c r="B25" s="2805"/>
      <c r="C25" s="1983" t="s">
        <v>1393</v>
      </c>
    </row>
    <row r="26" spans="1:3" ht="14.25">
      <c r="A26" s="2804"/>
      <c r="B26" s="2805"/>
      <c r="C26" s="1983" t="s">
        <v>1394</v>
      </c>
    </row>
    <row r="27" spans="1:3" ht="14.25">
      <c r="A27" s="2804"/>
      <c r="B27" s="2805"/>
      <c r="C27" s="1983" t="s">
        <v>1395</v>
      </c>
    </row>
    <row r="28" spans="1:3" ht="14.25">
      <c r="A28" s="2804"/>
      <c r="B28" s="2805"/>
      <c r="C28" s="1983" t="s">
        <v>1396</v>
      </c>
    </row>
    <row r="29" spans="1:3" ht="14.25">
      <c r="A29" s="2804"/>
      <c r="B29" s="2805"/>
      <c r="C29" s="1983" t="s">
        <v>1397</v>
      </c>
    </row>
    <row r="30" spans="1:3" ht="14.25">
      <c r="A30" s="2804"/>
      <c r="B30" s="2805"/>
      <c r="C30" s="1983" t="s">
        <v>1398</v>
      </c>
    </row>
    <row r="31" spans="1:3" ht="14.25">
      <c r="A31" s="2804"/>
      <c r="B31" s="2805"/>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Z24" sqref="Z2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43213</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9" t="s">
        <v>769</v>
      </c>
      <c r="B25" s="2809"/>
      <c r="C25" s="2809"/>
      <c r="D25" s="2809"/>
      <c r="E25" s="2809"/>
      <c r="F25" s="2809"/>
      <c r="G25" s="2809"/>
      <c r="H25" s="2809"/>
    </row>
    <row r="26" spans="1:8" s="1034" customFormat="1" ht="24" customHeight="1">
      <c r="A26" s="2810" t="s">
        <v>770</v>
      </c>
      <c r="B26" s="2810"/>
      <c r="C26" s="2810"/>
      <c r="D26" s="1062"/>
      <c r="E26" s="1062"/>
      <c r="F26" s="2810" t="s">
        <v>771</v>
      </c>
      <c r="G26" s="2810"/>
      <c r="H26" s="281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11"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本次估价的“房地产价值”是指在正常市场情况下，在价值时点2014年11月19日，估价对象规划用途为，假定未设立法定优先受偿款下的房地产市场价值。</v>
      </c>
    </row>
    <row r="54" spans="1:4">
      <c r="A54" s="2811"/>
      <c r="B54" s="9" t="s">
        <v>1536</v>
      </c>
      <c r="C54" s="9" t="s">
        <v>1537</v>
      </c>
    </row>
    <row r="55" spans="1:4">
      <c r="A55" s="2811"/>
      <c r="B55" s="9" t="s">
        <v>1538</v>
      </c>
      <c r="C55" s="9" t="s">
        <v>1539</v>
      </c>
    </row>
    <row r="56" spans="1:4">
      <c r="A56" s="2811"/>
      <c r="B56" s="9" t="s">
        <v>1540</v>
      </c>
      <c r="C56" s="9" t="s">
        <v>1541</v>
      </c>
    </row>
    <row r="57" spans="1:4">
      <c r="A57" s="2811"/>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2018-04-23T08:53:53Z</dcterms:modified>
</cp:coreProperties>
</file>