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-1-0657军队-天通苑\"/>
    </mc:Choice>
  </mc:AlternateContent>
  <xr:revisionPtr revIDLastSave="0" documentId="13_ncr:1_{8AD882A4-6246-4C92-91D2-C55572FCB496}" xr6:coauthVersionLast="47" xr6:coauthVersionMax="47" xr10:uidLastSave="{00000000-0000-0000-0000-000000000000}"/>
  <bookViews>
    <workbookView xWindow="-120" yWindow="-120" windowWidth="38640" windowHeight="21240" tabRatio="787" activeTab="1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Sheet2" sheetId="70" r:id="rId17"/>
    <sheet name="比较法" sheetId="39" state="hidden" r:id="rId18"/>
    <sheet name="存贷款利率" sheetId="65" r:id="rId19"/>
    <sheet name="地价" sheetId="67" r:id="rId20"/>
    <sheet name="Sheet1" sheetId="69" state="hidden" r:id="rId21"/>
    <sheet name="地价（废）" sheetId="66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5">'1993基准地价'!$A$1:$J$30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A70" i="66" l="1"/>
  <c r="AB67" i="66"/>
  <c r="AA67" i="66"/>
  <c r="Z67" i="66"/>
  <c r="Z66" i="66" s="1"/>
  <c r="Y67" i="66"/>
  <c r="W67" i="66"/>
  <c r="V67" i="66"/>
  <c r="T67" i="66"/>
  <c r="B67" i="66" s="1"/>
  <c r="F67" i="66"/>
  <c r="E67" i="66"/>
  <c r="AB66" i="66"/>
  <c r="AA66" i="66"/>
  <c r="V66" i="66" s="1"/>
  <c r="E66" i="66" s="1"/>
  <c r="O66" i="66" s="1"/>
  <c r="Y66" i="66"/>
  <c r="W66" i="66"/>
  <c r="T66" i="66"/>
  <c r="B66" i="66" s="1"/>
  <c r="L66" i="66" s="1"/>
  <c r="F66" i="66"/>
  <c r="P66" i="66" s="1"/>
  <c r="AB65" i="66"/>
  <c r="W64" i="66" s="1"/>
  <c r="F64" i="66" s="1"/>
  <c r="AA65" i="66"/>
  <c r="V65" i="66" s="1"/>
  <c r="E65" i="66" s="1"/>
  <c r="Y65" i="66"/>
  <c r="T65" i="66" s="1"/>
  <c r="B65" i="66" s="1"/>
  <c r="L65" i="66" s="1"/>
  <c r="W65" i="66"/>
  <c r="F65" i="66" s="1"/>
  <c r="T64" i="66"/>
  <c r="B64" i="66" s="1"/>
  <c r="L64" i="66" s="1"/>
  <c r="AB63" i="66"/>
  <c r="AA63" i="66"/>
  <c r="AA62" i="66" s="1"/>
  <c r="AA61" i="66" s="1"/>
  <c r="V60" i="66" s="1"/>
  <c r="E60" i="66" s="1"/>
  <c r="Z63" i="66"/>
  <c r="Y63" i="66"/>
  <c r="T63" i="66" s="1"/>
  <c r="V63" i="66"/>
  <c r="E63" i="66"/>
  <c r="B63" i="66"/>
  <c r="L63" i="66" s="1"/>
  <c r="Y62" i="66"/>
  <c r="T62" i="66" s="1"/>
  <c r="B62" i="66" s="1"/>
  <c r="L62" i="66" s="1"/>
  <c r="Y61" i="66"/>
  <c r="V61" i="66"/>
  <c r="E61" i="66" s="1"/>
  <c r="F59" i="66"/>
  <c r="E59" i="66"/>
  <c r="D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D55" i="66"/>
  <c r="C55" i="66"/>
  <c r="B55" i="66"/>
  <c r="F54" i="66"/>
  <c r="E54" i="66"/>
  <c r="D54" i="66"/>
  <c r="C54" i="66"/>
  <c r="B54" i="66"/>
  <c r="F53" i="66"/>
  <c r="E53" i="66"/>
  <c r="D53" i="66"/>
  <c r="C53" i="66"/>
  <c r="B53" i="66"/>
  <c r="F52" i="66"/>
  <c r="E52" i="66"/>
  <c r="C52" i="66"/>
  <c r="D52" i="66" s="1"/>
  <c r="B52" i="66"/>
  <c r="F51" i="66"/>
  <c r="E51" i="66"/>
  <c r="D51" i="66"/>
  <c r="C51" i="66"/>
  <c r="B51" i="66"/>
  <c r="F50" i="66"/>
  <c r="E50" i="66"/>
  <c r="D50" i="66"/>
  <c r="C50" i="66"/>
  <c r="B50" i="66"/>
  <c r="F49" i="66"/>
  <c r="E49" i="66"/>
  <c r="D49" i="66"/>
  <c r="C49" i="66"/>
  <c r="B49" i="66"/>
  <c r="F48" i="66"/>
  <c r="E48" i="66"/>
  <c r="D48" i="66"/>
  <c r="C48" i="66"/>
  <c r="B48" i="66"/>
  <c r="F47" i="66"/>
  <c r="E47" i="66"/>
  <c r="D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D44" i="66"/>
  <c r="C44" i="66"/>
  <c r="B44" i="66"/>
  <c r="F43" i="66"/>
  <c r="E43" i="66"/>
  <c r="D43" i="66"/>
  <c r="C43" i="66"/>
  <c r="B43" i="66"/>
  <c r="F42" i="66"/>
  <c r="E42" i="66"/>
  <c r="D42" i="66"/>
  <c r="C42" i="66"/>
  <c r="B42" i="66"/>
  <c r="F41" i="66"/>
  <c r="E41" i="66"/>
  <c r="D41" i="66"/>
  <c r="C41" i="66"/>
  <c r="B41" i="66"/>
  <c r="F40" i="66"/>
  <c r="E40" i="66"/>
  <c r="C40" i="66"/>
  <c r="D40" i="66" s="1"/>
  <c r="B40" i="66"/>
  <c r="F39" i="66"/>
  <c r="E39" i="66"/>
  <c r="C39" i="66"/>
  <c r="B39" i="66"/>
  <c r="F38" i="66"/>
  <c r="E38" i="66"/>
  <c r="D38" i="66"/>
  <c r="C38" i="66"/>
  <c r="B38" i="66"/>
  <c r="F37" i="66"/>
  <c r="E37" i="66"/>
  <c r="D37" i="66"/>
  <c r="C37" i="66"/>
  <c r="B37" i="66"/>
  <c r="F36" i="66"/>
  <c r="E36" i="66"/>
  <c r="D36" i="66"/>
  <c r="C36" i="66"/>
  <c r="B36" i="66"/>
  <c r="F35" i="66"/>
  <c r="E35" i="66"/>
  <c r="D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D31" i="66"/>
  <c r="C31" i="66"/>
  <c r="B31" i="66"/>
  <c r="F30" i="66"/>
  <c r="E30" i="66"/>
  <c r="D30" i="66"/>
  <c r="C30" i="66"/>
  <c r="B30" i="66"/>
  <c r="F29" i="66"/>
  <c r="E29" i="66"/>
  <c r="D29" i="66"/>
  <c r="C29" i="66"/>
  <c r="B29" i="66"/>
  <c r="F28" i="66"/>
  <c r="E28" i="66"/>
  <c r="C28" i="66"/>
  <c r="D28" i="66" s="1"/>
  <c r="B28" i="66"/>
  <c r="F27" i="66"/>
  <c r="E27" i="66"/>
  <c r="D27" i="66"/>
  <c r="C27" i="66"/>
  <c r="B27" i="66"/>
  <c r="F26" i="66"/>
  <c r="E26" i="66"/>
  <c r="D26" i="66"/>
  <c r="C26" i="66"/>
  <c r="B26" i="66"/>
  <c r="F25" i="66"/>
  <c r="E25" i="66"/>
  <c r="D25" i="66"/>
  <c r="C25" i="66"/>
  <c r="B25" i="66"/>
  <c r="F24" i="66"/>
  <c r="E24" i="66"/>
  <c r="D24" i="66"/>
  <c r="C24" i="66"/>
  <c r="B24" i="66"/>
  <c r="F23" i="66"/>
  <c r="E23" i="66"/>
  <c r="D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D19" i="66"/>
  <c r="C19" i="66"/>
  <c r="B19" i="66"/>
  <c r="K18" i="66"/>
  <c r="G18" i="66"/>
  <c r="F18" i="66"/>
  <c r="E18" i="66"/>
  <c r="J18" i="66" s="1"/>
  <c r="C18" i="66"/>
  <c r="B18" i="66"/>
  <c r="F17" i="66"/>
  <c r="E17" i="66"/>
  <c r="C17" i="66"/>
  <c r="H16" i="66" s="1"/>
  <c r="B17" i="66"/>
  <c r="G17" i="66" s="1"/>
  <c r="F16" i="66"/>
  <c r="E16" i="66"/>
  <c r="C16" i="66"/>
  <c r="H8" i="66" s="1"/>
  <c r="B16" i="66"/>
  <c r="H15" i="66"/>
  <c r="F15" i="66"/>
  <c r="K14" i="66" s="1"/>
  <c r="E15" i="66"/>
  <c r="D15" i="66"/>
  <c r="C15" i="66"/>
  <c r="B15" i="66"/>
  <c r="F14" i="66"/>
  <c r="E14" i="66"/>
  <c r="D14" i="66"/>
  <c r="C14" i="66"/>
  <c r="B14" i="66"/>
  <c r="G13" i="66" s="1"/>
  <c r="F13" i="66"/>
  <c r="E13" i="66"/>
  <c r="D13" i="66"/>
  <c r="C13" i="66"/>
  <c r="B13" i="66"/>
  <c r="G12" i="66"/>
  <c r="F12" i="66"/>
  <c r="K12" i="66" s="1"/>
  <c r="E12" i="66"/>
  <c r="J5" i="66" s="1"/>
  <c r="D12" i="66"/>
  <c r="C12" i="66"/>
  <c r="B12" i="66"/>
  <c r="F11" i="66"/>
  <c r="E11" i="66"/>
  <c r="C11" i="66"/>
  <c r="D11" i="66" s="1"/>
  <c r="B11" i="66"/>
  <c r="J10" i="66"/>
  <c r="H10" i="66"/>
  <c r="F10" i="66"/>
  <c r="K10" i="66" s="1"/>
  <c r="E10" i="66"/>
  <c r="D10" i="66"/>
  <c r="C10" i="66"/>
  <c r="H9" i="66" s="1"/>
  <c r="B10" i="66"/>
  <c r="F9" i="66"/>
  <c r="K9" i="66" s="1"/>
  <c r="E9" i="66"/>
  <c r="D9" i="66"/>
  <c r="C9" i="66"/>
  <c r="B9" i="66"/>
  <c r="G9" i="66" s="1"/>
  <c r="F8" i="66"/>
  <c r="K8" i="66" s="1"/>
  <c r="E8" i="66"/>
  <c r="D8" i="66"/>
  <c r="C8" i="66"/>
  <c r="B8" i="66"/>
  <c r="K6" i="66"/>
  <c r="H5" i="66"/>
  <c r="K2" i="66"/>
  <c r="N24" i="43" s="1"/>
  <c r="J2" i="66"/>
  <c r="N23" i="43" s="1"/>
  <c r="H2" i="66"/>
  <c r="N21" i="43" s="1"/>
  <c r="G2" i="66"/>
  <c r="N20" i="43" s="1"/>
  <c r="O1" i="66"/>
  <c r="J1" i="66"/>
  <c r="I2" i="66" s="1"/>
  <c r="N22" i="43" s="1"/>
  <c r="D87" i="67"/>
  <c r="F86" i="67"/>
  <c r="E86" i="67"/>
  <c r="C86" i="67"/>
  <c r="C85" i="67" s="1"/>
  <c r="B86" i="67"/>
  <c r="F85" i="67"/>
  <c r="F84" i="67" s="1"/>
  <c r="E85" i="67"/>
  <c r="E84" i="67" s="1"/>
  <c r="B85" i="67"/>
  <c r="B84" i="67"/>
  <c r="D83" i="67"/>
  <c r="F82" i="67"/>
  <c r="E82" i="67"/>
  <c r="D82" i="67"/>
  <c r="C82" i="67"/>
  <c r="B82" i="67"/>
  <c r="B81" i="67" s="1"/>
  <c r="B80" i="67" s="1"/>
  <c r="F81" i="67"/>
  <c r="E81" i="67"/>
  <c r="E80" i="67" s="1"/>
  <c r="C81" i="67"/>
  <c r="D81" i="67" s="1"/>
  <c r="F80" i="67"/>
  <c r="D79" i="67"/>
  <c r="V78" i="67"/>
  <c r="T78" i="67"/>
  <c r="Q78" i="67"/>
  <c r="P78" i="67"/>
  <c r="O78" i="67"/>
  <c r="N78" i="67"/>
  <c r="F78" i="67"/>
  <c r="E78" i="67"/>
  <c r="U78" i="67" s="1"/>
  <c r="D78" i="67"/>
  <c r="C78" i="67"/>
  <c r="C77" i="67" s="1"/>
  <c r="C76" i="67" s="1"/>
  <c r="B78" i="67"/>
  <c r="S78" i="67" s="1"/>
  <c r="Q77" i="67"/>
  <c r="P77" i="67"/>
  <c r="O77" i="67"/>
  <c r="N77" i="67"/>
  <c r="F77" i="67"/>
  <c r="E77" i="67"/>
  <c r="E76" i="67" s="1"/>
  <c r="D77" i="67"/>
  <c r="B77" i="67"/>
  <c r="Q76" i="67"/>
  <c r="P76" i="67"/>
  <c r="O76" i="67"/>
  <c r="N76" i="67"/>
  <c r="F76" i="67"/>
  <c r="D76" i="67"/>
  <c r="B76" i="67"/>
  <c r="Q75" i="67"/>
  <c r="P75" i="67"/>
  <c r="O75" i="67"/>
  <c r="N75" i="67"/>
  <c r="D75" i="67"/>
  <c r="V74" i="67"/>
  <c r="T74" i="67"/>
  <c r="Q74" i="67"/>
  <c r="P74" i="67"/>
  <c r="O74" i="67"/>
  <c r="N74" i="67"/>
  <c r="F74" i="67"/>
  <c r="E74" i="67"/>
  <c r="D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D73" i="67"/>
  <c r="B73" i="67"/>
  <c r="B72" i="67" s="1"/>
  <c r="Q72" i="67"/>
  <c r="P72" i="67"/>
  <c r="O72" i="67"/>
  <c r="N72" i="67"/>
  <c r="F72" i="67"/>
  <c r="Q71" i="67"/>
  <c r="P71" i="67"/>
  <c r="O71" i="67"/>
  <c r="N71" i="67"/>
  <c r="D71" i="67"/>
  <c r="V70" i="67"/>
  <c r="T70" i="67"/>
  <c r="Q70" i="67"/>
  <c r="P70" i="67"/>
  <c r="O70" i="67"/>
  <c r="N70" i="67"/>
  <c r="F70" i="67"/>
  <c r="E70" i="67"/>
  <c r="U70" i="67" s="1"/>
  <c r="D70" i="67"/>
  <c r="C70" i="67"/>
  <c r="C69" i="67" s="1"/>
  <c r="C68" i="67" s="1"/>
  <c r="B70" i="67"/>
  <c r="Q69" i="67"/>
  <c r="P69" i="67"/>
  <c r="O69" i="67"/>
  <c r="N69" i="67"/>
  <c r="F69" i="67"/>
  <c r="E69" i="67"/>
  <c r="E68" i="67" s="1"/>
  <c r="D69" i="67"/>
  <c r="Q68" i="67"/>
  <c r="P68" i="67"/>
  <c r="O68" i="67"/>
  <c r="N68" i="67"/>
  <c r="F68" i="67"/>
  <c r="D68" i="67"/>
  <c r="Q67" i="67"/>
  <c r="P67" i="67"/>
  <c r="O67" i="67"/>
  <c r="N67" i="67"/>
  <c r="D67" i="67"/>
  <c r="V66" i="67"/>
  <c r="T66" i="67"/>
  <c r="Q66" i="67"/>
  <c r="O66" i="67"/>
  <c r="N66" i="67"/>
  <c r="F66" i="67"/>
  <c r="F65" i="67" s="1"/>
  <c r="Q65" i="67" s="1"/>
  <c r="E66" i="67"/>
  <c r="D66" i="67"/>
  <c r="C66" i="67"/>
  <c r="C65" i="67" s="1"/>
  <c r="B66" i="67"/>
  <c r="S66" i="67" s="1"/>
  <c r="B65" i="67"/>
  <c r="N65" i="67" s="1"/>
  <c r="F64" i="67"/>
  <c r="Q63" i="67" s="1"/>
  <c r="B64" i="67"/>
  <c r="D63" i="67"/>
  <c r="Q62" i="67"/>
  <c r="P62" i="67"/>
  <c r="O62" i="67"/>
  <c r="N62" i="67"/>
  <c r="B62" i="67"/>
  <c r="S62" i="67" s="1"/>
  <c r="Q61" i="67"/>
  <c r="P61" i="67"/>
  <c r="O61" i="67"/>
  <c r="N61" i="67"/>
  <c r="B61" i="67"/>
  <c r="Q60" i="67"/>
  <c r="P60" i="67"/>
  <c r="O60" i="67"/>
  <c r="N60" i="67"/>
  <c r="F60" i="67"/>
  <c r="D60" i="67"/>
  <c r="B60" i="67"/>
  <c r="Q59" i="67"/>
  <c r="P59" i="67"/>
  <c r="E60" i="67" s="1"/>
  <c r="E61" i="67" s="1"/>
  <c r="E62" i="67" s="1"/>
  <c r="U62" i="67" s="1"/>
  <c r="O59" i="67"/>
  <c r="C60" i="67" s="1"/>
  <c r="N59" i="67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B54" i="67" s="1"/>
  <c r="S54" i="67" s="1"/>
  <c r="Q52" i="67"/>
  <c r="P52" i="67"/>
  <c r="O52" i="67"/>
  <c r="N52" i="67"/>
  <c r="F52" i="67"/>
  <c r="F53" i="67" s="1"/>
  <c r="F54" i="67" s="1"/>
  <c r="V54" i="67" s="1"/>
  <c r="D52" i="67"/>
  <c r="B52" i="67"/>
  <c r="B53" i="67" s="1"/>
  <c r="Q51" i="67"/>
  <c r="P51" i="67"/>
  <c r="E52" i="67" s="1"/>
  <c r="E53" i="67" s="1"/>
  <c r="O51" i="67"/>
  <c r="C52" i="67" s="1"/>
  <c r="N51" i="67"/>
  <c r="D51" i="67"/>
  <c r="Q50" i="67"/>
  <c r="P50" i="67"/>
  <c r="O50" i="67"/>
  <c r="N50" i="67"/>
  <c r="E50" i="67"/>
  <c r="U50" i="67" s="1"/>
  <c r="Q49" i="67"/>
  <c r="P49" i="67"/>
  <c r="O49" i="67"/>
  <c r="N49" i="67"/>
  <c r="B49" i="67"/>
  <c r="B50" i="67" s="1"/>
  <c r="S50" i="67" s="1"/>
  <c r="Q48" i="67"/>
  <c r="P48" i="67"/>
  <c r="O48" i="67"/>
  <c r="N48" i="67"/>
  <c r="F48" i="67"/>
  <c r="D48" i="67"/>
  <c r="B48" i="67"/>
  <c r="Q47" i="67"/>
  <c r="P47" i="67"/>
  <c r="E48" i="67" s="1"/>
  <c r="E49" i="67" s="1"/>
  <c r="O47" i="67"/>
  <c r="C48" i="67" s="1"/>
  <c r="N47" i="67"/>
  <c r="D47" i="67"/>
  <c r="T46" i="67"/>
  <c r="Q46" i="67"/>
  <c r="P46" i="67"/>
  <c r="O46" i="67"/>
  <c r="N46" i="67"/>
  <c r="D46" i="67"/>
  <c r="Q45" i="67"/>
  <c r="P45" i="67"/>
  <c r="O45" i="67"/>
  <c r="N45" i="67"/>
  <c r="F45" i="67"/>
  <c r="F46" i="67" s="1"/>
  <c r="V46" i="67" s="1"/>
  <c r="D45" i="67"/>
  <c r="C45" i="67"/>
  <c r="Q44" i="67"/>
  <c r="P44" i="67"/>
  <c r="O44" i="67"/>
  <c r="N44" i="67"/>
  <c r="C44" i="67"/>
  <c r="D44" i="67" s="1"/>
  <c r="Q43" i="67"/>
  <c r="F44" i="67" s="1"/>
  <c r="P43" i="67"/>
  <c r="E44" i="67" s="1"/>
  <c r="E45" i="67" s="1"/>
  <c r="E46" i="67" s="1"/>
  <c r="U46" i="67" s="1"/>
  <c r="O43" i="67"/>
  <c r="N43" i="67"/>
  <c r="B44" i="67" s="1"/>
  <c r="B45" i="67" s="1"/>
  <c r="B46" i="67" s="1"/>
  <c r="S46" i="67" s="1"/>
  <c r="D43" i="67"/>
  <c r="U42" i="67"/>
  <c r="Q42" i="67"/>
  <c r="P42" i="67"/>
  <c r="O42" i="67"/>
  <c r="N42" i="67"/>
  <c r="Q41" i="67"/>
  <c r="P41" i="67"/>
  <c r="O41" i="67"/>
  <c r="N41" i="67"/>
  <c r="F41" i="67"/>
  <c r="F42" i="67" s="1"/>
  <c r="V42" i="67" s="1"/>
  <c r="Q40" i="67"/>
  <c r="P40" i="67"/>
  <c r="O40" i="67"/>
  <c r="N40" i="67"/>
  <c r="C40" i="67"/>
  <c r="Q39" i="67"/>
  <c r="F40" i="67" s="1"/>
  <c r="P39" i="67"/>
  <c r="E40" i="67" s="1"/>
  <c r="E41" i="67" s="1"/>
  <c r="E42" i="67" s="1"/>
  <c r="O39" i="67"/>
  <c r="N39" i="67"/>
  <c r="B40" i="67" s="1"/>
  <c r="B41" i="67" s="1"/>
  <c r="B42" i="67" s="1"/>
  <c r="S42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C33" i="67"/>
  <c r="D33" i="67" s="1"/>
  <c r="Q32" i="67"/>
  <c r="P32" i="67"/>
  <c r="O32" i="67"/>
  <c r="N32" i="67"/>
  <c r="E32" i="67"/>
  <c r="C32" i="67"/>
  <c r="D32" i="67" s="1"/>
  <c r="Q31" i="67"/>
  <c r="F32" i="67" s="1"/>
  <c r="P31" i="67"/>
  <c r="O31" i="67"/>
  <c r="N31" i="67"/>
  <c r="B32" i="67" s="1"/>
  <c r="D31" i="67"/>
  <c r="S30" i="67"/>
  <c r="Q30" i="67"/>
  <c r="P30" i="67"/>
  <c r="O30" i="67"/>
  <c r="N30" i="67"/>
  <c r="Q29" i="67"/>
  <c r="P29" i="67"/>
  <c r="O29" i="67"/>
  <c r="N29" i="67"/>
  <c r="C29" i="67"/>
  <c r="C30" i="67" s="1"/>
  <c r="Q28" i="67"/>
  <c r="F29" i="67" s="1"/>
  <c r="F30" i="67" s="1"/>
  <c r="V30" i="67" s="1"/>
  <c r="P28" i="67"/>
  <c r="O28" i="67"/>
  <c r="N28" i="67"/>
  <c r="C28" i="67"/>
  <c r="D28" i="67" s="1"/>
  <c r="Q27" i="67"/>
  <c r="F28" i="67" s="1"/>
  <c r="P27" i="67"/>
  <c r="E28" i="67" s="1"/>
  <c r="O27" i="67"/>
  <c r="N27" i="67"/>
  <c r="B28" i="67" s="1"/>
  <c r="B29" i="67" s="1"/>
  <c r="B30" i="67" s="1"/>
  <c r="D27" i="67"/>
  <c r="U26" i="67"/>
  <c r="S26" i="67"/>
  <c r="Q26" i="67"/>
  <c r="P26" i="67"/>
  <c r="E26" i="67" s="1"/>
  <c r="E25" i="67" s="1"/>
  <c r="O26" i="67"/>
  <c r="N26" i="67"/>
  <c r="B26" i="67" s="1"/>
  <c r="B25" i="67" s="1"/>
  <c r="B24" i="67" s="1"/>
  <c r="F26" i="67"/>
  <c r="V26" i="67" s="1"/>
  <c r="C26" i="67"/>
  <c r="T26" i="67" s="1"/>
  <c r="Q25" i="67"/>
  <c r="P25" i="67"/>
  <c r="O25" i="67"/>
  <c r="N25" i="67"/>
  <c r="F25" i="67"/>
  <c r="F24" i="67" s="1"/>
  <c r="Q24" i="67"/>
  <c r="P24" i="67"/>
  <c r="O24" i="67"/>
  <c r="N24" i="67"/>
  <c r="E24" i="67"/>
  <c r="Q23" i="67"/>
  <c r="P23" i="67"/>
  <c r="O23" i="67"/>
  <c r="N23" i="67"/>
  <c r="D23" i="67"/>
  <c r="U22" i="67"/>
  <c r="S22" i="67"/>
  <c r="Q22" i="67"/>
  <c r="P22" i="67"/>
  <c r="E22" i="67" s="1"/>
  <c r="E21" i="67" s="1"/>
  <c r="O22" i="67"/>
  <c r="N22" i="67"/>
  <c r="B22" i="67" s="1"/>
  <c r="B21" i="67" s="1"/>
  <c r="F22" i="67"/>
  <c r="C22" i="67"/>
  <c r="Q21" i="67"/>
  <c r="P21" i="67"/>
  <c r="O21" i="67"/>
  <c r="N21" i="67"/>
  <c r="Q20" i="67"/>
  <c r="P20" i="67"/>
  <c r="O20" i="67"/>
  <c r="N20" i="67"/>
  <c r="E20" i="67"/>
  <c r="E19" i="67" s="1"/>
  <c r="Q19" i="67"/>
  <c r="P19" i="67"/>
  <c r="O19" i="67"/>
  <c r="N19" i="67"/>
  <c r="Q18" i="67"/>
  <c r="P18" i="67"/>
  <c r="O18" i="67"/>
  <c r="N18" i="67"/>
  <c r="E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E120" i="39"/>
  <c r="F120" i="39" s="1"/>
  <c r="G120" i="39" s="1"/>
  <c r="D120" i="39"/>
  <c r="A119" i="39"/>
  <c r="J45" i="39" s="1"/>
  <c r="W45" i="39" s="1"/>
  <c r="B117" i="39"/>
  <c r="B115" i="39"/>
  <c r="F43" i="39" s="1"/>
  <c r="S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F108" i="39"/>
  <c r="G108" i="39" s="1"/>
  <c r="H108" i="39" s="1"/>
  <c r="I108" i="39" s="1"/>
  <c r="J108" i="39" s="1"/>
  <c r="K108" i="39" s="1"/>
  <c r="L108" i="39" s="1"/>
  <c r="M108" i="39" s="1"/>
  <c r="E108" i="39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F103" i="39"/>
  <c r="G103" i="39" s="1"/>
  <c r="E103" i="39"/>
  <c r="D103" i="39"/>
  <c r="A102" i="39"/>
  <c r="B100" i="39"/>
  <c r="B98" i="39"/>
  <c r="J97" i="39"/>
  <c r="K97" i="39" s="1"/>
  <c r="L97" i="39" s="1"/>
  <c r="M97" i="39" s="1"/>
  <c r="D97" i="39"/>
  <c r="E97" i="39" s="1"/>
  <c r="F97" i="39" s="1"/>
  <c r="G97" i="39" s="1"/>
  <c r="H97" i="39" s="1"/>
  <c r="I97" i="39" s="1"/>
  <c r="E95" i="39"/>
  <c r="D95" i="39"/>
  <c r="L93" i="39"/>
  <c r="M93" i="39" s="1"/>
  <c r="F93" i="39"/>
  <c r="G93" i="39" s="1"/>
  <c r="H93" i="39" s="1"/>
  <c r="I93" i="39" s="1"/>
  <c r="J93" i="39" s="1"/>
  <c r="K93" i="39" s="1"/>
  <c r="E93" i="39"/>
  <c r="D93" i="39"/>
  <c r="B92" i="39"/>
  <c r="G91" i="39"/>
  <c r="E91" i="39"/>
  <c r="F91" i="39" s="1"/>
  <c r="D91" i="39"/>
  <c r="F89" i="39"/>
  <c r="G89" i="39" s="1"/>
  <c r="E89" i="39"/>
  <c r="D89" i="39"/>
  <c r="F87" i="39"/>
  <c r="G87" i="39" s="1"/>
  <c r="D87" i="39"/>
  <c r="E87" i="39" s="1"/>
  <c r="E85" i="39"/>
  <c r="F85" i="39" s="1"/>
  <c r="G85" i="39" s="1"/>
  <c r="D85" i="39"/>
  <c r="G83" i="39"/>
  <c r="F83" i="39"/>
  <c r="E83" i="39"/>
  <c r="D83" i="39"/>
  <c r="F81" i="39"/>
  <c r="G81" i="39" s="1"/>
  <c r="D81" i="39"/>
  <c r="E81" i="39" s="1"/>
  <c r="G79" i="39"/>
  <c r="E79" i="39"/>
  <c r="F79" i="39" s="1"/>
  <c r="D79" i="39"/>
  <c r="G77" i="39"/>
  <c r="E77" i="39"/>
  <c r="F77" i="39" s="1"/>
  <c r="D77" i="39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G69" i="39"/>
  <c r="H69" i="39" s="1"/>
  <c r="I69" i="39" s="1"/>
  <c r="J69" i="39" s="1"/>
  <c r="K69" i="39" s="1"/>
  <c r="L69" i="39" s="1"/>
  <c r="M69" i="39" s="1"/>
  <c r="E69" i="39"/>
  <c r="F69" i="39" s="1"/>
  <c r="D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J53" i="39"/>
  <c r="I53" i="39"/>
  <c r="G53" i="39"/>
  <c r="H53" i="39" s="1"/>
  <c r="E53" i="39"/>
  <c r="F53" i="39" s="1"/>
  <c r="A48" i="39"/>
  <c r="P48" i="39" s="1"/>
  <c r="P47" i="39"/>
  <c r="V46" i="39"/>
  <c r="T46" i="39"/>
  <c r="R46" i="39"/>
  <c r="P46" i="39"/>
  <c r="AC45" i="39"/>
  <c r="AA45" i="39"/>
  <c r="Z45" i="39"/>
  <c r="Q45" i="39"/>
  <c r="F45" i="39"/>
  <c r="S45" i="39" s="1"/>
  <c r="AC44" i="39"/>
  <c r="AB44" i="39"/>
  <c r="AA44" i="39"/>
  <c r="Z44" i="39"/>
  <c r="W44" i="39"/>
  <c r="U44" i="39"/>
  <c r="S44" i="39"/>
  <c r="Q44" i="39"/>
  <c r="J44" i="39"/>
  <c r="H44" i="39"/>
  <c r="F44" i="39"/>
  <c r="AC43" i="39"/>
  <c r="AB43" i="39"/>
  <c r="AA43" i="39"/>
  <c r="Z43" i="39"/>
  <c r="W43" i="39"/>
  <c r="U43" i="39"/>
  <c r="Q43" i="39"/>
  <c r="J43" i="39"/>
  <c r="H43" i="39"/>
  <c r="AB42" i="39"/>
  <c r="AA42" i="39"/>
  <c r="Z42" i="39"/>
  <c r="W42" i="39"/>
  <c r="U42" i="39"/>
  <c r="S42" i="39"/>
  <c r="Q42" i="39"/>
  <c r="J42" i="39"/>
  <c r="AC42" i="39" s="1"/>
  <c r="H42" i="39"/>
  <c r="F42" i="39"/>
  <c r="Z41" i="39"/>
  <c r="W41" i="39"/>
  <c r="Q41" i="39"/>
  <c r="J41" i="39"/>
  <c r="AC41" i="39" s="1"/>
  <c r="H41" i="39"/>
  <c r="AB41" i="39" s="1"/>
  <c r="F41" i="39"/>
  <c r="S41" i="39" s="1"/>
  <c r="U40" i="39"/>
  <c r="S40" i="39"/>
  <c r="Q40" i="39"/>
  <c r="Z40" i="39" s="1"/>
  <c r="J40" i="39"/>
  <c r="H40" i="39"/>
  <c r="AB40" i="39" s="1"/>
  <c r="F40" i="39"/>
  <c r="AA40" i="39" s="1"/>
  <c r="U39" i="39"/>
  <c r="S39" i="39"/>
  <c r="Q39" i="39"/>
  <c r="Z39" i="39" s="1"/>
  <c r="J39" i="39"/>
  <c r="AC39" i="39" s="1"/>
  <c r="H39" i="39"/>
  <c r="AB39" i="39" s="1"/>
  <c r="F39" i="39"/>
  <c r="AA39" i="39" s="1"/>
  <c r="AC38" i="39"/>
  <c r="AB38" i="39"/>
  <c r="U38" i="39"/>
  <c r="S38" i="39"/>
  <c r="Q38" i="39"/>
  <c r="Z38" i="39" s="1"/>
  <c r="J38" i="39"/>
  <c r="W38" i="39" s="1"/>
  <c r="H38" i="39"/>
  <c r="F38" i="39"/>
  <c r="AA38" i="39" s="1"/>
  <c r="Q37" i="39"/>
  <c r="Z37" i="39" s="1"/>
  <c r="J37" i="39"/>
  <c r="H37" i="39"/>
  <c r="F37" i="39"/>
  <c r="AA36" i="39"/>
  <c r="Z36" i="39"/>
  <c r="Q36" i="39"/>
  <c r="J36" i="39"/>
  <c r="W36" i="39" s="1"/>
  <c r="H36" i="39"/>
  <c r="U36" i="39" s="1"/>
  <c r="F36" i="39"/>
  <c r="S36" i="39" s="1"/>
  <c r="AA35" i="39"/>
  <c r="Z35" i="39"/>
  <c r="Q35" i="39"/>
  <c r="J35" i="39"/>
  <c r="H35" i="39"/>
  <c r="F35" i="39"/>
  <c r="S35" i="39" s="1"/>
  <c r="AC34" i="39"/>
  <c r="AB34" i="39"/>
  <c r="Z34" i="39"/>
  <c r="W34" i="39"/>
  <c r="U34" i="39"/>
  <c r="Q34" i="39"/>
  <c r="J34" i="39"/>
  <c r="H34" i="39"/>
  <c r="F34" i="39"/>
  <c r="Z32" i="39"/>
  <c r="Q32" i="39"/>
  <c r="Q31" i="39"/>
  <c r="Z31" i="39" s="1"/>
  <c r="AC29" i="39"/>
  <c r="AB29" i="39"/>
  <c r="AA29" i="39"/>
  <c r="Z29" i="39"/>
  <c r="W29" i="39"/>
  <c r="U29" i="39"/>
  <c r="S29" i="39"/>
  <c r="Q29" i="39"/>
  <c r="J29" i="39"/>
  <c r="H29" i="39"/>
  <c r="F29" i="39"/>
  <c r="C29" i="39"/>
  <c r="AC27" i="39"/>
  <c r="AB27" i="39"/>
  <c r="AA27" i="39"/>
  <c r="Z27" i="39"/>
  <c r="U27" i="39"/>
  <c r="S27" i="39"/>
  <c r="Q27" i="39"/>
  <c r="J27" i="39"/>
  <c r="W27" i="39" s="1"/>
  <c r="H27" i="39"/>
  <c r="F27" i="39"/>
  <c r="C27" i="39"/>
  <c r="AC25" i="39"/>
  <c r="AB25" i="39"/>
  <c r="AA25" i="39"/>
  <c r="Z25" i="39"/>
  <c r="U25" i="39"/>
  <c r="S25" i="39"/>
  <c r="Q25" i="39"/>
  <c r="J25" i="39"/>
  <c r="W25" i="39" s="1"/>
  <c r="H25" i="39"/>
  <c r="F25" i="39"/>
  <c r="C25" i="39"/>
  <c r="AC23" i="39"/>
  <c r="AB23" i="39"/>
  <c r="AA23" i="39"/>
  <c r="Z23" i="39"/>
  <c r="S23" i="39"/>
  <c r="Q23" i="39"/>
  <c r="J23" i="39"/>
  <c r="W23" i="39" s="1"/>
  <c r="H23" i="39"/>
  <c r="U23" i="39" s="1"/>
  <c r="F23" i="39"/>
  <c r="C23" i="39"/>
  <c r="S21" i="39"/>
  <c r="Q21" i="39"/>
  <c r="Z21" i="39" s="1"/>
  <c r="J21" i="39"/>
  <c r="H21" i="39"/>
  <c r="U21" i="39" s="1"/>
  <c r="F21" i="39"/>
  <c r="AA21" i="39" s="1"/>
  <c r="C21" i="39"/>
  <c r="Q19" i="39"/>
  <c r="Z19" i="39" s="1"/>
  <c r="J19" i="39"/>
  <c r="H19" i="39"/>
  <c r="F19" i="39"/>
  <c r="C19" i="39"/>
  <c r="AC17" i="39"/>
  <c r="Q17" i="39"/>
  <c r="Z17" i="39" s="1"/>
  <c r="J17" i="39"/>
  <c r="W17" i="39" s="1"/>
  <c r="H17" i="39"/>
  <c r="U17" i="39" s="1"/>
  <c r="F17" i="39"/>
  <c r="C17" i="39"/>
  <c r="AC15" i="39"/>
  <c r="AB15" i="39"/>
  <c r="AA15" i="39"/>
  <c r="Q15" i="39"/>
  <c r="Z15" i="39" s="1"/>
  <c r="J15" i="39"/>
  <c r="W15" i="39" s="1"/>
  <c r="H15" i="39"/>
  <c r="U15" i="39" s="1"/>
  <c r="F15" i="39"/>
  <c r="S15" i="39" s="1"/>
  <c r="C15" i="39"/>
  <c r="AC14" i="39"/>
  <c r="AB14" i="39"/>
  <c r="AA14" i="39"/>
  <c r="Z14" i="39"/>
  <c r="S14" i="39"/>
  <c r="Q14" i="39"/>
  <c r="J14" i="39"/>
  <c r="W14" i="39" s="1"/>
  <c r="H14" i="39"/>
  <c r="U14" i="39" s="1"/>
  <c r="F14" i="39"/>
  <c r="AA13" i="39"/>
  <c r="Z13" i="39"/>
  <c r="W13" i="39"/>
  <c r="U13" i="39"/>
  <c r="Q13" i="39"/>
  <c r="J13" i="39"/>
  <c r="AC13" i="39" s="1"/>
  <c r="H13" i="39"/>
  <c r="AB13" i="39" s="1"/>
  <c r="F13" i="39"/>
  <c r="S13" i="39" s="1"/>
  <c r="Q12" i="39"/>
  <c r="Z12" i="39" s="1"/>
  <c r="C12" i="39"/>
  <c r="F12" i="39" s="1"/>
  <c r="Q11" i="39"/>
  <c r="Z11" i="39" s="1"/>
  <c r="AC10" i="39"/>
  <c r="AB10" i="39"/>
  <c r="AA10" i="39"/>
  <c r="Z10" i="39"/>
  <c r="W10" i="39"/>
  <c r="U10" i="39"/>
  <c r="S10" i="39"/>
  <c r="Q10" i="39"/>
  <c r="Q9" i="39"/>
  <c r="Z9" i="39" s="1"/>
  <c r="J9" i="39"/>
  <c r="H9" i="39"/>
  <c r="C9" i="39"/>
  <c r="F9" i="39" s="1"/>
  <c r="J8" i="39"/>
  <c r="W8" i="39" s="1"/>
  <c r="H8" i="39"/>
  <c r="AB8" i="39" s="1"/>
  <c r="F8" i="39"/>
  <c r="B2" i="39"/>
  <c r="D30" i="64"/>
  <c r="D28" i="64"/>
  <c r="C25" i="64"/>
  <c r="C24" i="64"/>
  <c r="C18" i="64"/>
  <c r="B11" i="64"/>
  <c r="C21" i="64" s="1"/>
  <c r="B10" i="64"/>
  <c r="B9" i="64"/>
  <c r="D27" i="64" s="1"/>
  <c r="B7" i="64"/>
  <c r="D14" i="64" s="1"/>
  <c r="B5" i="64"/>
  <c r="C15" i="64" s="1"/>
  <c r="B2" i="64"/>
  <c r="K94" i="62"/>
  <c r="J94" i="62"/>
  <c r="I94" i="62"/>
  <c r="G94" i="62"/>
  <c r="F94" i="62"/>
  <c r="E94" i="62"/>
  <c r="B94" i="62"/>
  <c r="K93" i="62"/>
  <c r="J93" i="62"/>
  <c r="I93" i="62"/>
  <c r="F93" i="62"/>
  <c r="E93" i="62"/>
  <c r="C93" i="62"/>
  <c r="K92" i="62"/>
  <c r="J92" i="62"/>
  <c r="H92" i="62"/>
  <c r="G92" i="62"/>
  <c r="F92" i="62"/>
  <c r="E92" i="62"/>
  <c r="D92" i="62"/>
  <c r="C92" i="62"/>
  <c r="K91" i="62"/>
  <c r="J91" i="62"/>
  <c r="F91" i="62"/>
  <c r="E91" i="62"/>
  <c r="D91" i="62"/>
  <c r="C91" i="62"/>
  <c r="B91" i="62"/>
  <c r="K90" i="62"/>
  <c r="J90" i="62"/>
  <c r="G90" i="62"/>
  <c r="F90" i="62"/>
  <c r="B90" i="62"/>
  <c r="K89" i="62"/>
  <c r="J89" i="62"/>
  <c r="I89" i="62"/>
  <c r="H89" i="62"/>
  <c r="G89" i="62"/>
  <c r="F89" i="62"/>
  <c r="D89" i="62"/>
  <c r="K88" i="62"/>
  <c r="J88" i="62"/>
  <c r="I88" i="62"/>
  <c r="H88" i="62"/>
  <c r="G88" i="62"/>
  <c r="F88" i="62"/>
  <c r="C88" i="62"/>
  <c r="B88" i="62"/>
  <c r="K87" i="62"/>
  <c r="J87" i="62"/>
  <c r="H87" i="62"/>
  <c r="G87" i="62"/>
  <c r="E87" i="62"/>
  <c r="D87" i="62"/>
  <c r="K86" i="62"/>
  <c r="J86" i="62"/>
  <c r="I86" i="62"/>
  <c r="H86" i="62"/>
  <c r="E86" i="62"/>
  <c r="D86" i="62"/>
  <c r="J85" i="62"/>
  <c r="I85" i="62"/>
  <c r="H85" i="62"/>
  <c r="G85" i="62"/>
  <c r="F85" i="62"/>
  <c r="E85" i="62"/>
  <c r="D85" i="62"/>
  <c r="C85" i="62"/>
  <c r="B85" i="62"/>
  <c r="K84" i="62"/>
  <c r="J84" i="62"/>
  <c r="H84" i="62"/>
  <c r="F84" i="62"/>
  <c r="E84" i="62"/>
  <c r="D84" i="62"/>
  <c r="K83" i="62"/>
  <c r="J83" i="62"/>
  <c r="I83" i="62"/>
  <c r="H83" i="62"/>
  <c r="G83" i="62"/>
  <c r="E83" i="62"/>
  <c r="D83" i="62"/>
  <c r="B83" i="62"/>
  <c r="K82" i="62"/>
  <c r="J82" i="62"/>
  <c r="H82" i="62"/>
  <c r="F82" i="62"/>
  <c r="E82" i="62"/>
  <c r="D82" i="62"/>
  <c r="J81" i="62"/>
  <c r="I81" i="62"/>
  <c r="H81" i="62"/>
  <c r="G81" i="62"/>
  <c r="F81" i="62"/>
  <c r="E81" i="62"/>
  <c r="D81" i="62"/>
  <c r="C81" i="62"/>
  <c r="K80" i="62"/>
  <c r="J80" i="62"/>
  <c r="H80" i="62"/>
  <c r="F80" i="62"/>
  <c r="E80" i="62"/>
  <c r="D80" i="62"/>
  <c r="C80" i="62"/>
  <c r="B80" i="62"/>
  <c r="K79" i="62"/>
  <c r="J79" i="62"/>
  <c r="I79" i="62"/>
  <c r="G79" i="62"/>
  <c r="F79" i="62"/>
  <c r="E79" i="62"/>
  <c r="B79" i="62"/>
  <c r="K78" i="62"/>
  <c r="J78" i="62"/>
  <c r="I78" i="62"/>
  <c r="G78" i="62"/>
  <c r="F78" i="62"/>
  <c r="D78" i="62"/>
  <c r="B78" i="62"/>
  <c r="J77" i="62"/>
  <c r="I77" i="62"/>
  <c r="H77" i="62"/>
  <c r="G77" i="62"/>
  <c r="F77" i="62"/>
  <c r="E77" i="62"/>
  <c r="D77" i="62"/>
  <c r="B77" i="62"/>
  <c r="K76" i="62"/>
  <c r="J76" i="62"/>
  <c r="I76" i="62"/>
  <c r="G76" i="62"/>
  <c r="F76" i="62"/>
  <c r="E76" i="62"/>
  <c r="C76" i="62"/>
  <c r="B76" i="62"/>
  <c r="K75" i="62"/>
  <c r="J75" i="62"/>
  <c r="I75" i="62"/>
  <c r="G75" i="62"/>
  <c r="F75" i="62"/>
  <c r="E75" i="62"/>
  <c r="K74" i="62"/>
  <c r="J74" i="62"/>
  <c r="I74" i="62"/>
  <c r="H74" i="62"/>
  <c r="G74" i="62"/>
  <c r="F74" i="62"/>
  <c r="D74" i="62"/>
  <c r="J73" i="62"/>
  <c r="I73" i="62"/>
  <c r="H73" i="62"/>
  <c r="G73" i="62"/>
  <c r="F73" i="62"/>
  <c r="E73" i="62"/>
  <c r="D73" i="62"/>
  <c r="B73" i="62"/>
  <c r="K72" i="62"/>
  <c r="J72" i="62"/>
  <c r="I72" i="62"/>
  <c r="G72" i="62"/>
  <c r="E72" i="62"/>
  <c r="D72" i="62"/>
  <c r="C72" i="62"/>
  <c r="B72" i="62"/>
  <c r="K71" i="62"/>
  <c r="J71" i="62"/>
  <c r="I71" i="62"/>
  <c r="H71" i="62"/>
  <c r="G71" i="62"/>
  <c r="D71" i="62"/>
  <c r="C71" i="62"/>
  <c r="J70" i="62"/>
  <c r="I70" i="62"/>
  <c r="H70" i="62"/>
  <c r="G70" i="62"/>
  <c r="F70" i="62"/>
  <c r="E70" i="62"/>
  <c r="B70" i="62"/>
  <c r="J69" i="62"/>
  <c r="I69" i="62"/>
  <c r="G69" i="62"/>
  <c r="F69" i="62"/>
  <c r="E69" i="62"/>
  <c r="D69" i="62"/>
  <c r="K68" i="62"/>
  <c r="J68" i="62"/>
  <c r="I68" i="62"/>
  <c r="H68" i="62"/>
  <c r="G68" i="62"/>
  <c r="D68" i="62"/>
  <c r="B68" i="62"/>
  <c r="K67" i="62"/>
  <c r="J67" i="62"/>
  <c r="I67" i="62"/>
  <c r="G67" i="62"/>
  <c r="C67" i="62"/>
  <c r="B67" i="62"/>
  <c r="J66" i="62"/>
  <c r="I66" i="62"/>
  <c r="G66" i="62"/>
  <c r="F66" i="62"/>
  <c r="C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H94" i="62" s="1"/>
  <c r="L31" i="62"/>
  <c r="H31" i="62"/>
  <c r="F31" i="62"/>
  <c r="D94" i="62" s="1"/>
  <c r="D31" i="62"/>
  <c r="C94" i="62" s="1"/>
  <c r="B31" i="62"/>
  <c r="P30" i="62"/>
  <c r="N30" i="62"/>
  <c r="H93" i="62" s="1"/>
  <c r="L30" i="62"/>
  <c r="G93" i="62" s="1"/>
  <c r="H30" i="62"/>
  <c r="F30" i="62"/>
  <c r="D93" i="62" s="1"/>
  <c r="D30" i="62"/>
  <c r="B30" i="62"/>
  <c r="B93" i="62" s="1"/>
  <c r="P29" i="62"/>
  <c r="I92" i="62" s="1"/>
  <c r="N29" i="62"/>
  <c r="L29" i="62"/>
  <c r="H29" i="62"/>
  <c r="F29" i="62"/>
  <c r="D29" i="62"/>
  <c r="B29" i="62"/>
  <c r="B92" i="62" s="1"/>
  <c r="P28" i="62"/>
  <c r="I91" i="62" s="1"/>
  <c r="N28" i="62"/>
  <c r="H91" i="62" s="1"/>
  <c r="L28" i="62"/>
  <c r="G91" i="62" s="1"/>
  <c r="H28" i="62"/>
  <c r="F28" i="62"/>
  <c r="D28" i="62"/>
  <c r="B28" i="62"/>
  <c r="P27" i="62"/>
  <c r="I90" i="62" s="1"/>
  <c r="N27" i="62"/>
  <c r="H90" i="62" s="1"/>
  <c r="L27" i="62"/>
  <c r="H27" i="62"/>
  <c r="E90" i="62" s="1"/>
  <c r="F27" i="62"/>
  <c r="D90" i="62" s="1"/>
  <c r="D27" i="62"/>
  <c r="C90" i="62" s="1"/>
  <c r="B27" i="62"/>
  <c r="P26" i="62"/>
  <c r="N26" i="62"/>
  <c r="L26" i="62"/>
  <c r="H26" i="62"/>
  <c r="E89" i="62" s="1"/>
  <c r="F26" i="62"/>
  <c r="D26" i="62"/>
  <c r="C89" i="62" s="1"/>
  <c r="B26" i="62"/>
  <c r="B89" i="62" s="1"/>
  <c r="P25" i="62"/>
  <c r="N25" i="62"/>
  <c r="L25" i="62"/>
  <c r="H25" i="62"/>
  <c r="E88" i="62" s="1"/>
  <c r="F25" i="62"/>
  <c r="D88" i="62" s="1"/>
  <c r="D25" i="62"/>
  <c r="B25" i="62"/>
  <c r="T24" i="62"/>
  <c r="P24" i="62"/>
  <c r="I87" i="62" s="1"/>
  <c r="L24" i="62"/>
  <c r="J24" i="62"/>
  <c r="F87" i="62" s="1"/>
  <c r="D24" i="62"/>
  <c r="C87" i="62" s="1"/>
  <c r="B24" i="62"/>
  <c r="B87" i="62" s="1"/>
  <c r="T23" i="62"/>
  <c r="P23" i="62"/>
  <c r="L23" i="62"/>
  <c r="G86" i="62" s="1"/>
  <c r="J23" i="62"/>
  <c r="F86" i="62" s="1"/>
  <c r="D23" i="62"/>
  <c r="C86" i="62" s="1"/>
  <c r="B23" i="62"/>
  <c r="B86" i="62" s="1"/>
  <c r="T22" i="62"/>
  <c r="K85" i="62" s="1"/>
  <c r="P22" i="62"/>
  <c r="L22" i="62"/>
  <c r="J22" i="62"/>
  <c r="D22" i="62"/>
  <c r="B22" i="62"/>
  <c r="T21" i="62"/>
  <c r="P21" i="62"/>
  <c r="I84" i="62" s="1"/>
  <c r="L21" i="62"/>
  <c r="G84" i="62" s="1"/>
  <c r="J21" i="62"/>
  <c r="D21" i="62"/>
  <c r="C84" i="62" s="1"/>
  <c r="B21" i="62"/>
  <c r="B84" i="62" s="1"/>
  <c r="T20" i="62"/>
  <c r="P20" i="62"/>
  <c r="L20" i="62"/>
  <c r="J20" i="62"/>
  <c r="F83" i="62" s="1"/>
  <c r="D20" i="62"/>
  <c r="C83" i="62" s="1"/>
  <c r="B20" i="62"/>
  <c r="T19" i="62"/>
  <c r="P19" i="62"/>
  <c r="I82" i="62" s="1"/>
  <c r="L19" i="62"/>
  <c r="G82" i="62" s="1"/>
  <c r="J19" i="62"/>
  <c r="D19" i="62"/>
  <c r="C82" i="62" s="1"/>
  <c r="B19" i="62"/>
  <c r="B82" i="62" s="1"/>
  <c r="T18" i="62"/>
  <c r="K81" i="62" s="1"/>
  <c r="P18" i="62"/>
  <c r="L18" i="62"/>
  <c r="J18" i="62"/>
  <c r="D18" i="62"/>
  <c r="B18" i="62"/>
  <c r="B81" i="62" s="1"/>
  <c r="T17" i="62"/>
  <c r="P17" i="62"/>
  <c r="I80" i="62" s="1"/>
  <c r="L17" i="62"/>
  <c r="G80" i="62" s="1"/>
  <c r="J17" i="62"/>
  <c r="D17" i="62"/>
  <c r="B17" i="62"/>
  <c r="T16" i="62"/>
  <c r="N16" i="62"/>
  <c r="H79" i="62" s="1"/>
  <c r="H16" i="62"/>
  <c r="F16" i="62"/>
  <c r="D79" i="62" s="1"/>
  <c r="D16" i="62"/>
  <c r="C79" i="62" s="1"/>
  <c r="B16" i="62"/>
  <c r="T15" i="62"/>
  <c r="N15" i="62"/>
  <c r="H78" i="62" s="1"/>
  <c r="H15" i="62"/>
  <c r="E78" i="62" s="1"/>
  <c r="F15" i="62"/>
  <c r="D15" i="62"/>
  <c r="C78" i="62" s="1"/>
  <c r="B15" i="62"/>
  <c r="T14" i="62"/>
  <c r="K77" i="62" s="1"/>
  <c r="N14" i="62"/>
  <c r="H14" i="62"/>
  <c r="F14" i="62"/>
  <c r="D14" i="62"/>
  <c r="C77" i="62" s="1"/>
  <c r="B14" i="62"/>
  <c r="T13" i="62"/>
  <c r="N13" i="62"/>
  <c r="H76" i="62" s="1"/>
  <c r="H13" i="62"/>
  <c r="F13" i="62"/>
  <c r="D76" i="62" s="1"/>
  <c r="D13" i="62"/>
  <c r="B13" i="62"/>
  <c r="T12" i="62"/>
  <c r="N12" i="62"/>
  <c r="H75" i="62" s="1"/>
  <c r="H12" i="62"/>
  <c r="F12" i="62"/>
  <c r="D75" i="62" s="1"/>
  <c r="D12" i="62"/>
  <c r="C75" i="62" s="1"/>
  <c r="B12" i="62"/>
  <c r="B75" i="62" s="1"/>
  <c r="T11" i="62"/>
  <c r="N11" i="62"/>
  <c r="H11" i="62"/>
  <c r="E74" i="62" s="1"/>
  <c r="F11" i="62"/>
  <c r="D11" i="62"/>
  <c r="C74" i="62" s="1"/>
  <c r="B11" i="62"/>
  <c r="B74" i="62" s="1"/>
  <c r="T10" i="62"/>
  <c r="K73" i="62" s="1"/>
  <c r="N10" i="62"/>
  <c r="H10" i="62"/>
  <c r="F10" i="62"/>
  <c r="D10" i="62"/>
  <c r="C73" i="62" s="1"/>
  <c r="B10" i="62"/>
  <c r="T9" i="62"/>
  <c r="N9" i="62"/>
  <c r="H72" i="62" s="1"/>
  <c r="J9" i="62"/>
  <c r="F72" i="62" s="1"/>
  <c r="H9" i="62"/>
  <c r="F9" i="62"/>
  <c r="D9" i="62"/>
  <c r="B9" i="62"/>
  <c r="T8" i="62"/>
  <c r="N8" i="62"/>
  <c r="J8" i="62"/>
  <c r="F71" i="62" s="1"/>
  <c r="H8" i="62"/>
  <c r="E71" i="62" s="1"/>
  <c r="F8" i="62"/>
  <c r="D8" i="62"/>
  <c r="B8" i="62"/>
  <c r="B71" i="62" s="1"/>
  <c r="T7" i="62"/>
  <c r="K70" i="62" s="1"/>
  <c r="N7" i="62"/>
  <c r="J7" i="62"/>
  <c r="H7" i="62"/>
  <c r="F7" i="62"/>
  <c r="D70" i="62" s="1"/>
  <c r="D7" i="62"/>
  <c r="C70" i="62" s="1"/>
  <c r="B7" i="62"/>
  <c r="T6" i="62"/>
  <c r="K69" i="62" s="1"/>
  <c r="N6" i="62"/>
  <c r="H69" i="62" s="1"/>
  <c r="J6" i="62"/>
  <c r="H6" i="62"/>
  <c r="F6" i="62"/>
  <c r="D6" i="62"/>
  <c r="C69" i="62" s="1"/>
  <c r="B6" i="62"/>
  <c r="B69" i="62" s="1"/>
  <c r="T5" i="62"/>
  <c r="N5" i="62"/>
  <c r="J5" i="62"/>
  <c r="F68" i="62" s="1"/>
  <c r="H5" i="62"/>
  <c r="E68" i="62" s="1"/>
  <c r="F5" i="62"/>
  <c r="D5" i="62"/>
  <c r="C68" i="62" s="1"/>
  <c r="B5" i="62"/>
  <c r="T4" i="62"/>
  <c r="N4" i="62"/>
  <c r="H67" i="62" s="1"/>
  <c r="J4" i="62"/>
  <c r="F67" i="62" s="1"/>
  <c r="H4" i="62"/>
  <c r="E67" i="62" s="1"/>
  <c r="F4" i="62"/>
  <c r="D67" i="62" s="1"/>
  <c r="D4" i="62"/>
  <c r="B4" i="62"/>
  <c r="T3" i="62"/>
  <c r="K66" i="62" s="1"/>
  <c r="N3" i="62"/>
  <c r="H66" i="62" s="1"/>
  <c r="J3" i="62"/>
  <c r="H3" i="62"/>
  <c r="E66" i="62" s="1"/>
  <c r="F3" i="62"/>
  <c r="D66" i="62" s="1"/>
  <c r="D3" i="62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K1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D19" i="63"/>
  <c r="H10" i="63"/>
  <c r="G10" i="63"/>
  <c r="F9" i="63"/>
  <c r="G3" i="63"/>
  <c r="G12" i="63" s="1"/>
  <c r="H12" i="63" s="1"/>
  <c r="G2" i="63"/>
  <c r="J51" i="63" s="1"/>
  <c r="I51" i="63" s="1"/>
  <c r="E2" i="63"/>
  <c r="J1" i="63"/>
  <c r="D21" i="63" s="1"/>
  <c r="H1" i="63"/>
  <c r="D20" i="63" s="1"/>
  <c r="M15" i="45"/>
  <c r="L15" i="45"/>
  <c r="K15" i="45"/>
  <c r="J15" i="45"/>
  <c r="I15" i="45"/>
  <c r="H15" i="45"/>
  <c r="G15" i="45"/>
  <c r="F15" i="45"/>
  <c r="E15" i="45"/>
  <c r="D15" i="45"/>
  <c r="C15" i="45"/>
  <c r="B15" i="45"/>
  <c r="H14" i="44"/>
  <c r="H12" i="44"/>
  <c r="H10" i="44"/>
  <c r="J109" i="43"/>
  <c r="I109" i="43"/>
  <c r="H109" i="43"/>
  <c r="G109" i="43"/>
  <c r="F109" i="43"/>
  <c r="D109" i="43"/>
  <c r="N101" i="43"/>
  <c r="M101" i="43"/>
  <c r="L101" i="43"/>
  <c r="J101" i="43"/>
  <c r="H101" i="43"/>
  <c r="F101" i="43"/>
  <c r="D101" i="43"/>
  <c r="N100" i="43"/>
  <c r="N109" i="43" s="1"/>
  <c r="M100" i="43"/>
  <c r="M109" i="43" s="1"/>
  <c r="L100" i="43"/>
  <c r="L109" i="43" s="1"/>
  <c r="K100" i="43"/>
  <c r="J100" i="43"/>
  <c r="I100" i="43"/>
  <c r="I101" i="43" s="1"/>
  <c r="H100" i="43"/>
  <c r="G100" i="43"/>
  <c r="G101" i="43" s="1"/>
  <c r="F100" i="43"/>
  <c r="E100" i="43"/>
  <c r="E109" i="43" s="1"/>
  <c r="D100" i="43"/>
  <c r="C100" i="43"/>
  <c r="C109" i="43" s="1"/>
  <c r="M88" i="43"/>
  <c r="N88" i="43" s="1"/>
  <c r="K88" i="43"/>
  <c r="J88" i="43" s="1"/>
  <c r="D88" i="43"/>
  <c r="B88" i="43"/>
  <c r="N87" i="43"/>
  <c r="M87" i="43"/>
  <c r="K87" i="43"/>
  <c r="J87" i="43" s="1"/>
  <c r="D87" i="43"/>
  <c r="M86" i="43"/>
  <c r="N86" i="43" s="1"/>
  <c r="K86" i="43"/>
  <c r="J86" i="43"/>
  <c r="D86" i="43"/>
  <c r="B86" i="43"/>
  <c r="N85" i="43"/>
  <c r="M85" i="43"/>
  <c r="K85" i="43"/>
  <c r="J85" i="43" s="1"/>
  <c r="D85" i="43"/>
  <c r="B85" i="43"/>
  <c r="M84" i="43"/>
  <c r="N84" i="43" s="1"/>
  <c r="K84" i="43"/>
  <c r="J84" i="43"/>
  <c r="D84" i="43"/>
  <c r="B84" i="43"/>
  <c r="N83" i="43"/>
  <c r="M83" i="43"/>
  <c r="K83" i="43"/>
  <c r="J83" i="43"/>
  <c r="D83" i="43"/>
  <c r="E81" i="43" s="1"/>
  <c r="B79" i="43" s="1"/>
  <c r="B83" i="43"/>
  <c r="N82" i="43"/>
  <c r="M82" i="43"/>
  <c r="K82" i="43"/>
  <c r="J82" i="43"/>
  <c r="D82" i="43"/>
  <c r="B82" i="43"/>
  <c r="M81" i="43"/>
  <c r="N81" i="43" s="1"/>
  <c r="K81" i="43"/>
  <c r="J81" i="43" s="1"/>
  <c r="F81" i="43"/>
  <c r="D81" i="43"/>
  <c r="B81" i="43"/>
  <c r="N78" i="43"/>
  <c r="M78" i="43"/>
  <c r="K78" i="43"/>
  <c r="J78" i="43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/>
  <c r="D75" i="43"/>
  <c r="B75" i="43"/>
  <c r="M74" i="43"/>
  <c r="N74" i="43" s="1"/>
  <c r="K74" i="43"/>
  <c r="J74" i="43"/>
  <c r="D74" i="43"/>
  <c r="B74" i="43"/>
  <c r="M73" i="43"/>
  <c r="N73" i="43" s="1"/>
  <c r="K73" i="43"/>
  <c r="J73" i="43"/>
  <c r="D73" i="43"/>
  <c r="B73" i="43"/>
  <c r="M72" i="43"/>
  <c r="N72" i="43" s="1"/>
  <c r="K72" i="43"/>
  <c r="J72" i="43"/>
  <c r="D72" i="43"/>
  <c r="B72" i="43"/>
  <c r="M71" i="43"/>
  <c r="N71" i="43" s="1"/>
  <c r="K71" i="43"/>
  <c r="J71" i="43"/>
  <c r="D71" i="43"/>
  <c r="E70" i="43" s="1"/>
  <c r="B68" i="43" s="1"/>
  <c r="C24" i="43" s="1"/>
  <c r="B71" i="43"/>
  <c r="M70" i="43"/>
  <c r="N70" i="43" s="1"/>
  <c r="K70" i="43"/>
  <c r="J70" i="43" s="1"/>
  <c r="D70" i="43"/>
  <c r="B70" i="43"/>
  <c r="N67" i="43"/>
  <c r="M67" i="43"/>
  <c r="K67" i="43"/>
  <c r="J67" i="43"/>
  <c r="D67" i="43"/>
  <c r="B67" i="43"/>
  <c r="M66" i="43"/>
  <c r="N66" i="43" s="1"/>
  <c r="K66" i="43"/>
  <c r="J66" i="43"/>
  <c r="D66" i="43"/>
  <c r="B66" i="43"/>
  <c r="N65" i="43"/>
  <c r="M65" i="43"/>
  <c r="K65" i="43"/>
  <c r="J65" i="43" s="1"/>
  <c r="D65" i="43"/>
  <c r="B65" i="43"/>
  <c r="M64" i="43"/>
  <c r="N64" i="43" s="1"/>
  <c r="K64" i="43"/>
  <c r="J64" i="43" s="1"/>
  <c r="D64" i="43"/>
  <c r="M63" i="43"/>
  <c r="N63" i="43" s="1"/>
  <c r="K63" i="43"/>
  <c r="J63" i="43"/>
  <c r="D63" i="43"/>
  <c r="B63" i="43"/>
  <c r="M62" i="43"/>
  <c r="N62" i="43" s="1"/>
  <c r="K62" i="43"/>
  <c r="J62" i="43"/>
  <c r="D62" i="43"/>
  <c r="E59" i="43" s="1"/>
  <c r="B57" i="43" s="1"/>
  <c r="N61" i="43"/>
  <c r="M61" i="43"/>
  <c r="K61" i="43"/>
  <c r="J61" i="43" s="1"/>
  <c r="D61" i="43"/>
  <c r="B61" i="43"/>
  <c r="M60" i="43"/>
  <c r="N60" i="43" s="1"/>
  <c r="K60" i="43"/>
  <c r="J60" i="43"/>
  <c r="D60" i="43"/>
  <c r="B60" i="43"/>
  <c r="N59" i="43"/>
  <c r="M59" i="43"/>
  <c r="K59" i="43"/>
  <c r="J59" i="43" s="1"/>
  <c r="F59" i="43"/>
  <c r="H67" i="43" s="1"/>
  <c r="D59" i="43"/>
  <c r="B59" i="43"/>
  <c r="N56" i="43"/>
  <c r="M56" i="43"/>
  <c r="K56" i="43"/>
  <c r="J56" i="43" s="1"/>
  <c r="D56" i="43"/>
  <c r="B56" i="43"/>
  <c r="M55" i="43"/>
  <c r="N55" i="43" s="1"/>
  <c r="K55" i="43"/>
  <c r="J55" i="43" s="1"/>
  <c r="D55" i="43"/>
  <c r="B55" i="43"/>
  <c r="N54" i="43"/>
  <c r="M54" i="43"/>
  <c r="K54" i="43"/>
  <c r="J54" i="43" s="1"/>
  <c r="D54" i="43"/>
  <c r="B54" i="43"/>
  <c r="M53" i="43"/>
  <c r="N53" i="43" s="1"/>
  <c r="K53" i="43"/>
  <c r="J53" i="43" s="1"/>
  <c r="D53" i="43"/>
  <c r="M52" i="43"/>
  <c r="N52" i="43" s="1"/>
  <c r="K52" i="43"/>
  <c r="J52" i="43"/>
  <c r="D52" i="43"/>
  <c r="B52" i="43"/>
  <c r="M51" i="43"/>
  <c r="N51" i="43" s="1"/>
  <c r="K51" i="43"/>
  <c r="J51" i="43" s="1"/>
  <c r="D51" i="43"/>
  <c r="N50" i="43"/>
  <c r="M50" i="43"/>
  <c r="K50" i="43"/>
  <c r="J50" i="43"/>
  <c r="D50" i="43"/>
  <c r="E48" i="43" s="1"/>
  <c r="B46" i="43" s="1"/>
  <c r="B50" i="43"/>
  <c r="N49" i="43"/>
  <c r="M49" i="43"/>
  <c r="K49" i="43"/>
  <c r="J49" i="43"/>
  <c r="D49" i="43"/>
  <c r="B49" i="43"/>
  <c r="M48" i="43"/>
  <c r="N48" i="43" s="1"/>
  <c r="K48" i="43"/>
  <c r="J48" i="43" s="1"/>
  <c r="F48" i="43"/>
  <c r="H55" i="43" s="1"/>
  <c r="D48" i="43"/>
  <c r="B48" i="43"/>
  <c r="H39" i="43"/>
  <c r="H38" i="43"/>
  <c r="F38" i="43"/>
  <c r="H37" i="43"/>
  <c r="H36" i="43"/>
  <c r="H35" i="43"/>
  <c r="H34" i="43"/>
  <c r="H33" i="43"/>
  <c r="J20" i="43"/>
  <c r="F19" i="43"/>
  <c r="C18" i="43"/>
  <c r="A16" i="43"/>
  <c r="F15" i="43"/>
  <c r="E15" i="43"/>
  <c r="D15" i="43"/>
  <c r="C15" i="43"/>
  <c r="C12" i="43"/>
  <c r="A12" i="43"/>
  <c r="N11" i="43"/>
  <c r="M11" i="43"/>
  <c r="C10" i="43"/>
  <c r="C11" i="43" s="1"/>
  <c r="M9" i="43"/>
  <c r="E9" i="43"/>
  <c r="C9" i="43"/>
  <c r="N8" i="43"/>
  <c r="A7" i="43"/>
  <c r="M6" i="43"/>
  <c r="N5" i="43"/>
  <c r="M5" i="43"/>
  <c r="E5" i="43"/>
  <c r="B4" i="43"/>
  <c r="B3" i="43"/>
  <c r="N2" i="43"/>
  <c r="I2" i="43"/>
  <c r="N9" i="43" s="1"/>
  <c r="G2" i="43"/>
  <c r="F37" i="43" s="1"/>
  <c r="E2" i="43"/>
  <c r="D1" i="43"/>
  <c r="R33" i="59"/>
  <c r="Q33" i="59"/>
  <c r="P33" i="59"/>
  <c r="O33" i="59"/>
  <c r="G32" i="59"/>
  <c r="F32" i="59"/>
  <c r="G31" i="59"/>
  <c r="F31" i="59"/>
  <c r="G30" i="59"/>
  <c r="G29" i="59"/>
  <c r="I22" i="59"/>
  <c r="H21" i="59"/>
  <c r="F19" i="59"/>
  <c r="F10" i="9" s="1"/>
  <c r="F18" i="59"/>
  <c r="F9" i="9" s="1"/>
  <c r="F5" i="9" s="1"/>
  <c r="F17" i="59"/>
  <c r="F12" i="59" s="1"/>
  <c r="F16" i="59"/>
  <c r="F13" i="59"/>
  <c r="H9" i="59"/>
  <c r="B8" i="59"/>
  <c r="C11" i="39" s="1"/>
  <c r="O4" i="59"/>
  <c r="B4" i="59"/>
  <c r="F7" i="59" s="1"/>
  <c r="O3" i="59"/>
  <c r="O2" i="59"/>
  <c r="G13" i="9"/>
  <c r="C13" i="9"/>
  <c r="G11" i="9"/>
  <c r="C11" i="9"/>
  <c r="G10" i="9"/>
  <c r="G9" i="9"/>
  <c r="G8" i="9"/>
  <c r="F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4" i="68"/>
  <c r="C14" i="68"/>
  <c r="B14" i="68"/>
  <c r="B1" i="68" s="1"/>
  <c r="C8" i="68" s="1"/>
  <c r="B8" i="68"/>
  <c r="D8" i="68" s="1"/>
  <c r="B7" i="68"/>
  <c r="D7" i="68" s="1"/>
  <c r="D6" i="68"/>
  <c r="B6" i="68"/>
  <c r="D5" i="68"/>
  <c r="B5" i="68"/>
  <c r="B3" i="68"/>
  <c r="B2" i="68"/>
  <c r="H19" i="43" l="1"/>
  <c r="M18" i="43" s="1"/>
  <c r="H1" i="66" s="1"/>
  <c r="D29" i="64"/>
  <c r="F73" i="63"/>
  <c r="G73" i="63" s="1"/>
  <c r="C17" i="43"/>
  <c r="I3" i="63"/>
  <c r="H60" i="43"/>
  <c r="J56" i="63"/>
  <c r="I56" i="63" s="1"/>
  <c r="E42" i="63"/>
  <c r="B40" i="63" s="1"/>
  <c r="E51" i="63"/>
  <c r="B49" i="63" s="1"/>
  <c r="J64" i="63"/>
  <c r="I64" i="63" s="1"/>
  <c r="F51" i="63"/>
  <c r="G51" i="63" s="1"/>
  <c r="F67" i="63"/>
  <c r="G67" i="63" s="1"/>
  <c r="F71" i="63"/>
  <c r="G71" i="63" s="1"/>
  <c r="H64" i="43"/>
  <c r="E17" i="43"/>
  <c r="D8" i="63"/>
  <c r="G3" i="43"/>
  <c r="E22" i="43" s="1"/>
  <c r="D18" i="63"/>
  <c r="C6" i="68"/>
  <c r="E14" i="68"/>
  <c r="C10" i="63"/>
  <c r="F28" i="59"/>
  <c r="J62" i="63"/>
  <c r="I62" i="63" s="1"/>
  <c r="J45" i="63"/>
  <c r="I45" i="63" s="1"/>
  <c r="J42" i="63"/>
  <c r="I42" i="63" s="1"/>
  <c r="J47" i="63"/>
  <c r="I47" i="63" s="1"/>
  <c r="J70" i="63"/>
  <c r="I70" i="63" s="1"/>
  <c r="J73" i="63"/>
  <c r="I73" i="63" s="1"/>
  <c r="AA17" i="39"/>
  <c r="S17" i="39"/>
  <c r="C19" i="43"/>
  <c r="H62" i="43"/>
  <c r="F56" i="63"/>
  <c r="G56" i="63" s="1"/>
  <c r="W21" i="39"/>
  <c r="AC21" i="39"/>
  <c r="H52" i="43"/>
  <c r="B80" i="63"/>
  <c r="D14" i="63"/>
  <c r="G13" i="63"/>
  <c r="H13" i="63" s="1"/>
  <c r="E13" i="63"/>
  <c r="F13" i="63" s="1"/>
  <c r="E12" i="63"/>
  <c r="F48" i="63"/>
  <c r="G48" i="63" s="1"/>
  <c r="F45" i="63"/>
  <c r="G45" i="63" s="1"/>
  <c r="F65" i="63"/>
  <c r="G65" i="63" s="1"/>
  <c r="F61" i="63"/>
  <c r="G61" i="63" s="1"/>
  <c r="J52" i="63"/>
  <c r="I52" i="63" s="1"/>
  <c r="U35" i="39"/>
  <c r="AB35" i="39"/>
  <c r="U37" i="39"/>
  <c r="AB37" i="39"/>
  <c r="F20" i="59"/>
  <c r="F11" i="9" s="1"/>
  <c r="F36" i="43"/>
  <c r="AA9" i="39"/>
  <c r="S9" i="39"/>
  <c r="W35" i="39"/>
  <c r="AC35" i="39"/>
  <c r="P65" i="66"/>
  <c r="P64" i="66"/>
  <c r="O28" i="66"/>
  <c r="H87" i="43"/>
  <c r="H84" i="43"/>
  <c r="H82" i="43"/>
  <c r="H85" i="43"/>
  <c r="H88" i="43"/>
  <c r="J75" i="63"/>
  <c r="I75" i="63" s="1"/>
  <c r="H81" i="43"/>
  <c r="C2" i="65"/>
  <c r="C7" i="39"/>
  <c r="B15" i="59"/>
  <c r="I20" i="43" s="1"/>
  <c r="H9" i="63"/>
  <c r="E11" i="43"/>
  <c r="E8" i="43"/>
  <c r="E10" i="43"/>
  <c r="F43" i="63"/>
  <c r="G43" i="63" s="1"/>
  <c r="F64" i="63"/>
  <c r="G64" i="63" s="1"/>
  <c r="D64" i="63" s="1"/>
  <c r="F74" i="63"/>
  <c r="G74" i="63" s="1"/>
  <c r="J71" i="63"/>
  <c r="I71" i="63" s="1"/>
  <c r="U9" i="39"/>
  <c r="AB9" i="39"/>
  <c r="S34" i="39"/>
  <c r="AA34" i="39"/>
  <c r="L1" i="65"/>
  <c r="J1" i="65"/>
  <c r="D17" i="43"/>
  <c r="K109" i="43"/>
  <c r="K101" i="43"/>
  <c r="J53" i="63"/>
  <c r="I53" i="63" s="1"/>
  <c r="J65" i="63"/>
  <c r="I65" i="63" s="1"/>
  <c r="D65" i="63" s="1"/>
  <c r="J60" i="63"/>
  <c r="I60" i="63" s="1"/>
  <c r="J66" i="63"/>
  <c r="I66" i="63" s="1"/>
  <c r="AC9" i="39"/>
  <c r="W9" i="39"/>
  <c r="AA19" i="39"/>
  <c r="S19" i="39"/>
  <c r="E54" i="67"/>
  <c r="U54" i="67" s="1"/>
  <c r="B114" i="43"/>
  <c r="J102" i="43"/>
  <c r="I102" i="43"/>
  <c r="C21" i="43"/>
  <c r="G102" i="43"/>
  <c r="N104" i="46"/>
  <c r="L102" i="43"/>
  <c r="L110" i="43" s="1"/>
  <c r="H53" i="43"/>
  <c r="H51" i="43"/>
  <c r="H56" i="43"/>
  <c r="H49" i="43"/>
  <c r="H54" i="43"/>
  <c r="C7" i="68"/>
  <c r="H48" i="43"/>
  <c r="K102" i="43"/>
  <c r="H6" i="59"/>
  <c r="F22" i="43"/>
  <c r="N102" i="43"/>
  <c r="N110" i="43" s="1"/>
  <c r="F75" i="63"/>
  <c r="G75" i="63" s="1"/>
  <c r="F76" i="63"/>
  <c r="G76" i="63" s="1"/>
  <c r="J12" i="39"/>
  <c r="H12" i="39"/>
  <c r="U19" i="39"/>
  <c r="AB19" i="39"/>
  <c r="H50" i="43"/>
  <c r="H83" i="43"/>
  <c r="F54" i="63"/>
  <c r="G54" i="63" s="1"/>
  <c r="W19" i="39"/>
  <c r="AC19" i="39"/>
  <c r="AA41" i="39"/>
  <c r="F95" i="39"/>
  <c r="G95" i="39" s="1"/>
  <c r="H95" i="39" s="1"/>
  <c r="I95" i="39" s="1"/>
  <c r="J95" i="39" s="1"/>
  <c r="K95" i="39" s="1"/>
  <c r="L95" i="39" s="1"/>
  <c r="M95" i="39" s="1"/>
  <c r="J32" i="39"/>
  <c r="H32" i="39"/>
  <c r="F32" i="39"/>
  <c r="U18" i="67"/>
  <c r="E17" i="67"/>
  <c r="E16" i="67" s="1"/>
  <c r="E15" i="67" s="1"/>
  <c r="E14" i="67" s="1"/>
  <c r="C5" i="68"/>
  <c r="F35" i="43"/>
  <c r="O17" i="43"/>
  <c r="H114" i="43"/>
  <c r="N17" i="43"/>
  <c r="F34" i="43"/>
  <c r="M17" i="43"/>
  <c r="L17" i="43"/>
  <c r="F39" i="43"/>
  <c r="F33" i="43"/>
  <c r="K17" i="43"/>
  <c r="J17" i="43"/>
  <c r="H13" i="44"/>
  <c r="H9" i="44"/>
  <c r="H8" i="44"/>
  <c r="N7" i="43"/>
  <c r="N4" i="43"/>
  <c r="N1" i="43"/>
  <c r="H6" i="44"/>
  <c r="H16" i="44"/>
  <c r="H7" i="44"/>
  <c r="N10" i="43"/>
  <c r="M7" i="43"/>
  <c r="M4" i="43"/>
  <c r="M1" i="43"/>
  <c r="M10" i="43"/>
  <c r="C6" i="43" s="1"/>
  <c r="H5" i="44"/>
  <c r="N3" i="43"/>
  <c r="N6" i="43"/>
  <c r="M3" i="43"/>
  <c r="H11" i="44"/>
  <c r="M12" i="43"/>
  <c r="I17" i="43"/>
  <c r="H15" i="44"/>
  <c r="AC40" i="39"/>
  <c r="W40" i="39"/>
  <c r="AA37" i="39"/>
  <c r="S37" i="39"/>
  <c r="H61" i="43"/>
  <c r="H65" i="43"/>
  <c r="H63" i="43"/>
  <c r="H66" i="43"/>
  <c r="H59" i="43"/>
  <c r="AA12" i="39"/>
  <c r="S12" i="39"/>
  <c r="H17" i="43"/>
  <c r="H86" i="43"/>
  <c r="F29" i="59"/>
  <c r="M2" i="43"/>
  <c r="M8" i="43"/>
  <c r="N12" i="43"/>
  <c r="J55" i="63"/>
  <c r="I55" i="63" s="1"/>
  <c r="P66" i="67"/>
  <c r="U66" i="67"/>
  <c r="E65" i="67"/>
  <c r="D20" i="64"/>
  <c r="E20" i="64"/>
  <c r="E19" i="64"/>
  <c r="D19" i="64"/>
  <c r="F57" i="67"/>
  <c r="F58" i="67" s="1"/>
  <c r="V58" i="67" s="1"/>
  <c r="O60" i="66"/>
  <c r="H11" i="39"/>
  <c r="F11" i="39"/>
  <c r="W37" i="39"/>
  <c r="AC37" i="39"/>
  <c r="N64" i="67"/>
  <c r="N63" i="67"/>
  <c r="J43" i="63"/>
  <c r="I43" i="63" s="1"/>
  <c r="J54" i="63"/>
  <c r="I54" i="63" s="1"/>
  <c r="J67" i="63"/>
  <c r="I67" i="63" s="1"/>
  <c r="D67" i="63" s="1"/>
  <c r="E14" i="64"/>
  <c r="S8" i="39"/>
  <c r="AA8" i="39"/>
  <c r="J11" i="39"/>
  <c r="J31" i="39"/>
  <c r="H31" i="39"/>
  <c r="F31" i="39"/>
  <c r="C84" i="67"/>
  <c r="D84" i="67" s="1"/>
  <c r="D85" i="67"/>
  <c r="E101" i="43"/>
  <c r="F46" i="63"/>
  <c r="G46" i="63" s="1"/>
  <c r="J48" i="63"/>
  <c r="I48" i="63" s="1"/>
  <c r="F57" i="63"/>
  <c r="G57" i="63" s="1"/>
  <c r="F63" i="63"/>
  <c r="G63" i="63" s="1"/>
  <c r="AB21" i="39"/>
  <c r="E33" i="67"/>
  <c r="E34" i="67" s="1"/>
  <c r="U34" i="67" s="1"/>
  <c r="D86" i="67"/>
  <c r="D16" i="64"/>
  <c r="O51" i="66"/>
  <c r="F70" i="43"/>
  <c r="F114" i="43"/>
  <c r="H16" i="63"/>
  <c r="J46" i="63"/>
  <c r="I46" i="63" s="1"/>
  <c r="F55" i="63"/>
  <c r="G55" i="63" s="1"/>
  <c r="E70" i="63"/>
  <c r="B68" i="63" s="1"/>
  <c r="J72" i="63"/>
  <c r="I72" i="63" s="1"/>
  <c r="L1" i="60"/>
  <c r="M1" i="60" s="1"/>
  <c r="C7" i="63" s="1"/>
  <c r="E16" i="64"/>
  <c r="U8" i="39"/>
  <c r="U41" i="39"/>
  <c r="Q64" i="67"/>
  <c r="J57" i="63"/>
  <c r="I57" i="63" s="1"/>
  <c r="J63" i="63"/>
  <c r="I63" i="63" s="1"/>
  <c r="D63" i="63" s="1"/>
  <c r="D17" i="64"/>
  <c r="T22" i="67"/>
  <c r="C21" i="67"/>
  <c r="D22" i="67"/>
  <c r="F49" i="67"/>
  <c r="F50" i="67" s="1"/>
  <c r="V50" i="67" s="1"/>
  <c r="J74" i="63"/>
  <c r="I74" i="63" s="1"/>
  <c r="F70" i="63"/>
  <c r="G70" i="63" s="1"/>
  <c r="F62" i="63"/>
  <c r="G62" i="63" s="1"/>
  <c r="D62" i="63" s="1"/>
  <c r="F60" i="63"/>
  <c r="G60" i="63" s="1"/>
  <c r="D60" i="63" s="1"/>
  <c r="F52" i="63"/>
  <c r="G52" i="63" s="1"/>
  <c r="F44" i="63"/>
  <c r="G44" i="63" s="1"/>
  <c r="F42" i="63"/>
  <c r="G42" i="63" s="1"/>
  <c r="J76" i="63"/>
  <c r="I76" i="63" s="1"/>
  <c r="F72" i="63"/>
  <c r="G72" i="63" s="1"/>
  <c r="J44" i="63"/>
  <c r="I44" i="63" s="1"/>
  <c r="F47" i="63"/>
  <c r="G47" i="63" s="1"/>
  <c r="F53" i="63"/>
  <c r="G53" i="63" s="1"/>
  <c r="J61" i="63"/>
  <c r="I61" i="63" s="1"/>
  <c r="F66" i="63"/>
  <c r="G66" i="63" s="1"/>
  <c r="E17" i="64"/>
  <c r="AC8" i="39"/>
  <c r="AB17" i="39"/>
  <c r="D40" i="67"/>
  <c r="C41" i="67"/>
  <c r="C57" i="67"/>
  <c r="D56" i="67"/>
  <c r="T30" i="67"/>
  <c r="D30" i="67"/>
  <c r="F61" i="67"/>
  <c r="F62" i="67" s="1"/>
  <c r="V62" i="67" s="1"/>
  <c r="T61" i="66"/>
  <c r="B61" i="66" s="1"/>
  <c r="L61" i="66" s="1"/>
  <c r="T60" i="66"/>
  <c r="B60" i="66" s="1"/>
  <c r="D29" i="67"/>
  <c r="U74" i="67"/>
  <c r="E73" i="67"/>
  <c r="E72" i="67" s="1"/>
  <c r="J17" i="66"/>
  <c r="J15" i="66"/>
  <c r="J13" i="66"/>
  <c r="J16" i="66"/>
  <c r="O65" i="67"/>
  <c r="C64" i="67"/>
  <c r="D65" i="67"/>
  <c r="AB36" i="39"/>
  <c r="W39" i="39"/>
  <c r="E29" i="67"/>
  <c r="E30" i="67" s="1"/>
  <c r="U30" i="67" s="1"/>
  <c r="F33" i="67"/>
  <c r="F34" i="67" s="1"/>
  <c r="V34" i="67" s="1"/>
  <c r="C34" i="67"/>
  <c r="D36" i="67"/>
  <c r="C37" i="67"/>
  <c r="C101" i="43"/>
  <c r="AC36" i="39"/>
  <c r="V22" i="67"/>
  <c r="F21" i="67"/>
  <c r="F20" i="67" s="1"/>
  <c r="F19" i="67" s="1"/>
  <c r="F18" i="67" s="1"/>
  <c r="S70" i="67"/>
  <c r="B69" i="67"/>
  <c r="B68" i="67" s="1"/>
  <c r="G6" i="66"/>
  <c r="D18" i="66"/>
  <c r="H18" i="66"/>
  <c r="L37" i="66"/>
  <c r="O41" i="66"/>
  <c r="O22" i="66"/>
  <c r="V62" i="66"/>
  <c r="E62" i="66" s="1"/>
  <c r="O20" i="66" s="1"/>
  <c r="G7" i="66"/>
  <c r="G14" i="66"/>
  <c r="D17" i="66"/>
  <c r="D21" i="66"/>
  <c r="D45" i="66"/>
  <c r="H45" i="39"/>
  <c r="B20" i="67"/>
  <c r="B19" i="67" s="1"/>
  <c r="B18" i="67" s="1"/>
  <c r="J7" i="66"/>
  <c r="G11" i="66"/>
  <c r="H12" i="66"/>
  <c r="K17" i="66"/>
  <c r="L20" i="66"/>
  <c r="O24" i="66"/>
  <c r="O48" i="66"/>
  <c r="L52" i="66"/>
  <c r="D26" i="67"/>
  <c r="B33" i="67"/>
  <c r="B34" i="67" s="1"/>
  <c r="S34" i="67" s="1"/>
  <c r="C49" i="67"/>
  <c r="C61" i="67"/>
  <c r="G4" i="66"/>
  <c r="G8" i="66"/>
  <c r="J12" i="66"/>
  <c r="J14" i="66"/>
  <c r="K15" i="66"/>
  <c r="H17" i="66"/>
  <c r="D39" i="66"/>
  <c r="O53" i="66"/>
  <c r="O65" i="66"/>
  <c r="C80" i="67"/>
  <c r="D80" i="67" s="1"/>
  <c r="G16" i="66"/>
  <c r="O45" i="66"/>
  <c r="J4" i="66"/>
  <c r="J9" i="66"/>
  <c r="K11" i="66"/>
  <c r="H13" i="66"/>
  <c r="H14" i="66"/>
  <c r="L17" i="66"/>
  <c r="L2" i="66" s="1"/>
  <c r="C26" i="63" s="1"/>
  <c r="L46" i="66"/>
  <c r="U66" i="66"/>
  <c r="C66" i="66" s="1"/>
  <c r="Z65" i="66"/>
  <c r="B37" i="67"/>
  <c r="B38" i="67" s="1"/>
  <c r="S38" i="67" s="1"/>
  <c r="G5" i="66"/>
  <c r="J8" i="66"/>
  <c r="H11" i="66"/>
  <c r="D16" i="66"/>
  <c r="I16" i="66" s="1"/>
  <c r="O25" i="66"/>
  <c r="D33" i="66"/>
  <c r="O49" i="66"/>
  <c r="D57" i="66"/>
  <c r="Z62" i="66"/>
  <c r="U63" i="66"/>
  <c r="C63" i="66" s="1"/>
  <c r="C25" i="67"/>
  <c r="C53" i="67"/>
  <c r="K5" i="66"/>
  <c r="K7" i="66"/>
  <c r="K4" i="66"/>
  <c r="G10" i="66"/>
  <c r="J11" i="66"/>
  <c r="L27" i="66"/>
  <c r="H7" i="66"/>
  <c r="H4" i="66"/>
  <c r="H6" i="66"/>
  <c r="K13" i="66"/>
  <c r="G15" i="66"/>
  <c r="K16" i="66"/>
  <c r="W63" i="66"/>
  <c r="F63" i="66" s="1"/>
  <c r="P63" i="66" s="1"/>
  <c r="AB62" i="66"/>
  <c r="J6" i="66"/>
  <c r="U67" i="66"/>
  <c r="C67" i="66" s="1"/>
  <c r="D67" i="66" s="1"/>
  <c r="V64" i="66"/>
  <c r="E64" i="66" s="1"/>
  <c r="O64" i="66" s="1"/>
  <c r="F33" i="59" l="1"/>
  <c r="B17" i="9" s="1"/>
  <c r="J22" i="43"/>
  <c r="G22" i="43"/>
  <c r="F102" i="43"/>
  <c r="F110" i="43" s="1"/>
  <c r="D102" i="43"/>
  <c r="D107" i="43" s="1"/>
  <c r="C102" i="43"/>
  <c r="C110" i="43" s="1"/>
  <c r="H22" i="43"/>
  <c r="E102" i="43"/>
  <c r="E110" i="43" s="1"/>
  <c r="H102" i="43"/>
  <c r="H105" i="43" s="1"/>
  <c r="M102" i="43"/>
  <c r="C23" i="43"/>
  <c r="W62" i="66"/>
  <c r="F62" i="66" s="1"/>
  <c r="P62" i="66" s="1"/>
  <c r="AB61" i="66"/>
  <c r="L33" i="66"/>
  <c r="D37" i="67"/>
  <c r="C38" i="67"/>
  <c r="C58" i="67"/>
  <c r="D57" i="67"/>
  <c r="L29" i="66"/>
  <c r="H103" i="43"/>
  <c r="H108" i="43"/>
  <c r="L54" i="66"/>
  <c r="B84" i="63"/>
  <c r="B81" i="63" s="1"/>
  <c r="B85" i="63"/>
  <c r="B83" i="63"/>
  <c r="B82" i="63"/>
  <c r="O42" i="66"/>
  <c r="O21" i="66"/>
  <c r="L48" i="66"/>
  <c r="L26" i="66"/>
  <c r="O63" i="67"/>
  <c r="O64" i="67"/>
  <c r="D64" i="67"/>
  <c r="L60" i="66"/>
  <c r="L59" i="66"/>
  <c r="L53" i="66"/>
  <c r="C42" i="67"/>
  <c r="D41" i="67"/>
  <c r="L36" i="66"/>
  <c r="O36" i="66"/>
  <c r="H110" i="43"/>
  <c r="AB12" i="39"/>
  <c r="U12" i="39"/>
  <c r="F7" i="39"/>
  <c r="J7" i="39"/>
  <c r="H7" i="39"/>
  <c r="C56" i="39"/>
  <c r="O47" i="66"/>
  <c r="L35" i="66"/>
  <c r="O40" i="66"/>
  <c r="F12" i="63"/>
  <c r="D13" i="63" s="1"/>
  <c r="H77" i="43"/>
  <c r="H70" i="43"/>
  <c r="H75" i="43"/>
  <c r="H73" i="43"/>
  <c r="H71" i="43"/>
  <c r="H74" i="43"/>
  <c r="H72" i="43"/>
  <c r="H76" i="43"/>
  <c r="H78" i="43"/>
  <c r="L44" i="66"/>
  <c r="AA32" i="39"/>
  <c r="S32" i="39"/>
  <c r="N106" i="43"/>
  <c r="N107" i="43"/>
  <c r="N108" i="43"/>
  <c r="N104" i="43"/>
  <c r="N103" i="43"/>
  <c r="N105" i="43"/>
  <c r="J103" i="43"/>
  <c r="J108" i="43"/>
  <c r="J104" i="43"/>
  <c r="J105" i="43"/>
  <c r="J106" i="43"/>
  <c r="J107" i="43"/>
  <c r="J110" i="43"/>
  <c r="I17" i="66"/>
  <c r="T34" i="67"/>
  <c r="D34" i="67"/>
  <c r="U14" i="67"/>
  <c r="E13" i="67"/>
  <c r="E12" i="67" s="1"/>
  <c r="E11" i="67" s="1"/>
  <c r="E10" i="67" s="1"/>
  <c r="L56" i="66"/>
  <c r="O62" i="66"/>
  <c r="O27" i="66"/>
  <c r="L43" i="66"/>
  <c r="U65" i="66"/>
  <c r="C65" i="66" s="1"/>
  <c r="U64" i="66"/>
  <c r="C64" i="66" s="1"/>
  <c r="I5" i="66"/>
  <c r="O37" i="66"/>
  <c r="L58" i="66"/>
  <c r="I13" i="66"/>
  <c r="O38" i="66"/>
  <c r="M66" i="66"/>
  <c r="D66" i="66"/>
  <c r="N66" i="66" s="1"/>
  <c r="O35" i="66"/>
  <c r="I12" i="66"/>
  <c r="O54" i="66"/>
  <c r="AB31" i="39"/>
  <c r="U31" i="39"/>
  <c r="AB32" i="39"/>
  <c r="U32" i="39"/>
  <c r="C104" i="43"/>
  <c r="L42" i="66"/>
  <c r="L38" i="66"/>
  <c r="I11" i="66"/>
  <c r="I15" i="66"/>
  <c r="S31" i="39"/>
  <c r="AA31" i="39"/>
  <c r="O23" i="66"/>
  <c r="L57" i="66"/>
  <c r="O29" i="66"/>
  <c r="C62" i="67"/>
  <c r="D61" i="67"/>
  <c r="L50" i="66"/>
  <c r="I6" i="66"/>
  <c r="O19" i="66"/>
  <c r="V18" i="67"/>
  <c r="F17" i="67"/>
  <c r="F16" i="67" s="1"/>
  <c r="F15" i="67" s="1"/>
  <c r="F14" i="67" s="1"/>
  <c r="O52" i="66"/>
  <c r="O56" i="66"/>
  <c r="AC31" i="39"/>
  <c r="W31" i="39"/>
  <c r="E64" i="67"/>
  <c r="P65" i="67"/>
  <c r="I7" i="66"/>
  <c r="W32" i="39"/>
  <c r="AC32" i="39"/>
  <c r="L104" i="43"/>
  <c r="L105" i="43"/>
  <c r="L106" i="43"/>
  <c r="L107" i="43"/>
  <c r="L108" i="43"/>
  <c r="L103" i="43"/>
  <c r="D118" i="43"/>
  <c r="E118" i="43" s="1"/>
  <c r="F118" i="43" s="1"/>
  <c r="G118" i="43" s="1"/>
  <c r="H118" i="43" s="1"/>
  <c r="B116" i="43"/>
  <c r="C116" i="43" s="1"/>
  <c r="D119" i="43"/>
  <c r="E119" i="43" s="1"/>
  <c r="F119" i="43" s="1"/>
  <c r="B117" i="43"/>
  <c r="C117" i="43" s="1"/>
  <c r="I117" i="43"/>
  <c r="J117" i="43" s="1"/>
  <c r="K117" i="43" s="1"/>
  <c r="L117" i="43" s="1"/>
  <c r="M117" i="43" s="1"/>
  <c r="B119" i="43"/>
  <c r="C119" i="43" s="1"/>
  <c r="B118" i="43"/>
  <c r="C118" i="43" s="1"/>
  <c r="I116" i="43"/>
  <c r="J116" i="43" s="1"/>
  <c r="K116" i="43" s="1"/>
  <c r="L116" i="43" s="1"/>
  <c r="M116" i="43" s="1"/>
  <c r="G119" i="43"/>
  <c r="H119" i="43" s="1"/>
  <c r="D116" i="43"/>
  <c r="E116" i="43" s="1"/>
  <c r="F116" i="43" s="1"/>
  <c r="G116" i="43" s="1"/>
  <c r="H116" i="43" s="1"/>
  <c r="I118" i="43"/>
  <c r="J118" i="43" s="1"/>
  <c r="K118" i="43" s="1"/>
  <c r="L118" i="43" s="1"/>
  <c r="M118" i="43" s="1"/>
  <c r="D117" i="43"/>
  <c r="E117" i="43" s="1"/>
  <c r="F117" i="43" s="1"/>
  <c r="G117" i="43" s="1"/>
  <c r="H117" i="43" s="1"/>
  <c r="I119" i="43"/>
  <c r="J119" i="43" s="1"/>
  <c r="K119" i="43" s="1"/>
  <c r="L119" i="43" s="1"/>
  <c r="M119" i="43" s="1"/>
  <c r="D106" i="43"/>
  <c r="D104" i="43"/>
  <c r="D105" i="43"/>
  <c r="L21" i="66"/>
  <c r="L30" i="66"/>
  <c r="E60" i="63"/>
  <c r="B58" i="63" s="1"/>
  <c r="C15" i="63" s="1"/>
  <c r="O57" i="66"/>
  <c r="D22" i="43"/>
  <c r="I14" i="66"/>
  <c r="O31" i="66"/>
  <c r="L40" i="66"/>
  <c r="C54" i="67"/>
  <c r="D53" i="67"/>
  <c r="O26" i="66"/>
  <c r="L47" i="66"/>
  <c r="O55" i="66"/>
  <c r="C50" i="67"/>
  <c r="D49" i="67"/>
  <c r="B17" i="67"/>
  <c r="B16" i="67" s="1"/>
  <c r="B15" i="67" s="1"/>
  <c r="B14" i="67" s="1"/>
  <c r="S18" i="67"/>
  <c r="L31" i="66"/>
  <c r="O46" i="66"/>
  <c r="O58" i="66"/>
  <c r="W11" i="39"/>
  <c r="AC11" i="39"/>
  <c r="G17" i="43"/>
  <c r="C16" i="43" s="1"/>
  <c r="C5" i="43" s="1"/>
  <c r="I8" i="66"/>
  <c r="E107" i="43"/>
  <c r="E105" i="43"/>
  <c r="E108" i="43"/>
  <c r="L18" i="66"/>
  <c r="K110" i="43"/>
  <c r="O33" i="66"/>
  <c r="U45" i="39"/>
  <c r="AB45" i="39"/>
  <c r="L45" i="66"/>
  <c r="O44" i="66"/>
  <c r="O17" i="66"/>
  <c r="O2" i="66" s="1"/>
  <c r="C29" i="63" s="1"/>
  <c r="L41" i="66"/>
  <c r="I9" i="66"/>
  <c r="C7" i="43"/>
  <c r="O30" i="66"/>
  <c r="O59" i="66"/>
  <c r="O32" i="66"/>
  <c r="AC12" i="39"/>
  <c r="W12" i="39"/>
  <c r="L2" i="65"/>
  <c r="J2" i="65"/>
  <c r="I107" i="43"/>
  <c r="I104" i="43"/>
  <c r="I103" i="43"/>
  <c r="I105" i="43"/>
  <c r="I106" i="43"/>
  <c r="I110" i="43"/>
  <c r="I108" i="43"/>
  <c r="L51" i="66"/>
  <c r="C24" i="67"/>
  <c r="D24" i="67" s="1"/>
  <c r="D25" i="67"/>
  <c r="L25" i="66"/>
  <c r="L32" i="66"/>
  <c r="M63" i="66"/>
  <c r="D63" i="66"/>
  <c r="O50" i="66"/>
  <c r="L22" i="66"/>
  <c r="I18" i="66"/>
  <c r="L39" i="66"/>
  <c r="D21" i="67"/>
  <c r="C20" i="67"/>
  <c r="S11" i="39"/>
  <c r="AA11" i="39"/>
  <c r="K103" i="43"/>
  <c r="K104" i="43"/>
  <c r="K106" i="43"/>
  <c r="K105" i="43"/>
  <c r="K107" i="43"/>
  <c r="K108" i="43"/>
  <c r="F104" i="43"/>
  <c r="F103" i="43"/>
  <c r="F107" i="43"/>
  <c r="F106" i="43"/>
  <c r="F105" i="43"/>
  <c r="O39" i="66"/>
  <c r="Z61" i="66"/>
  <c r="U62" i="66"/>
  <c r="C62" i="66" s="1"/>
  <c r="L19" i="66"/>
  <c r="O18" i="66"/>
  <c r="L49" i="66"/>
  <c r="O63" i="66"/>
  <c r="L28" i="66"/>
  <c r="L55" i="66"/>
  <c r="L24" i="66"/>
  <c r="L34" i="66"/>
  <c r="O43" i="66"/>
  <c r="I10" i="66"/>
  <c r="L23" i="66"/>
  <c r="I4" i="66"/>
  <c r="AB11" i="39"/>
  <c r="U11" i="39"/>
  <c r="G105" i="43"/>
  <c r="G103" i="43"/>
  <c r="G104" i="43"/>
  <c r="G110" i="43"/>
  <c r="G107" i="43"/>
  <c r="G106" i="43"/>
  <c r="G108" i="43"/>
  <c r="C9" i="63"/>
  <c r="B24" i="63"/>
  <c r="M1" i="66" s="1"/>
  <c r="O61" i="66"/>
  <c r="O34" i="66"/>
  <c r="F22" i="59"/>
  <c r="F13" i="9" s="1"/>
  <c r="G7" i="65"/>
  <c r="D5" i="65"/>
  <c r="D4" i="65"/>
  <c r="G8" i="65"/>
  <c r="G5" i="65"/>
  <c r="D7" i="65"/>
  <c r="G4" i="65"/>
  <c r="D6" i="65"/>
  <c r="D8" i="65"/>
  <c r="G6" i="65"/>
  <c r="H106" i="43" l="1"/>
  <c r="C106" i="43"/>
  <c r="D103" i="43"/>
  <c r="D108" i="43"/>
  <c r="C107" i="43"/>
  <c r="D110" i="43"/>
  <c r="C103" i="43"/>
  <c r="C108" i="43"/>
  <c r="H107" i="43"/>
  <c r="H104" i="43"/>
  <c r="E104" i="43"/>
  <c r="E103" i="43"/>
  <c r="F108" i="43"/>
  <c r="E106" i="43"/>
  <c r="C105" i="43"/>
  <c r="D5" i="43"/>
  <c r="D12" i="63"/>
  <c r="C11" i="63" s="1"/>
  <c r="C19" i="63" s="1"/>
  <c r="E19" i="63" s="1"/>
  <c r="M105" i="43"/>
  <c r="M106" i="43"/>
  <c r="M103" i="43"/>
  <c r="M110" i="43"/>
  <c r="M108" i="43"/>
  <c r="M107" i="43"/>
  <c r="M104" i="43"/>
  <c r="C18" i="63"/>
  <c r="E18" i="63" s="1"/>
  <c r="K4" i="65"/>
  <c r="K1" i="65"/>
  <c r="K2" i="65"/>
  <c r="I1" i="65"/>
  <c r="K3" i="65"/>
  <c r="I9" i="63"/>
  <c r="M65" i="66"/>
  <c r="D65" i="66"/>
  <c r="N65" i="66" s="1"/>
  <c r="AC7" i="39"/>
  <c r="V47" i="39" s="1"/>
  <c r="I47" i="39" s="1"/>
  <c r="W7" i="39"/>
  <c r="AA7" i="39"/>
  <c r="R47" i="39" s="1"/>
  <c r="S7" i="39"/>
  <c r="D58" i="67"/>
  <c r="T58" i="67"/>
  <c r="T38" i="67"/>
  <c r="D38" i="67"/>
  <c r="D20" i="67"/>
  <c r="C19" i="67"/>
  <c r="C21" i="63"/>
  <c r="E21" i="63" s="1"/>
  <c r="C20" i="63"/>
  <c r="E9" i="67"/>
  <c r="E8" i="67" s="1"/>
  <c r="E7" i="67" s="1"/>
  <c r="E6" i="67" s="1"/>
  <c r="U6" i="67" s="1"/>
  <c r="U10" i="67"/>
  <c r="T54" i="67"/>
  <c r="D54" i="67"/>
  <c r="D114" i="43"/>
  <c r="T42" i="67"/>
  <c r="D42" i="67"/>
  <c r="W61" i="66"/>
  <c r="F61" i="66" s="1"/>
  <c r="P61" i="66" s="1"/>
  <c r="W60" i="66"/>
  <c r="F60" i="66" s="1"/>
  <c r="M62" i="66"/>
  <c r="D62" i="66"/>
  <c r="T50" i="67"/>
  <c r="D50" i="67"/>
  <c r="C58" i="39"/>
  <c r="D56" i="39"/>
  <c r="F13" i="67"/>
  <c r="F12" i="67" s="1"/>
  <c r="F11" i="67" s="1"/>
  <c r="F10" i="67" s="1"/>
  <c r="V14" i="67"/>
  <c r="S14" i="67"/>
  <c r="B13" i="67"/>
  <c r="B12" i="67" s="1"/>
  <c r="B11" i="67" s="1"/>
  <c r="B10" i="67" s="1"/>
  <c r="P63" i="67"/>
  <c r="P64" i="67"/>
  <c r="U60" i="66"/>
  <c r="C60" i="66" s="1"/>
  <c r="U61" i="66"/>
  <c r="C61" i="66" s="1"/>
  <c r="T62" i="67"/>
  <c r="D62" i="67"/>
  <c r="D64" i="66"/>
  <c r="N64" i="66" s="1"/>
  <c r="M64" i="66"/>
  <c r="U7" i="39"/>
  <c r="AB7" i="39"/>
  <c r="T47" i="39" s="1"/>
  <c r="G47" i="39" s="1"/>
  <c r="E6" i="65"/>
  <c r="E7" i="65"/>
  <c r="E4" i="65"/>
  <c r="H6" i="65"/>
  <c r="G1" i="65"/>
  <c r="H8" i="65"/>
  <c r="H7" i="65"/>
  <c r="G2" i="65"/>
  <c r="E5" i="65"/>
  <c r="H4" i="65"/>
  <c r="E8" i="65"/>
  <c r="H5" i="65"/>
  <c r="G3" i="65"/>
  <c r="B3" i="63" l="1"/>
  <c r="I3" i="65"/>
  <c r="C23" i="64" s="1"/>
  <c r="G9" i="59"/>
  <c r="C12" i="9" s="1"/>
  <c r="G21" i="59"/>
  <c r="M60" i="66"/>
  <c r="D60" i="66"/>
  <c r="M51" i="66"/>
  <c r="M43" i="66"/>
  <c r="M35" i="66"/>
  <c r="M19" i="66"/>
  <c r="M59" i="66"/>
  <c r="M32" i="66"/>
  <c r="M56" i="66"/>
  <c r="M21" i="66"/>
  <c r="M47" i="66"/>
  <c r="M41" i="66"/>
  <c r="M39" i="66"/>
  <c r="M46" i="66"/>
  <c r="M38" i="66"/>
  <c r="M27" i="66"/>
  <c r="M29" i="66"/>
  <c r="M44" i="66"/>
  <c r="M23" i="66"/>
  <c r="M18" i="66"/>
  <c r="M42" i="66"/>
  <c r="M52" i="66"/>
  <c r="M50" i="66"/>
  <c r="M57" i="66"/>
  <c r="M36" i="66"/>
  <c r="M54" i="66"/>
  <c r="M28" i="66"/>
  <c r="M22" i="66"/>
  <c r="M30" i="66"/>
  <c r="M48" i="66"/>
  <c r="M49" i="66"/>
  <c r="M37" i="66"/>
  <c r="M55" i="66"/>
  <c r="M58" i="66"/>
  <c r="M34" i="66"/>
  <c r="M40" i="66"/>
  <c r="M25" i="66"/>
  <c r="M31" i="66"/>
  <c r="M20" i="66"/>
  <c r="M33" i="66"/>
  <c r="M26" i="66"/>
  <c r="M17" i="66"/>
  <c r="M2" i="66" s="1"/>
  <c r="C27" i="63" s="1"/>
  <c r="M53" i="66"/>
  <c r="M45" i="66"/>
  <c r="M24" i="66"/>
  <c r="D58" i="39"/>
  <c r="E56" i="39"/>
  <c r="B4" i="63"/>
  <c r="C22" i="63"/>
  <c r="B5" i="63" s="1"/>
  <c r="E20" i="63"/>
  <c r="C18" i="67"/>
  <c r="D19" i="67"/>
  <c r="B9" i="67"/>
  <c r="B8" i="67" s="1"/>
  <c r="B7" i="67" s="1"/>
  <c r="B6" i="67" s="1"/>
  <c r="S10" i="67"/>
  <c r="N62" i="66"/>
  <c r="I51" i="39"/>
  <c r="J51" i="39" s="1"/>
  <c r="G51" i="39"/>
  <c r="H51" i="39" s="1"/>
  <c r="G52" i="39"/>
  <c r="H52" i="39" s="1"/>
  <c r="E47" i="39"/>
  <c r="I52" i="39" s="1"/>
  <c r="J52" i="39" s="1"/>
  <c r="R48" i="39"/>
  <c r="D61" i="66"/>
  <c r="N61" i="66" s="1"/>
  <c r="M61" i="66"/>
  <c r="V10" i="67"/>
  <c r="F9" i="67"/>
  <c r="F8" i="67" s="1"/>
  <c r="F7" i="67" s="1"/>
  <c r="F6" i="67" s="1"/>
  <c r="V6" i="67" s="1"/>
  <c r="P60" i="66"/>
  <c r="P43" i="66"/>
  <c r="P31" i="66"/>
  <c r="P30" i="66"/>
  <c r="P40" i="66"/>
  <c r="P23" i="66"/>
  <c r="P34" i="66"/>
  <c r="P52" i="66"/>
  <c r="P33" i="66"/>
  <c r="P18" i="66"/>
  <c r="P57" i="66"/>
  <c r="P29" i="66"/>
  <c r="P48" i="66"/>
  <c r="P51" i="66"/>
  <c r="P42" i="66"/>
  <c r="P41" i="66"/>
  <c r="P44" i="66"/>
  <c r="P39" i="66"/>
  <c r="P56" i="66"/>
  <c r="P28" i="66"/>
  <c r="P46" i="66"/>
  <c r="P26" i="66"/>
  <c r="P38" i="66"/>
  <c r="P36" i="66"/>
  <c r="P35" i="66"/>
  <c r="P37" i="66"/>
  <c r="P20" i="66"/>
  <c r="P32" i="66"/>
  <c r="P54" i="66"/>
  <c r="P25" i="66"/>
  <c r="P50" i="66"/>
  <c r="P17" i="66"/>
  <c r="P2" i="66" s="1"/>
  <c r="C30" i="63" s="1"/>
  <c r="P59" i="66"/>
  <c r="P19" i="66"/>
  <c r="P45" i="66"/>
  <c r="P24" i="66"/>
  <c r="P55" i="66"/>
  <c r="P49" i="66"/>
  <c r="P21" i="66"/>
  <c r="P22" i="66"/>
  <c r="P27" i="66"/>
  <c r="P53" i="66"/>
  <c r="P58" i="66"/>
  <c r="P47" i="66"/>
  <c r="N63" i="66"/>
  <c r="E20" i="43"/>
  <c r="S20" i="43" l="1"/>
  <c r="Q20" i="43"/>
  <c r="P20" i="43"/>
  <c r="R20" i="43"/>
  <c r="G20" i="43" s="1"/>
  <c r="C20" i="43" s="1"/>
  <c r="B17" i="59"/>
  <c r="B18" i="59" s="1"/>
  <c r="C22" i="64"/>
  <c r="E51" i="39"/>
  <c r="F51" i="39" s="1"/>
  <c r="E52" i="39"/>
  <c r="F52" i="39" s="1"/>
  <c r="G12" i="9"/>
  <c r="F21" i="59"/>
  <c r="T18" i="67"/>
  <c r="C17" i="67"/>
  <c r="D18" i="67"/>
  <c r="C47" i="39"/>
  <c r="C48" i="39"/>
  <c r="B3" i="39" s="1"/>
  <c r="E58" i="39"/>
  <c r="F56" i="39"/>
  <c r="N60" i="66"/>
  <c r="N58" i="66"/>
  <c r="N52" i="66"/>
  <c r="N50" i="66"/>
  <c r="N51" i="66"/>
  <c r="N55" i="66"/>
  <c r="N46" i="66"/>
  <c r="N56" i="66"/>
  <c r="N20" i="66"/>
  <c r="N59" i="66"/>
  <c r="N38" i="66"/>
  <c r="N29" i="66"/>
  <c r="N37" i="66"/>
  <c r="N28" i="66"/>
  <c r="N49" i="66"/>
  <c r="N39" i="66"/>
  <c r="N18" i="66"/>
  <c r="N33" i="66"/>
  <c r="N48" i="66"/>
  <c r="N26" i="66"/>
  <c r="N24" i="66"/>
  <c r="N40" i="66"/>
  <c r="N23" i="66"/>
  <c r="N35" i="66"/>
  <c r="N17" i="66"/>
  <c r="N2" i="66" s="1"/>
  <c r="C28" i="63" s="1"/>
  <c r="N36" i="66"/>
  <c r="N44" i="66"/>
  <c r="N57" i="66"/>
  <c r="N42" i="66"/>
  <c r="N31" i="66"/>
  <c r="N34" i="66"/>
  <c r="N53" i="66"/>
  <c r="N25" i="66"/>
  <c r="N41" i="66"/>
  <c r="N30" i="66"/>
  <c r="N21" i="66"/>
  <c r="N27" i="66"/>
  <c r="N54" i="66"/>
  <c r="N47" i="66"/>
  <c r="N19" i="66"/>
  <c r="N45" i="66"/>
  <c r="N43" i="66"/>
  <c r="N22" i="66"/>
  <c r="N32" i="66"/>
  <c r="S6" i="67"/>
  <c r="E41" i="43" l="1"/>
  <c r="C41" i="43" s="1"/>
  <c r="C38" i="43" s="1"/>
  <c r="B3" i="64"/>
  <c r="F6" i="59" s="1"/>
  <c r="F5" i="59" s="1"/>
  <c r="C28" i="64"/>
  <c r="C30" i="64"/>
  <c r="F11" i="59"/>
  <c r="F12" i="9"/>
  <c r="F14" i="9" s="1"/>
  <c r="C16" i="67"/>
  <c r="D17" i="67"/>
  <c r="G56" i="39"/>
  <c r="F58" i="39"/>
  <c r="C37" i="43"/>
  <c r="C29" i="43"/>
  <c r="C36" i="43"/>
  <c r="C34" i="43"/>
  <c r="C33" i="43"/>
  <c r="C35" i="43"/>
  <c r="C39" i="43" l="1"/>
  <c r="E39" i="43" s="1"/>
  <c r="C15" i="67"/>
  <c r="D16" i="67"/>
  <c r="G37" i="43"/>
  <c r="I37" i="43" s="1"/>
  <c r="E37" i="43"/>
  <c r="H56" i="39"/>
  <c r="G58" i="39"/>
  <c r="G38" i="43"/>
  <c r="I38" i="43" s="1"/>
  <c r="E38" i="43"/>
  <c r="E35" i="43"/>
  <c r="G35" i="43"/>
  <c r="I35" i="43" s="1"/>
  <c r="G33" i="43"/>
  <c r="I33" i="43" s="1"/>
  <c r="E33" i="43"/>
  <c r="G34" i="43"/>
  <c r="I34" i="43" s="1"/>
  <c r="E34" i="43"/>
  <c r="C29" i="64"/>
  <c r="E29" i="64" s="1"/>
  <c r="E30" i="64"/>
  <c r="E29" i="43"/>
  <c r="C30" i="43"/>
  <c r="E30" i="43" s="1"/>
  <c r="G36" i="43"/>
  <c r="I36" i="43" s="1"/>
  <c r="E36" i="43"/>
  <c r="C27" i="64"/>
  <c r="E27" i="64" s="1"/>
  <c r="E28" i="64"/>
  <c r="F8" i="59"/>
  <c r="B11" i="9" s="1"/>
  <c r="B5" i="9"/>
  <c r="G39" i="43" l="1"/>
  <c r="I39" i="43" s="1"/>
  <c r="C27" i="43" s="1"/>
  <c r="F9" i="59"/>
  <c r="B12" i="9" s="1"/>
  <c r="C26" i="43"/>
  <c r="B2" i="43" s="1"/>
  <c r="H58" i="39"/>
  <c r="I56" i="39"/>
  <c r="C14" i="67"/>
  <c r="D15" i="67"/>
  <c r="F10" i="59"/>
  <c r="B13" i="9" s="1"/>
  <c r="B14" i="9" l="1"/>
  <c r="F4" i="59"/>
  <c r="F24" i="59" s="1"/>
  <c r="C13" i="67"/>
  <c r="D14" i="67"/>
  <c r="T14" i="67"/>
  <c r="J56" i="39"/>
  <c r="I58" i="39"/>
  <c r="D13" i="67" l="1"/>
  <c r="C12" i="67"/>
  <c r="J58" i="39"/>
  <c r="K56" i="39"/>
  <c r="F25" i="59"/>
  <c r="F35" i="59"/>
  <c r="B18" i="9" s="1"/>
  <c r="C11" i="68" s="1"/>
  <c r="B15" i="9"/>
  <c r="F36" i="59" l="1"/>
  <c r="B19" i="9" s="1"/>
  <c r="B16" i="9"/>
  <c r="H16" i="9" s="1"/>
  <c r="L56" i="39"/>
  <c r="K58" i="39"/>
  <c r="D12" i="67"/>
  <c r="C11" i="67"/>
  <c r="D11" i="67" l="1"/>
  <c r="C10" i="67"/>
  <c r="M56" i="39"/>
  <c r="L58" i="39"/>
  <c r="B11" i="68"/>
  <c r="H19" i="9"/>
  <c r="T10" i="67" l="1"/>
  <c r="D10" i="67"/>
  <c r="C9" i="67"/>
  <c r="M58" i="39"/>
  <c r="N56" i="39"/>
  <c r="O56" i="39" l="1"/>
  <c r="O58" i="39" s="1"/>
  <c r="N58" i="39"/>
  <c r="C8" i="67"/>
  <c r="D9" i="67"/>
  <c r="D8" i="67" l="1"/>
  <c r="C7" i="67"/>
  <c r="D7" i="67" l="1"/>
  <c r="C6" i="67"/>
  <c r="T6" i="67" l="1"/>
  <c r="D6" i="67"/>
  <c r="I19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1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<sst xmlns="http://schemas.openxmlformats.org/spreadsheetml/2006/main" count="3962" uniqueCount="1307">
  <si>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</si>
  <si>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</si>
  <si>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</si>
  <si>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</si>
  <si>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</si>
  <si>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</si>
  <si>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</si>
  <si>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</si>
  <si>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</si>
  <si>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</si>
  <si>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</si>
  <si>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</si>
  <si>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</si>
  <si>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</si>
  <si>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</si>
  <si>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</si>
  <si>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</si>
  <si>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</si>
  <si>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</si>
  <si>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</si>
  <si>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</si>
  <si>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</si>
  <si>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</si>
  <si>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</si>
  <si>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</si>
  <si>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</si>
  <si>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</si>
  <si>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</si>
  <si>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</si>
  <si>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</si>
  <si>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</si>
  <si>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</si>
  <si>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</si>
  <si>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</si>
  <si>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</si>
  <si>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</si>
  <si>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</si>
  <si>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</si>
  <si>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</si>
  <si>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</si>
  <si>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</si>
  <si>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</si>
  <si>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</si>
  <si>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</si>
  <si>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</si>
  <si>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</si>
  <si>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</si>
  <si>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</si>
  <si>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</si>
  <si>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</si>
  <si>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</si>
  <si>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</si>
  <si>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</si>
  <si>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</si>
  <si>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</si>
  <si>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</si>
  <si>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</si>
  <si>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</si>
  <si>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</si>
  <si>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</si>
  <si>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</si>
  <si>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</si>
  <si>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</si>
  <si>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</si>
  <si>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</si>
  <si>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</si>
  <si>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</si>
  <si>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</si>
  <si>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</si>
  <si>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</si>
  <si>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</si>
  <si>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</si>
  <si>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</si>
  <si>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</si>
  <si>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</si>
  <si>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</si>
  <si>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</si>
  <si>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</si>
  <si>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</si>
  <si>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</si>
  <si>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</si>
  <si>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</si>
  <si>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</si>
  <si>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</si>
  <si>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</si>
  <si>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</si>
  <si>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</si>
  <si>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</si>
  <si>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</si>
  <si>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</si>
  <si>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</si>
  <si>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</si>
  <si>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</si>
  <si>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</si>
  <si>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</si>
  <si>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</si>
  <si>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</si>
  <si>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</si>
  <si>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</si>
  <si>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</si>
  <si>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</si>
  <si>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</si>
  <si>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</si>
  <si>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</si>
  <si>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</si>
  <si>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</si>
  <si>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</si>
  <si>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</si>
  <si>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</si>
  <si>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</si>
  <si>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</si>
  <si>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</si>
  <si>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</si>
  <si>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</si>
  <si>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</si>
  <si>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</si>
  <si>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</si>
  <si>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</si>
  <si>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</si>
  <si>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</si>
  <si>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</si>
  <si>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</si>
  <si>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</si>
  <si>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</si>
  <si>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</si>
  <si>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</si>
  <si>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</si>
  <si>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</si>
  <si>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</si>
  <si>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</si>
  <si>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</si>
  <si>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</si>
  <si>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</si>
  <si>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</si>
  <si>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</si>
  <si>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</si>
  <si>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</si>
  <si>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</si>
  <si>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</si>
  <si>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</si>
  <si>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</si>
  <si>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</si>
  <si>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</si>
  <si>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</si>
  <si>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</si>
  <si>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</si>
  <si>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</si>
  <si>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</si>
  <si>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</si>
  <si>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</si>
  <si>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</si>
  <si>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</si>
  <si>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</si>
  <si>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</si>
  <si>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</si>
  <si>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</si>
  <si>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</si>
  <si>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</si>
  <si>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</si>
  <si>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</si>
  <si>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</si>
  <si>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</si>
  <si>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</si>
  <si>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</si>
  <si>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</si>
  <si>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</si>
  <si>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</si>
  <si>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</si>
  <si>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</si>
  <si>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</si>
  <si>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</si>
  <si>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</si>
  <si>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</si>
  <si>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</si>
  <si>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</si>
  <si>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</si>
  <si>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</si>
  <si>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</si>
  <si>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</si>
  <si>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</si>
  <si>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</si>
  <si>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</si>
  <si>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</si>
  <si>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</si>
  <si>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</si>
  <si>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</si>
  <si>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</si>
  <si>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</si>
  <si>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</si>
  <si>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</si>
  <si>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</si>
  <si>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</si>
  <si>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</si>
  <si>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</si>
  <si>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</si>
  <si>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</si>
  <si>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</si>
  <si>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</si>
  <si>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</si>
  <si>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</si>
  <si>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</si>
  <si>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</si>
  <si>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</si>
  <si>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</si>
  <si>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</si>
  <si>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</si>
  <si>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</si>
  <si>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</si>
  <si>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</si>
  <si>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</si>
  <si>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</si>
  <si>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</si>
  <si>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</si>
  <si>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</si>
  <si>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</si>
  <si>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</si>
  <si>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</si>
  <si>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</si>
  <si>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</si>
  <si>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</si>
  <si>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</si>
  <si>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</si>
  <si>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</si>
  <si>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</si>
  <si>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</si>
  <si>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</si>
  <si>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</si>
  <si>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</si>
  <si>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</si>
  <si>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</si>
  <si>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</si>
  <si>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</si>
  <si>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</si>
  <si>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</si>
  <si>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</si>
  <si>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</si>
  <si>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</si>
  <si>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</si>
  <si>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</si>
  <si>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</si>
  <si>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</si>
  <si>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</si>
  <si>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</si>
  <si>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</si>
  <si>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</si>
  <si>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</si>
  <si>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</si>
  <si>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</si>
  <si>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</si>
  <si>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</si>
  <si>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</si>
  <si>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</si>
  <si>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</si>
  <si>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</si>
  <si>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</si>
  <si>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</si>
  <si>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</si>
  <si>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</si>
  <si>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</si>
  <si>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</si>
  <si>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</si>
  <si>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</si>
  <si>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</si>
  <si>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</si>
  <si>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</si>
  <si>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</si>
  <si>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</si>
  <si>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</si>
  <si>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</si>
  <si>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</si>
  <si>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</si>
  <si>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</si>
  <si>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</si>
  <si>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</si>
  <si>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</si>
  <si>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</si>
  <si>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</si>
  <si>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</si>
  <si>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</si>
  <si>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</si>
  <si>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</si>
  <si>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</si>
  <si>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</si>
  <si>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</si>
  <si>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</si>
  <si>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</si>
  <si>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</si>
  <si>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</si>
  <si>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</si>
  <si>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</si>
  <si>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</si>
  <si>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</si>
  <si>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</si>
  <si>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</si>
  <si>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</si>
  <si>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</si>
  <si>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</si>
  <si>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</si>
  <si>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</si>
  <si>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</si>
  <si>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</si>
  <si>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</si>
  <si>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</si>
  <si>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</si>
  <si>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</si>
  <si>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</si>
  <si>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</si>
  <si>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</si>
  <si>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</si>
  <si>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</si>
  <si>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</si>
  <si>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</si>
  <si>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</si>
  <si>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</si>
  <si>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</si>
  <si>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</si>
  <si>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</si>
  <si>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</si>
  <si>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</si>
  <si>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</si>
  <si>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</si>
  <si>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</si>
  <si>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</si>
  <si>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</si>
  <si>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</si>
  <si>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</si>
  <si>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</si>
  <si>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</si>
  <si>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</si>
  <si>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</si>
  <si>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</si>
  <si>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</si>
  <si>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</si>
  <si>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</si>
  <si>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</si>
  <si>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</si>
  <si>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</si>
  <si>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</si>
  <si>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</si>
  <si>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</si>
  <si>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</si>
  <si>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</si>
  <si>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</si>
  <si>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</si>
  <si>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</si>
  <si>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</si>
  <si>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</si>
  <si>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</si>
  <si>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</si>
  <si>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</si>
  <si>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</si>
  <si>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</si>
  <si>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</si>
  <si>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</si>
  <si>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</si>
  <si>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</si>
  <si>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</si>
  <si>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</si>
  <si>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</si>
  <si>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</si>
  <si>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</si>
  <si>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</si>
  <si>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</si>
  <si>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</si>
  <si>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</si>
  <si>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</si>
  <si>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</si>
  <si>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</si>
  <si>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</si>
  <si>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</si>
  <si>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</si>
  <si>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</si>
  <si>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</si>
  <si>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</si>
  <si>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</si>
  <si>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</si>
  <si>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</si>
  <si>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</si>
  <si>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</si>
  <si>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</si>
  <si>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</si>
  <si>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</si>
  <si>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</si>
  <si>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</si>
  <si>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</si>
  <si>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</si>
  <si>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</si>
  <si>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</si>
  <si>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</si>
  <si>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</si>
  <si>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</si>
  <si>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</si>
  <si>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</si>
  <si>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</si>
  <si>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</si>
  <si>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</si>
  <si>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</si>
  <si>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</si>
  <si>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</si>
  <si>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</si>
  <si>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</si>
  <si>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</si>
  <si>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</si>
  <si>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</si>
  <si>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</si>
  <si>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</si>
  <si>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</si>
  <si>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</si>
  <si>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</si>
  <si>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</si>
  <si>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</si>
  <si>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</si>
  <si>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</si>
  <si>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</si>
  <si>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</si>
  <si>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</si>
  <si>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</si>
  <si>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</si>
  <si>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</si>
  <si>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</si>
  <si>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</si>
  <si>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</si>
  <si>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</si>
  <si>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</si>
  <si>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</si>
  <si>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</si>
  <si>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</si>
  <si>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</si>
  <si>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</si>
  <si>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</si>
  <si>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</si>
  <si>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</si>
  <si>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</si>
  <si>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</si>
  <si>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</si>
  <si>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</si>
  <si>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</si>
  <si>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</si>
  <si>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</si>
  <si>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</si>
  <si>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</si>
  <si>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</si>
  <si>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</si>
  <si>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</si>
  <si>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</si>
  <si>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</si>
  <si>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</si>
  <si>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</si>
  <si>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</si>
  <si>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</si>
  <si>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</si>
  <si>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</si>
  <si>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</si>
  <si>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</si>
  <si>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</si>
  <si>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</si>
  <si>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</si>
  <si>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</si>
  <si>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</si>
  <si>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</si>
  <si>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</si>
  <si>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</si>
  <si>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</si>
  <si>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</si>
  <si>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</si>
  <si>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</si>
  <si>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</si>
  <si>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</si>
  <si>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</si>
  <si>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</si>
  <si>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</si>
  <si>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</si>
  <si>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</si>
  <si>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</si>
  <si>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</si>
  <si>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</si>
  <si>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</si>
  <si>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</si>
  <si>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</si>
  <si>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</si>
  <si>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</si>
  <si>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</si>
  <si>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</si>
  <si>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</si>
  <si>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</si>
  <si>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</si>
  <si>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</si>
  <si>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</si>
  <si>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</si>
  <si>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</si>
  <si>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</si>
  <si>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</si>
  <si>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</si>
  <si>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</si>
  <si>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</si>
  <si>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</si>
  <si>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</si>
  <si>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</si>
  <si>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</si>
  <si>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</si>
  <si>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</si>
  <si>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</si>
  <si>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</si>
  <si>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</si>
  <si>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</si>
  <si>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</si>
  <si>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</si>
  <si>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</si>
  <si>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</si>
  <si>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</si>
  <si>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</si>
  <si>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</si>
  <si>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</si>
  <si>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</si>
  <si>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</si>
  <si>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</si>
  <si>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</si>
  <si>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</si>
  <si>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</si>
  <si>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</si>
  <si>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</si>
  <si>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</si>
  <si>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</si>
  <si>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</si>
  <si>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</si>
  <si>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</si>
  <si>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</si>
  <si>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</si>
  <si>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</si>
  <si>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</si>
  <si>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</si>
  <si>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</si>
  <si>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</si>
  <si>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</si>
  <si>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</si>
  <si>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</si>
  <si>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</si>
  <si>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</si>
  <si>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</si>
  <si>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</si>
  <si>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</si>
  <si>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</si>
  <si>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</si>
  <si>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</si>
  <si>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</si>
  <si>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</si>
  <si>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</si>
  <si>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</si>
  <si>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</si>
  <si>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</si>
  <si>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</si>
  <si>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</si>
  <si>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</si>
  <si>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</si>
  <si>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</si>
  <si>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</si>
  <si>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</si>
  <si>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</si>
  <si>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</si>
  <si>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</si>
  <si>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</si>
  <si>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</si>
  <si>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</si>
  <si>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</si>
  <si>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</si>
  <si>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</si>
  <si>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</si>
  <si>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</si>
  <si>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</si>
  <si>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</si>
  <si>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</si>
  <si>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</si>
  <si>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</si>
  <si>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</si>
  <si>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</si>
  <si>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</si>
  <si>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</si>
  <si>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</si>
  <si>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</si>
  <si>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</si>
  <si>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</si>
  <si>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</si>
  <si>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</si>
  <si>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</si>
  <si>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</si>
  <si>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</si>
  <si>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</si>
  <si>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</si>
  <si>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</si>
  <si>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</si>
  <si>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</si>
  <si>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</si>
  <si>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</si>
  <si>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</si>
  <si>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</si>
  <si>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</si>
  <si>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</si>
  <si>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</si>
  <si>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</si>
  <si>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</si>
  <si>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</si>
  <si>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</si>
  <si>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</si>
  <si>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</si>
  <si>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</si>
  <si>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</si>
  <si>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</si>
  <si>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</si>
  <si>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</si>
  <si>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</si>
  <si>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</si>
  <si>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</si>
  <si>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</si>
  <si>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</si>
  <si>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</si>
  <si>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</si>
  <si>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</si>
  <si>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</si>
  <si>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</si>
  <si>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</si>
  <si>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</si>
  <si>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</si>
  <si>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</si>
  <si>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</si>
  <si>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</si>
  <si>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</si>
  <si>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</si>
  <si>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</si>
  <si>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</si>
  <si>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</si>
  <si>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</si>
  <si>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</si>
  <si>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</si>
  <si>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</si>
  <si>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</si>
  <si>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</si>
  <si>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</si>
  <si>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</si>
  <si>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</si>
  <si>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</si>
  <si>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</si>
  <si>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</si>
  <si>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</si>
  <si>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</si>
  <si>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</si>
  <si>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</si>
  <si>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</si>
  <si>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</si>
  <si>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</si>
  <si>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</si>
  <si>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</si>
  <si>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</si>
  <si>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</si>
  <si>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</si>
  <si>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</si>
  <si>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</si>
  <si>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</si>
  <si>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</si>
  <si>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</si>
  <si>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</si>
  <si>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</si>
  <si>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</si>
  <si>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</si>
  <si>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</si>
  <si>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</si>
  <si>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</si>
  <si>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</si>
  <si>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</si>
  <si>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</si>
  <si>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</si>
  <si>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</si>
  <si>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</si>
  <si>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</si>
  <si>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</si>
  <si>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</si>
  <si>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</si>
  <si>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</si>
  <si>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</si>
  <si>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</si>
  <si>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</si>
  <si>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</si>
  <si>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</si>
  <si>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</si>
  <si>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</si>
  <si>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</si>
  <si>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</si>
  <si>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</si>
  <si>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</si>
  <si>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</si>
  <si>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</si>
  <si>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</si>
  <si>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</si>
  <si>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</si>
  <si>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</si>
  <si>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</si>
  <si>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</si>
  <si>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</si>
  <si>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</si>
  <si>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</si>
  <si>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</si>
  <si>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</si>
  <si>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</si>
  <si>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</si>
  <si>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</si>
  <si>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</si>
  <si>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</si>
  <si>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</si>
  <si>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</si>
  <si>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</si>
  <si>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</si>
  <si>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</si>
  <si>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</si>
  <si>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</si>
  <si>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</si>
  <si>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</si>
  <si>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</si>
  <si>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</si>
  <si>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</si>
  <si>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</si>
  <si>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</si>
  <si>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</si>
  <si>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</si>
  <si>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</si>
  <si>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</si>
  <si>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</si>
  <si>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</si>
  <si>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</si>
  <si>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</si>
  <si>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</si>
  <si>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</si>
  <si>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</si>
  <si>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</si>
  <si>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</si>
  <si>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</si>
  <si>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</si>
  <si>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</si>
  <si>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</si>
  <si>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</si>
  <si>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</si>
  <si>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</si>
  <si>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</si>
  <si>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</si>
  <si>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</si>
  <si>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</si>
  <si>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</si>
  <si>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</si>
  <si>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</si>
  <si>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</si>
  <si>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</si>
  <si>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</si>
  <si>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</si>
  <si>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</si>
  <si>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</si>
  <si>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</si>
  <si>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</si>
  <si>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</si>
  <si>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</si>
  <si>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</si>
  <si>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</si>
  <si>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</si>
  <si>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</si>
  <si>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</si>
  <si>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</si>
  <si>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</si>
  <si>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</si>
  <si>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</si>
  <si>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</si>
  <si>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</si>
  <si>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</si>
  <si>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</si>
  <si>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</si>
  <si>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</si>
  <si>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</si>
  <si>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</si>
  <si>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</si>
  <si>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</si>
  <si>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</si>
  <si>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</si>
  <si>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</si>
  <si>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</si>
  <si>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</si>
  <si>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</si>
  <si>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</si>
  <si>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</si>
  <si>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</si>
  <si>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</si>
  <si>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</si>
  <si>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</si>
  <si>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</si>
  <si>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</si>
  <si>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</si>
  <si>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</si>
  <si>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</si>
  <si>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</si>
  <si>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</si>
  <si>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</si>
  <si>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</si>
  <si>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</si>
  <si>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</si>
  <si>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</si>
  <si>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</si>
  <si>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</si>
  <si>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</si>
  <si>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</si>
  <si>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</si>
  <si>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</si>
  <si>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</si>
  <si>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</si>
  <si>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</si>
  <si>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</si>
  <si>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</si>
  <si>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</si>
  <si>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</si>
  <si>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</si>
  <si>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</si>
  <si>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</si>
  <si>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</si>
  <si>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</si>
  <si>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</si>
  <si>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</si>
  <si>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</si>
  <si>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</si>
  <si>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</si>
  <si>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</si>
  <si>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</si>
  <si>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</si>
  <si>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</si>
  <si>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</si>
  <si>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</si>
  <si>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</si>
  <si>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</si>
  <si>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</si>
  <si>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</si>
  <si>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</si>
  <si>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</si>
  <si>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</si>
  <si>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</si>
  <si>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</si>
  <si>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</si>
  <si>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</si>
  <si>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</si>
  <si>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</si>
  <si>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</si>
  <si>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</si>
  <si>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</si>
  <si>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</si>
  <si>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</si>
  <si>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</si>
  <si>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</si>
  <si>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</si>
  <si>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</si>
  <si>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</si>
  <si>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</si>
  <si>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</si>
  <si>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</si>
  <si>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</si>
  <si>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</si>
  <si>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</si>
  <si>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</si>
  <si>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</si>
  <si>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</si>
  <si>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</si>
  <si>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</si>
  <si>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</si>
  <si>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</si>
  <si>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</si>
  <si>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</si>
  <si>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</si>
  <si>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</si>
  <si>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</si>
  <si>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</si>
  <si>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</si>
  <si>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</si>
  <si>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</si>
  <si>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</si>
  <si>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</si>
  <si>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</si>
  <si>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</si>
  <si>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</si>
  <si>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</si>
  <si>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</si>
  <si>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</si>
  <si>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</si>
  <si>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</si>
  <si>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</si>
  <si>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</si>
  <si>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</si>
  <si>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</si>
  <si>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</si>
  <si>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</si>
  <si>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</si>
  <si>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</si>
  <si>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</si>
  <si>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</si>
  <si>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</si>
  <si>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</si>
  <si>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</si>
  <si>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</si>
  <si>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</si>
  <si>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</si>
  <si>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</si>
  <si>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</si>
  <si>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</si>
  <si>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</si>
  <si>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</si>
  <si>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</si>
  <si>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</si>
  <si>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</si>
  <si>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</si>
  <si>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</si>
  <si>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</si>
  <si>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</si>
  <si>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</si>
  <si>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</si>
  <si>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</si>
  <si>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</si>
  <si>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</si>
  <si>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</si>
  <si>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</si>
  <si>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</si>
  <si>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</si>
  <si>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</si>
  <si>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</si>
  <si>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</si>
  <si>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</si>
  <si>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</si>
  <si>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</si>
  <si>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</si>
  <si>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</si>
  <si>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</si>
  <si>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</si>
  <si>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</si>
  <si>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</si>
  <si>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</si>
  <si>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</si>
  <si>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</si>
  <si>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</si>
  <si>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</si>
  <si>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</si>
  <si>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</si>
  <si>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</si>
  <si>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</si>
  <si>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</si>
  <si>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</si>
  <si>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</si>
  <si>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</si>
  <si>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</si>
  <si>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</si>
  <si>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</si>
  <si>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</si>
  <si>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</si>
  <si>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</si>
  <si>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</si>
  <si>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</si>
  <si>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</si>
  <si>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</si>
  <si>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</si>
  <si>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</si>
  <si>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</si>
  <si>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</si>
  <si>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</si>
  <si>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</si>
  <si>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</si>
  <si>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</si>
  <si>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</si>
  <si>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</si>
  <si>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</si>
  <si>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</si>
  <si>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</si>
  <si>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</si>
  <si>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</si>
  <si>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</si>
  <si>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</si>
  <si>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</si>
  <si>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</si>
  <si>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</si>
  <si>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</si>
  <si>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</si>
  <si>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</si>
  <si>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</si>
  <si>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</si>
  <si>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</si>
  <si>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</si>
  <si>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</si>
  <si>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</si>
  <si>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</si>
  <si>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</si>
  <si>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</si>
  <si>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</si>
  <si>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</si>
  <si>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</si>
  <si>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</si>
  <si>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</si>
  <si>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</si>
  <si>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</si>
  <si>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</si>
  <si>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</si>
  <si>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</si>
  <si>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</si>
  <si>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</si>
  <si>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</si>
  <si>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</si>
  <si>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</si>
  <si>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</si>
  <si>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</si>
  <si>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</si>
  <si>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</si>
  <si>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</si>
  <si>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</si>
  <si>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</si>
  <si>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</si>
  <si>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</si>
  <si>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</si>
  <si>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</si>
  <si>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</si>
  <si>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</si>
  <si>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</si>
  <si>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</si>
  <si>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</si>
  <si>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</si>
  <si>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</si>
  <si>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</si>
  <si>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</si>
  <si>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</si>
  <si>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</si>
  <si>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</si>
  <si>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</si>
  <si>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</si>
  <si>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</si>
  <si>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</si>
  <si>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</si>
  <si>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</si>
  <si>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</si>
  <si>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</si>
  <si>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</si>
  <si>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</si>
  <si>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</si>
  <si>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</si>
  <si>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</si>
  <si>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</si>
  <si>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</si>
  <si>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</si>
  <si>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</si>
  <si>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</si>
  <si>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</si>
  <si>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</si>
  <si>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</si>
  <si>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</si>
  <si>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</si>
  <si>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</si>
  <si>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</si>
  <si>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</si>
  <si>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</si>
  <si>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</si>
  <si>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</si>
  <si>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</si>
  <si>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</si>
  <si>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</si>
  <si>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</si>
  <si>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</si>
  <si>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</si>
  <si>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</si>
  <si>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</si>
  <si>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</si>
  <si>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</si>
  <si>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</si>
  <si>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</si>
  <si>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</si>
  <si>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</si>
  <si>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</si>
  <si>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</si>
  <si>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</si>
  <si>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</si>
  <si>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</si>
  <si>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</si>
  <si>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</si>
  <si>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</si>
  <si>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</si>
  <si>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</si>
  <si>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</si>
  <si>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</si>
  <si>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</si>
  <si>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</si>
  <si>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</si>
  <si>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</si>
  <si>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</si>
  <si>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</si>
  <si>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</si>
  <si>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</si>
  <si>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</si>
  <si>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</si>
  <si>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</si>
  <si>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</si>
  <si>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</si>
  <si>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</si>
  <si>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</si>
  <si>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</si>
  <si>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</si>
  <si>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</si>
  <si>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</si>
  <si>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</si>
  <si>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</si>
  <si>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</si>
  <si>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</si>
  <si>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</si>
  <si>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</si>
  <si>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</si>
  <si>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</si>
  <si>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</si>
  <si>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</si>
  <si>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</si>
  <si>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</si>
  <si>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</si>
  <si>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</si>
  <si>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</si>
  <si>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</si>
  <si>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</si>
  <si>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</si>
  <si>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</si>
  <si>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</si>
  <si>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</si>
  <si>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</si>
  <si>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</si>
  <si>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</si>
  <si>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</si>
  <si>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</si>
  <si>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</si>
  <si>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</si>
  <si>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</si>
  <si>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</si>
  <si>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</si>
  <si>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</si>
  <si>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</si>
  <si>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</si>
  <si>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</si>
  <si>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</si>
  <si>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</si>
  <si>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</si>
  <si>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</si>
  <si>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</si>
  <si>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</si>
  <si>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</si>
  <si>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</si>
  <si>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</si>
  <si>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</si>
  <si>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</si>
  <si>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</si>
  <si>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</si>
  <si>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</si>
  <si>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</si>
  <si>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</si>
  <si>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</si>
  <si>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</si>
  <si>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</si>
  <si>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</si>
  <si>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</si>
  <si>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</si>
  <si>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</si>
  <si>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</si>
  <si>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</si>
  <si>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</si>
  <si>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</si>
  <si>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</si>
  <si>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</si>
  <si>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</si>
  <si>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</si>
  <si>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</si>
  <si>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</si>
  <si>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</si>
  <si>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</si>
  <si>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</si>
  <si>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</si>
  <si>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</si>
  <si>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</si>
  <si>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</si>
  <si>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</si>
  <si>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</si>
  <si>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</si>
  <si>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</si>
  <si>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</si>
  <si>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</si>
  <si>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</si>
  <si>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</si>
  <si>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</si>
  <si>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</si>
  <si>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</si>
  <si>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</si>
  <si>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</si>
  <si>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</si>
  <si>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</si>
  <si>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</si>
  <si>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</si>
  <si>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</si>
  <si>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</si>
  <si>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</si>
  <si>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</si>
  <si>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</si>
  <si>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</si>
  <si>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</si>
  <si>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</si>
  <si>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</si>
  <si>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</si>
  <si>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</si>
  <si>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</si>
  <si>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</si>
  <si>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</si>
  <si>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</si>
  <si>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</si>
  <si>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</si>
  <si>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</si>
  <si>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</si>
  <si>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</si>
  <si>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</si>
  <si>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</si>
  <si>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</si>
  <si>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</si>
  <si>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</si>
  <si>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</si>
  <si>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</si>
  <si>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</si>
  <si>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</si>
  <si>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</si>
  <si>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</si>
  <si>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</si>
  <si>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</si>
  <si>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</si>
  <si>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</si>
  <si>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</si>
  <si>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</si>
  <si>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</si>
  <si>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</si>
  <si>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</si>
  <si>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</si>
  <si>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</si>
  <si>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</si>
  <si>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</si>
  <si>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</si>
  <si>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</si>
  <si>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</si>
  <si>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</si>
  <si>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</si>
  <si>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</si>
  <si>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</si>
  <si>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</si>
  <si>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</si>
  <si>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</si>
  <si>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</si>
  <si>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</si>
  <si>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</si>
  <si>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</si>
  <si>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</si>
  <si>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</si>
  <si>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</si>
  <si>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</si>
  <si>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</si>
  <si>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</si>
  <si>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</si>
  <si>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</si>
  <si>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</si>
  <si>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</si>
  <si>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</si>
  <si>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</si>
  <si>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</si>
  <si>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</si>
  <si>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</si>
  <si>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</si>
  <si>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</si>
  <si>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</si>
  <si>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</si>
  <si>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</si>
  <si>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</si>
  <si>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</si>
  <si>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</si>
  <si>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</si>
  <si>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</si>
  <si>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</si>
  <si>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</si>
  <si>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</si>
  <si>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</si>
  <si>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</si>
  <si>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</si>
  <si>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</si>
  <si>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</si>
  <si>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</si>
  <si>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</si>
  <si>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</si>
  <si>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</si>
  <si>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</si>
  <si>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</si>
  <si>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</si>
  <si>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</si>
  <si>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</si>
  <si>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</si>
  <si>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</si>
  <si>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</si>
  <si>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</si>
  <si>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</si>
  <si>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</si>
  <si>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</si>
  <si>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</si>
  <si>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</si>
  <si>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</si>
  <si>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</si>
  <si>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</si>
  <si>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</si>
  <si>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郊区县征地</t>
  </si>
  <si>
    <t>北京市人民政府发布北京市出让国有土地使用权基准地价的通知_市政府文件_首都之窗_北京市人民政府门户网站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</si>
</sst>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4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3" fillId="0" borderId="0" applyNumberFormat="0" applyFill="0" applyBorder="0" applyAlignment="0" applyProtection="0">
      <alignment vertical="center"/>
    </xf>
  </cellStyleXfs>
  <cellXfs count="178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" fillId="17" borderId="2" xfId="11" applyFont="1" applyFill="1" applyBorder="1" applyAlignment="1" applyProtection="1">
      <alignment horizontal="center" vertical="center" wrapText="1"/>
      <protection locked="0"/>
    </xf>
    <xf numFmtId="0" fontId="143" fillId="0" borderId="0" xfId="17">
      <alignment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>
      <alignment horizontal="left" vertical="center" wrapText="1"/>
    </xf>
    <xf numFmtId="0" fontId="18" fillId="3" borderId="21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4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</cellXfs>
  <cellStyles count="18">
    <cellStyle name="百分比 2" xfId="1" xr:uid="{00000000-0005-0000-0000-000000000000}"/>
    <cellStyle name="常规" xfId="0" builtinId="0"/>
    <cellStyle name="常规 16" xfId="6" xr:uid="{00000000-0005-0000-0000-000002000000}"/>
    <cellStyle name="常规 2" xfId="11" xr:uid="{00000000-0005-0000-0000-000003000000}"/>
    <cellStyle name="常规 2 2" xfId="10" xr:uid="{00000000-0005-0000-0000-000004000000}"/>
    <cellStyle name="常规 2 2 2 2 3" xfId="7" xr:uid="{00000000-0005-0000-0000-000005000000}"/>
    <cellStyle name="常规 3" xfId="12" xr:uid="{00000000-0005-0000-0000-000006000000}"/>
    <cellStyle name="常规 3 2" xfId="9" xr:uid="{00000000-0005-0000-0000-000007000000}"/>
    <cellStyle name="常规 4" xfId="13" xr:uid="{00000000-0005-0000-0000-000008000000}"/>
    <cellStyle name="常规 5" xfId="14" xr:uid="{00000000-0005-0000-0000-000009000000}"/>
    <cellStyle name="常规 6" xfId="2" xr:uid="{00000000-0005-0000-0000-00000A000000}"/>
    <cellStyle name="常规 6 2" xfId="3" xr:uid="{00000000-0005-0000-0000-00000B000000}"/>
    <cellStyle name="常规 6 2 2" xfId="8" xr:uid="{00000000-0005-0000-0000-00000C000000}"/>
    <cellStyle name="常规 6 3" xfId="5" xr:uid="{00000000-0005-0000-0000-00000D000000}"/>
    <cellStyle name="常规 7" xfId="15" xr:uid="{00000000-0005-0000-0000-00000E000000}"/>
    <cellStyle name="常规 8" xfId="4" xr:uid="{00000000-0005-0000-0000-00000F000000}"/>
    <cellStyle name="常规 9" xfId="16" xr:uid="{00000000-0005-0000-0000-000010000000}"/>
    <cellStyle name="超链接" xfId="17" builtinId="8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123825</xdr:rowOff>
    </xdr:from>
    <xdr:to>
      <xdr:col>13</xdr:col>
      <xdr:colOff>322765</xdr:colOff>
      <xdr:row>19</xdr:row>
      <xdr:rowOff>132963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7BF1042-44FB-B90A-0F15-F61046DA9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295275"/>
          <a:ext cx="8676190" cy="30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eijing.gov.cn/zhengce/zfwj/zfwj/szfwj/201905/t20190523_72290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1" customWidth="1"/>
    <col min="2" max="2" width="20.75" style="1622" customWidth="1"/>
    <col min="3" max="16384" width="14.5" style="1622"/>
  </cols>
  <sheetData>
    <row r="1" spans="1:7" s="1620" customFormat="1" ht="18.75">
      <c r="A1" s="1623" t="s">
        <v>0</v>
      </c>
    </row>
    <row r="3" spans="1:7">
      <c r="A3" s="1624" t="s">
        <v>1</v>
      </c>
      <c r="B3" s="1622" t="s">
        <v>2</v>
      </c>
      <c r="G3" s="112"/>
    </row>
    <row r="4" spans="1:7">
      <c r="G4" s="112"/>
    </row>
    <row r="5" spans="1:7">
      <c r="A5" s="1625" t="s">
        <v>3</v>
      </c>
      <c r="B5" s="1622" t="s">
        <v>4</v>
      </c>
      <c r="G5" s="112"/>
    </row>
    <row r="6" spans="1:7">
      <c r="G6" s="112"/>
    </row>
    <row r="7" spans="1:7">
      <c r="A7" s="1626" t="s">
        <v>5</v>
      </c>
      <c r="B7" s="1622" t="s">
        <v>6</v>
      </c>
      <c r="G7" s="112"/>
    </row>
    <row r="8" spans="1:7">
      <c r="G8" s="112"/>
    </row>
    <row r="9" spans="1:7">
      <c r="A9" s="1627" t="s">
        <v>7</v>
      </c>
      <c r="B9" s="1622" t="s">
        <v>8</v>
      </c>
    </row>
    <row r="11" spans="1:7">
      <c r="A11" s="1628" t="s">
        <v>9</v>
      </c>
      <c r="B11" s="1629" t="s">
        <v>10</v>
      </c>
    </row>
    <row r="13" spans="1:7">
      <c r="A13" s="1630" t="s">
        <v>11</v>
      </c>
    </row>
    <row r="15" spans="1:7" ht="13.5">
      <c r="A15" s="1648" t="s">
        <v>12</v>
      </c>
      <c r="B15" s="1631" t="s">
        <v>13</v>
      </c>
    </row>
    <row r="16" spans="1:7" ht="13.5">
      <c r="A16" s="1649"/>
      <c r="B16" s="1632" t="s">
        <v>14</v>
      </c>
    </row>
    <row r="17" spans="1:2" ht="13.5">
      <c r="A17" s="1633" t="s">
        <v>15</v>
      </c>
      <c r="B17" s="1634"/>
    </row>
    <row r="18" spans="1:2" ht="13.5">
      <c r="A18" s="1650" t="s">
        <v>16</v>
      </c>
      <c r="B18" s="1631" t="s">
        <v>17</v>
      </c>
    </row>
    <row r="19" spans="1:2" ht="13.5">
      <c r="A19" s="1650"/>
      <c r="B19" s="1631" t="s">
        <v>18</v>
      </c>
    </row>
    <row r="20" spans="1:2" ht="13.5">
      <c r="A20" s="1650"/>
      <c r="B20" s="1631" t="s">
        <v>19</v>
      </c>
    </row>
    <row r="21" spans="1:2" ht="13.5">
      <c r="A21" s="1650"/>
      <c r="B21" s="1635" t="s">
        <v>20</v>
      </c>
    </row>
    <row r="22" spans="1:2" ht="13.5">
      <c r="A22" s="1650"/>
      <c r="B22" s="1635" t="s">
        <v>21</v>
      </c>
    </row>
    <row r="23" spans="1:2">
      <c r="A23" s="1636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>SUM(J6:J10,J13)</f>
        <v>155</v>
      </c>
      <c r="K15" s="875">
        <f>SUM(K6:K10,K13)</f>
        <v>155</v>
      </c>
      <c r="L15" s="875">
        <f>SUM(L6:L10,L13)</f>
        <v>155</v>
      </c>
      <c r="M15" s="875">
        <f>SUM(M6:M10,M13)</f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8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8"/>
      <c r="B19" s="1698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8"/>
      <c r="B20" s="1698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8"/>
      <c r="B21" s="1698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8"/>
      <c r="B22" s="1698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8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8"/>
      <c r="B24" s="1698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8"/>
      <c r="B25" s="1698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8"/>
      <c r="B26" s="1698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8"/>
      <c r="B27" s="1698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8"/>
      <c r="B28" s="1698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8"/>
      <c r="B29" s="1698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8"/>
      <c r="B30" s="1698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8"/>
      <c r="B31" s="1698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8"/>
      <c r="B32" s="1698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8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8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8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8"/>
      <c r="B36" s="1698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8"/>
      <c r="B37" s="1698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8"/>
      <c r="B38" s="1698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8"/>
      <c r="B39" s="1698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8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8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8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8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8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8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8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8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8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8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8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8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8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8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8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8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8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8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8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8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8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8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8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8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8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8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8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8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8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8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8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8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8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8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8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8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8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8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8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8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8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8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8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8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8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8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8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8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8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8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G10" sqref="G10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260.94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八级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0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1</v>
      </c>
      <c r="H3" s="906" t="s">
        <v>372</v>
      </c>
      <c r="I3" s="17">
        <f>SUMPRODUCT((A89:A92=E2)*(B88:K88=G2)*(B89:K92))</f>
        <v>1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490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取值范围:120—280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0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37194</v>
      </c>
      <c r="I9" s="1032">
        <f>ROUND(SUMPRODUCT((地价!A36:A86=YEAR(H9)&amp;"-"&amp;ROUNDUP(MONTH(H9)/3,0))*(地价!B3:F3=E2)*(地价!B36:F86)),0)</f>
        <v>0</v>
      </c>
      <c r="J9" s="1033"/>
      <c r="AE9" s="988"/>
      <c r="AF9" s="988"/>
    </row>
    <row r="10" spans="1:36" ht="15.75">
      <c r="A10" s="938" t="s">
        <v>378</v>
      </c>
      <c r="B10" s="939" t="s">
        <v>281</v>
      </c>
      <c r="C10" s="940">
        <f>ROUND(POWER(1+E10,H10-G10)*(POWER(1+E10,G10)-1)/(POWER(1+E10,H10)-1),4)</f>
        <v>1</v>
      </c>
      <c r="D10" s="941" t="s">
        <v>278</v>
      </c>
      <c r="E10" s="942">
        <v>0.04</v>
      </c>
      <c r="F10" s="943"/>
      <c r="G10" s="944">
        <f>IF(F10="剩余土地使用年限",主表!B15,主表!B16)</f>
        <v>70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1.177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1.177</v>
      </c>
      <c r="E12" s="950">
        <f>ROUNDDOWN(G3,1)</f>
        <v>1</v>
      </c>
      <c r="F12" s="951">
        <f>IF(G3&lt;=10,SUMPRODUCT(('2002容积率修正'!A3:A102=E12)*('2002容积率修正'!B2:D2=E2)*('2002容积率修正'!B3:D102)),"——")</f>
        <v>1.177</v>
      </c>
      <c r="G12" s="952">
        <f>ROUNDUP(G3,1)</f>
        <v>1</v>
      </c>
      <c r="H12" s="692">
        <f>IF(G3&lt;=10,SUMPRODUCT(('2002容积率修正'!A3:A102=G12)*('2002容积率修正'!B2:D2=E2)*('2002容积率修正'!B3:D102)),"——")</f>
        <v>1.177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1.177</v>
      </c>
      <c r="E13" s="950">
        <f>ROUNDDOWN(G3,1)</f>
        <v>1</v>
      </c>
      <c r="F13" s="951">
        <f>IF(G3&lt;=10,SUMPRODUCT(('2002容积率修正'!A3:A102=E13)*('2002容积率修正'!E2:G2=E2)*('2002容积率修正'!E3:G102)),"——")</f>
        <v>1</v>
      </c>
      <c r="G13" s="952">
        <f>ROUNDUP(G3,1)</f>
        <v>1</v>
      </c>
      <c r="H13" s="692">
        <f>IF(G3&lt;=10,SUMPRODUCT(('2002容积率修正'!A3:A102=G13)*('2002容积率修正'!E2:G2=E2)*('2002容积率修正'!E3:G102)),"——")</f>
        <v>1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0.99339999999999995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五通一平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8" t="s">
        <v>1019</v>
      </c>
      <c r="B18" s="735" t="s">
        <v>1007</v>
      </c>
      <c r="C18" s="971">
        <f>ROUND(C7*C9*C10*C11*C15*C16,0)</f>
        <v>0</v>
      </c>
      <c r="D18" s="736">
        <f>H1</f>
        <v>260.94</v>
      </c>
      <c r="E18" s="737">
        <f>ROUND(C18*D18,0)</f>
        <v>0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9"/>
      <c r="B19" s="740" t="s">
        <v>1021</v>
      </c>
      <c r="C19" s="692">
        <f>ROUND(C7*C9*C10*C11*C15*C16*G3,0)</f>
        <v>0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10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260.94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10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 t="e">
        <f>ROUNDDOWN(1+DATEDIF(E9,H9,"M")/3,0)</f>
        <v>#NUM!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0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0.111</v>
      </c>
      <c r="G42" s="1014">
        <f>F42/2</f>
        <v>5.5500000000000001E-2</v>
      </c>
      <c r="H42" s="1015">
        <v>0</v>
      </c>
      <c r="I42" s="1014">
        <f>J42/2</f>
        <v>-5.7000000000000002E-2</v>
      </c>
      <c r="J42" s="1014">
        <f>SUMPRODUCT(('2002因素修正幅度'!$A$66:$A$72=A42)*('2002因素修正幅度'!$B$35:$K$35=$G$2)*('2002因素修正幅度'!$B$66:$K$72))</f>
        <v>-0.114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0"/>
        <v>0</v>
      </c>
      <c r="E43" s="1016"/>
      <c r="F43" s="1014">
        <f>SUMPRODUCT(('2002因素修正幅度'!$A$36:$A$42=A43)*('2002因素修正幅度'!$B$35:$K$35=$G$2)*('2002因素修正幅度'!$B$36:$K$42))</f>
        <v>5.5500000000000001E-2</v>
      </c>
      <c r="G43" s="1014">
        <f t="shared" ref="G43:G48" si="1">F43/2</f>
        <v>2.775E-2</v>
      </c>
      <c r="H43" s="1015">
        <v>0</v>
      </c>
      <c r="I43" s="1014">
        <f t="shared" ref="I43:I48" si="2">J43/2</f>
        <v>-2.8500000000000001E-2</v>
      </c>
      <c r="J43" s="1014">
        <f>SUMPRODUCT(('2002因素修正幅度'!$A$66:$A$72=A43)*('2002因素修正幅度'!$B$35:$K$35=$G$2)*('2002因素修正幅度'!$B$66:$K$72))</f>
        <v>-5.7000000000000002E-2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0"/>
        <v>0</v>
      </c>
      <c r="E44" s="1016"/>
      <c r="F44" s="1014">
        <f>SUMPRODUCT(('2002因素修正幅度'!$A$36:$A$42=A44)*('2002因素修正幅度'!$B$35:$K$35=$G$2)*('2002因素修正幅度'!$B$36:$K$42))</f>
        <v>3.6999999999999998E-2</v>
      </c>
      <c r="G44" s="1014">
        <f t="shared" si="1"/>
        <v>1.8499999999999999E-2</v>
      </c>
      <c r="H44" s="1015">
        <v>0</v>
      </c>
      <c r="I44" s="1014">
        <f t="shared" si="2"/>
        <v>-1.9E-2</v>
      </c>
      <c r="J44" s="1014">
        <f>SUMPRODUCT(('2002因素修正幅度'!$A$66:$A$72=A44)*('2002因素修正幅度'!$B$35:$K$35=$G$2)*('2002因素修正幅度'!$B$66:$K$72))</f>
        <v>-3.7999999999999999E-2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0"/>
        <v>0</v>
      </c>
      <c r="E45" s="1016"/>
      <c r="F45" s="1014">
        <f>SUMPRODUCT(('2002因素修正幅度'!$A$36:$A$42=A45)*('2002因素修正幅度'!$B$35:$K$35=$G$2)*('2002因素修正幅度'!$B$36:$K$42))</f>
        <v>7.3999999999999996E-2</v>
      </c>
      <c r="G45" s="1014">
        <f t="shared" si="1"/>
        <v>3.6999999999999998E-2</v>
      </c>
      <c r="H45" s="1015">
        <v>0</v>
      </c>
      <c r="I45" s="1014">
        <f t="shared" si="2"/>
        <v>-3.7999999999999999E-2</v>
      </c>
      <c r="J45" s="1014">
        <f>SUMPRODUCT(('2002因素修正幅度'!$A$66:$A$72=A45)*('2002因素修正幅度'!$B$35:$K$35=$G$2)*('2002因素修正幅度'!$B$66:$K$72))</f>
        <v>-7.5999999999999998E-2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0"/>
        <v>0</v>
      </c>
      <c r="E46" s="1016"/>
      <c r="F46" s="1014">
        <f>SUMPRODUCT(('2002因素修正幅度'!$A$36:$A$42=A46)*('2002因素修正幅度'!$B$35:$K$35=$G$2)*('2002因素修正幅度'!$B$36:$K$42))</f>
        <v>3.6999999999999998E-2</v>
      </c>
      <c r="G46" s="1014">
        <f t="shared" si="1"/>
        <v>1.8499999999999999E-2</v>
      </c>
      <c r="H46" s="1015">
        <v>0</v>
      </c>
      <c r="I46" s="1014">
        <f t="shared" si="2"/>
        <v>-1.9E-2</v>
      </c>
      <c r="J46" s="1014">
        <f>SUMPRODUCT(('2002因素修正幅度'!$A$66:$A$72=A46)*('2002因素修正幅度'!$B$35:$K$35=$G$2)*('2002因素修正幅度'!$B$66:$K$72))</f>
        <v>-3.7999999999999999E-2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0"/>
        <v>0</v>
      </c>
      <c r="E47" s="1016"/>
      <c r="F47" s="1014">
        <f>SUMPRODUCT(('2002因素修正幅度'!$A$36:$A$42=A47)*('2002因素修正幅度'!$B$35:$K$35=$G$2)*('2002因素修正幅度'!$B$36:$K$42))</f>
        <v>2.9600000000000001E-2</v>
      </c>
      <c r="G47" s="1014">
        <f t="shared" si="1"/>
        <v>1.4800000000000001E-2</v>
      </c>
      <c r="H47" s="1015">
        <v>0</v>
      </c>
      <c r="I47" s="1014">
        <f t="shared" si="2"/>
        <v>-1.52E-2</v>
      </c>
      <c r="J47" s="1014">
        <f>SUMPRODUCT(('2002因素修正幅度'!$A$66:$A$72=A47)*('2002因素修正幅度'!$B$35:$K$35=$G$2)*('2002因素修正幅度'!$B$66:$K$72))</f>
        <v>-3.04E-2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0"/>
        <v>0</v>
      </c>
      <c r="E48" s="1016"/>
      <c r="F48" s="1014">
        <f>SUMPRODUCT(('2002因素修正幅度'!$A$36:$A$42=A48)*('2002因素修正幅度'!$B$35:$K$35=$G$2)*('2002因素修正幅度'!$B$36:$K$42))</f>
        <v>2.5899999999999999E-2</v>
      </c>
      <c r="G48" s="1014">
        <f t="shared" si="1"/>
        <v>1.295E-2</v>
      </c>
      <c r="H48" s="1015">
        <v>0</v>
      </c>
      <c r="I48" s="1014">
        <f t="shared" si="2"/>
        <v>-1.3299999999999999E-2</v>
      </c>
      <c r="J48" s="1014">
        <f>SUMPRODUCT(('2002因素修正幅度'!$A$66:$A$72=A48)*('2002因素修正幅度'!$B$35:$K$35=$G$2)*('2002因素修正幅度'!$B$66:$K$72))</f>
        <v>-2.6599999999999999E-2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3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6.8000000000000005E-2</v>
      </c>
      <c r="G51" s="1014">
        <f>F51/2</f>
        <v>3.4000000000000002E-2</v>
      </c>
      <c r="H51" s="1015">
        <v>0</v>
      </c>
      <c r="I51" s="1014">
        <f>J51/2</f>
        <v>-3.5999999999999997E-2</v>
      </c>
      <c r="J51" s="1014">
        <f>SUMPRODUCT(('2002因素修正幅度'!$A$73:$A$79=A51)*('2002因素修正幅度'!$B$35:$K$35=$G$2)*('2002因素修正幅度'!$B$73:$K$79))</f>
        <v>-7.1999999999999995E-2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3"/>
        <v>0</v>
      </c>
      <c r="E52" s="1016"/>
      <c r="F52" s="1014">
        <f>SUMPRODUCT(('2002因素修正幅度'!$A$43:$A$49=A52)*('2002因素修正幅度'!$B$35:$K$35=$G$2)*('2002因素修正幅度'!$B$43:$K$49))</f>
        <v>8.5000000000000006E-2</v>
      </c>
      <c r="G52" s="1014">
        <f t="shared" ref="G52:G57" si="4">F52/2</f>
        <v>4.2500000000000003E-2</v>
      </c>
      <c r="H52" s="1015">
        <v>0</v>
      </c>
      <c r="I52" s="1014">
        <f t="shared" ref="I52:I57" si="5">J52/2</f>
        <v>-4.4999999999999998E-2</v>
      </c>
      <c r="J52" s="1014">
        <f>SUMPRODUCT(('2002因素修正幅度'!$A$73:$A$79=A52)*('2002因素修正幅度'!$B$35:$K$35=$G$2)*('2002因素修正幅度'!$B$73:$K$79))</f>
        <v>-0.09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3"/>
        <v>0</v>
      </c>
      <c r="E53" s="1016"/>
      <c r="F53" s="1014">
        <f>SUMPRODUCT(('2002因素修正幅度'!$A$43:$A$49=A53)*('2002因素修正幅度'!$B$35:$K$35=$G$2)*('2002因素修正幅度'!$B$43:$K$49))</f>
        <v>3.4000000000000002E-2</v>
      </c>
      <c r="G53" s="1014">
        <f t="shared" si="4"/>
        <v>1.7000000000000001E-2</v>
      </c>
      <c r="H53" s="1015">
        <v>0</v>
      </c>
      <c r="I53" s="1014">
        <f t="shared" si="5"/>
        <v>-1.7999999999999999E-2</v>
      </c>
      <c r="J53" s="1014">
        <f>SUMPRODUCT(('2002因素修正幅度'!$A$73:$A$79=A53)*('2002因素修正幅度'!$B$35:$K$35=$G$2)*('2002因素修正幅度'!$B$73:$K$79))</f>
        <v>-3.5999999999999997E-2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3"/>
        <v>0</v>
      </c>
      <c r="E54" s="1016"/>
      <c r="F54" s="1014">
        <f>SUMPRODUCT(('2002因素修正幅度'!$A$43:$A$49=A54)*('2002因素修正幅度'!$B$35:$K$35=$G$2)*('2002因素修正幅度'!$B$43:$K$49))</f>
        <v>3.4000000000000002E-2</v>
      </c>
      <c r="G54" s="1014">
        <f t="shared" si="4"/>
        <v>1.7000000000000001E-2</v>
      </c>
      <c r="H54" s="1015">
        <v>0</v>
      </c>
      <c r="I54" s="1014">
        <f t="shared" si="5"/>
        <v>-1.7999999999999999E-2</v>
      </c>
      <c r="J54" s="1014">
        <f>SUMPRODUCT(('2002因素修正幅度'!$A$73:$A$79=A54)*('2002因素修正幅度'!$B$35:$K$35=$G$2)*('2002因素修正幅度'!$B$73:$K$79))</f>
        <v>-3.5999999999999997E-2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3"/>
        <v>0</v>
      </c>
      <c r="E55" s="1016"/>
      <c r="F55" s="1014">
        <f>SUMPRODUCT(('2002因素修正幅度'!$A$43:$A$49=A55)*('2002因素修正幅度'!$B$35:$K$35=$G$2)*('2002因素修正幅度'!$B$43:$K$49))</f>
        <v>5.0999999999999997E-2</v>
      </c>
      <c r="G55" s="1014">
        <f t="shared" si="4"/>
        <v>2.5499999999999998E-2</v>
      </c>
      <c r="H55" s="1015">
        <v>0</v>
      </c>
      <c r="I55" s="1014">
        <f t="shared" si="5"/>
        <v>-2.7E-2</v>
      </c>
      <c r="J55" s="1014">
        <f>SUMPRODUCT(('2002因素修正幅度'!$A$73:$A$79=A55)*('2002因素修正幅度'!$B$35:$K$35=$G$2)*('2002因素修正幅度'!$B$73:$K$79))</f>
        <v>-5.3999999999999999E-2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3"/>
        <v>0</v>
      </c>
      <c r="E56" s="1016"/>
      <c r="F56" s="1014">
        <f>SUMPRODUCT(('2002因素修正幅度'!$A$43:$A$49=A56)*('2002因素修正幅度'!$B$35:$K$35=$G$2)*('2002因素修正幅度'!$B$43:$K$49))</f>
        <v>2.7199999999999998E-2</v>
      </c>
      <c r="G56" s="1014">
        <f t="shared" si="4"/>
        <v>1.3599999999999999E-2</v>
      </c>
      <c r="H56" s="1015">
        <v>0</v>
      </c>
      <c r="I56" s="1014">
        <f t="shared" si="5"/>
        <v>-1.44E-2</v>
      </c>
      <c r="J56" s="1014">
        <f>SUMPRODUCT(('2002因素修正幅度'!$A$73:$A$79=A56)*('2002因素修正幅度'!$B$35:$K$35=$G$2)*('2002因素修正幅度'!$B$73:$K$79))</f>
        <v>-2.8799999999999999E-2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3"/>
        <v>0</v>
      </c>
      <c r="E57" s="1016"/>
      <c r="F57" s="1014">
        <f>SUMPRODUCT(('2002因素修正幅度'!$A$43:$A$49=A57)*('2002因素修正幅度'!$B$35:$K$35=$G$2)*('2002因素修正幅度'!$B$43:$K$49))</f>
        <v>4.0800000000000003E-2</v>
      </c>
      <c r="G57" s="1014">
        <f t="shared" si="4"/>
        <v>2.0400000000000001E-2</v>
      </c>
      <c r="H57" s="1015">
        <v>0</v>
      </c>
      <c r="I57" s="1014">
        <f t="shared" si="5"/>
        <v>-2.1600000000000001E-2</v>
      </c>
      <c r="J57" s="1014">
        <f>SUMPRODUCT(('2002因素修正幅度'!$A$73:$A$79=A57)*('2002因素修正幅度'!$B$35:$K$35=$G$2)*('2002因素修正幅度'!$B$73:$K$79))</f>
        <v>-4.3200000000000002E-2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0.99339999999999995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6">SUMIF($F$59:$J$59,C60,F60:J60)</f>
        <v>1.6500000000000001E-2</v>
      </c>
      <c r="E60" s="1013">
        <f>SUM(D60:D67)</f>
        <v>-6.6000000000000017E-3</v>
      </c>
      <c r="F60" s="1014">
        <f>SUMPRODUCT(('2002因素修正幅度'!$A$50:$A$57=A60)*('2002因素修正幅度'!$B$35:$K$35=$G$2)*('2002因素修正幅度'!$B$50:$K$57))</f>
        <v>3.3000000000000002E-2</v>
      </c>
      <c r="G60" s="1014">
        <f>F60/2</f>
        <v>1.6500000000000001E-2</v>
      </c>
      <c r="H60" s="1015">
        <v>0</v>
      </c>
      <c r="I60" s="1014">
        <f>J60/2</f>
        <v>-1.6500000000000001E-2</v>
      </c>
      <c r="J60" s="1014">
        <f>SUMPRODUCT(('2002因素修正幅度'!$A$80:$A$87=A60)*('2002因素修正幅度'!$B$35:$K$35=$G$2)*('2002因素修正幅度'!$B$80:$K$87))</f>
        <v>-3.3000000000000002E-2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435</v>
      </c>
      <c r="D61" s="1012">
        <f t="shared" si="6"/>
        <v>0</v>
      </c>
      <c r="E61" s="1025"/>
      <c r="F61" s="1014">
        <f>SUMPRODUCT(('2002因素修正幅度'!$A$50:$A$57=A61)*('2002因素修正幅度'!$B$35:$K$35=$G$2)*('2002因素修正幅度'!$B$50:$K$57))</f>
        <v>6.6000000000000003E-2</v>
      </c>
      <c r="G61" s="1014">
        <f t="shared" ref="G61:G67" si="7">F61/2</f>
        <v>3.3000000000000002E-2</v>
      </c>
      <c r="H61" s="1015">
        <v>0</v>
      </c>
      <c r="I61" s="1014">
        <f t="shared" ref="I61:I67" si="8">J61/2</f>
        <v>-3.3000000000000002E-2</v>
      </c>
      <c r="J61" s="1014">
        <f>SUMPRODUCT(('2002因素修正幅度'!$A$80:$A$87=A61)*('2002因素修正幅度'!$B$35:$K$35=$G$2)*('2002因素修正幅度'!$B$80:$K$87))</f>
        <v>-6.6000000000000003E-2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6"/>
        <v>1.6500000000000001E-2</v>
      </c>
      <c r="E62" s="1025"/>
      <c r="F62" s="1014">
        <f>SUMPRODUCT(('2002因素修正幅度'!$A$50:$A$57=A62)*('2002因素修正幅度'!$B$35:$K$35=$G$2)*('2002因素修正幅度'!$B$50:$K$57))</f>
        <v>3.3000000000000002E-2</v>
      </c>
      <c r="G62" s="1014">
        <f t="shared" si="7"/>
        <v>1.6500000000000001E-2</v>
      </c>
      <c r="H62" s="1015">
        <v>0</v>
      </c>
      <c r="I62" s="1014">
        <f t="shared" si="8"/>
        <v>-1.6500000000000001E-2</v>
      </c>
      <c r="J62" s="1014">
        <f>SUMPRODUCT(('2002因素修正幅度'!$A$80:$A$87=A62)*('2002因素修正幅度'!$B$35:$K$35=$G$2)*('2002因素修正幅度'!$B$80:$K$87))</f>
        <v>-3.3000000000000002E-2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436</v>
      </c>
      <c r="D63" s="1012">
        <f t="shared" si="6"/>
        <v>-1.6500000000000001E-2</v>
      </c>
      <c r="E63" s="1025"/>
      <c r="F63" s="1014">
        <f>SUMPRODUCT(('2002因素修正幅度'!$A$50:$A$57=A63)*('2002因素修正幅度'!$B$35:$K$35=$G$2)*('2002因素修正幅度'!$B$50:$K$57))</f>
        <v>3.3000000000000002E-2</v>
      </c>
      <c r="G63" s="1014">
        <f t="shared" si="7"/>
        <v>1.6500000000000001E-2</v>
      </c>
      <c r="H63" s="1015">
        <v>0</v>
      </c>
      <c r="I63" s="1014">
        <f t="shared" si="8"/>
        <v>-1.6500000000000001E-2</v>
      </c>
      <c r="J63" s="1014">
        <f>SUMPRODUCT(('2002因素修正幅度'!$A$80:$A$87=A63)*('2002因素修正幅度'!$B$35:$K$35=$G$2)*('2002因素修正幅度'!$B$80:$K$87))</f>
        <v>-3.3000000000000002E-2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6"/>
        <v>1.32E-2</v>
      </c>
      <c r="E64" s="1025"/>
      <c r="F64" s="1014">
        <f>SUMPRODUCT(('2002因素修正幅度'!$A$50:$A$57=A64)*('2002因素修正幅度'!$B$35:$K$35=$G$2)*('2002因素修正幅度'!$B$50:$K$57))</f>
        <v>2.64E-2</v>
      </c>
      <c r="G64" s="1014">
        <f t="shared" si="7"/>
        <v>1.32E-2</v>
      </c>
      <c r="H64" s="1015">
        <v>0</v>
      </c>
      <c r="I64" s="1014">
        <f t="shared" si="8"/>
        <v>-1.32E-2</v>
      </c>
      <c r="J64" s="1014">
        <f>SUMPRODUCT(('2002因素修正幅度'!$A$80:$A$87=A64)*('2002因素修正幅度'!$B$35:$K$35=$G$2)*('2002因素修正幅度'!$B$80:$K$87))</f>
        <v>-2.64E-2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436</v>
      </c>
      <c r="D65" s="1012">
        <f t="shared" si="6"/>
        <v>-1.9800000000000002E-2</v>
      </c>
      <c r="E65" s="1025"/>
      <c r="F65" s="1014">
        <f>SUMPRODUCT(('2002因素修正幅度'!$A$50:$A$57=A65)*('2002因素修正幅度'!$B$35:$K$35=$G$2)*('2002因素修正幅度'!$B$50:$K$57))</f>
        <v>3.9600000000000003E-2</v>
      </c>
      <c r="G65" s="1014">
        <f t="shared" si="7"/>
        <v>1.9800000000000002E-2</v>
      </c>
      <c r="H65" s="1015">
        <v>0</v>
      </c>
      <c r="I65" s="1014">
        <f t="shared" si="8"/>
        <v>-1.9800000000000002E-2</v>
      </c>
      <c r="J65" s="1014">
        <f>SUMPRODUCT(('2002因素修正幅度'!$A$80:$A$87=A65)*('2002因素修正幅度'!$B$35:$K$35=$G$2)*('2002因素修正幅度'!$B$80:$K$87))</f>
        <v>-3.9600000000000003E-2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435</v>
      </c>
      <c r="D66" s="1012">
        <f t="shared" si="6"/>
        <v>0</v>
      </c>
      <c r="E66" s="1025"/>
      <c r="F66" s="1014">
        <f>SUMPRODUCT(('2002因素修正幅度'!$A$50:$A$57=A66)*('2002因素修正幅度'!$B$35:$K$35=$G$2)*('2002因素修正幅度'!$B$50:$K$57))</f>
        <v>6.6000000000000003E-2</v>
      </c>
      <c r="G66" s="1014">
        <f t="shared" si="7"/>
        <v>3.3000000000000002E-2</v>
      </c>
      <c r="H66" s="1015">
        <v>0</v>
      </c>
      <c r="I66" s="1014">
        <f t="shared" si="8"/>
        <v>-3.3000000000000002E-2</v>
      </c>
      <c r="J66" s="1014">
        <f>SUMPRODUCT(('2002因素修正幅度'!$A$80:$A$87=A66)*('2002因素修正幅度'!$B$35:$K$35=$G$2)*('2002因素修正幅度'!$B$80:$K$87))</f>
        <v>-6.6000000000000003E-2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436</v>
      </c>
      <c r="D67" s="1012">
        <f t="shared" si="6"/>
        <v>-1.6500000000000001E-2</v>
      </c>
      <c r="E67" s="1053"/>
      <c r="F67" s="1014">
        <f>SUMPRODUCT(('2002因素修正幅度'!$A$50:$A$57=A67)*('2002因素修正幅度'!$B$35:$K$35=$G$2)*('2002因素修正幅度'!$B$50:$K$57))</f>
        <v>3.3000000000000002E-2</v>
      </c>
      <c r="G67" s="1014">
        <f t="shared" si="7"/>
        <v>1.6500000000000001E-2</v>
      </c>
      <c r="H67" s="1015">
        <v>0</v>
      </c>
      <c r="I67" s="1014">
        <f t="shared" si="8"/>
        <v>-1.6500000000000001E-2</v>
      </c>
      <c r="J67" s="1014">
        <f>SUMPRODUCT(('2002因素修正幅度'!$A$80:$A$87=A67)*('2002因素修正幅度'!$B$35:$K$35=$G$2)*('2002因素修正幅度'!$B$80:$K$87))</f>
        <v>-3.3000000000000002E-2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9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5.1999999999999998E-2</v>
      </c>
      <c r="G70" s="1014">
        <f t="shared" ref="G70:G76" si="10">F70/2</f>
        <v>2.5999999999999999E-2</v>
      </c>
      <c r="H70" s="1015">
        <v>0</v>
      </c>
      <c r="I70" s="1014">
        <f t="shared" ref="I70:I76" si="11">J70/2</f>
        <v>-2.5999999999999999E-2</v>
      </c>
      <c r="J70" s="1014">
        <f>SUMPRODUCT(('2002因素修正幅度'!$A$88:$A$94=A70)*('2002因素修正幅度'!$B$35:$K$35=$G$2)*('2002因素修正幅度'!$B$88:$K$94))</f>
        <v>-5.1999999999999998E-2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9"/>
        <v>0</v>
      </c>
      <c r="E71" s="1025"/>
      <c r="F71" s="1014">
        <f>SUMPRODUCT(('2002因素修正幅度'!$A$58:$A$64=A71)*('2002因素修正幅度'!$B$35:$K$35=$G$2)*('2002因素修正幅度'!$B$58:$K$64))</f>
        <v>8.3199999999999996E-2</v>
      </c>
      <c r="G71" s="1014">
        <f t="shared" si="10"/>
        <v>4.1599999999999998E-2</v>
      </c>
      <c r="H71" s="1015">
        <v>0</v>
      </c>
      <c r="I71" s="1014">
        <f t="shared" si="11"/>
        <v>-4.1599999999999998E-2</v>
      </c>
      <c r="J71" s="1014">
        <f>SUMPRODUCT(('2002因素修正幅度'!$A$88:$A$94=A71)*('2002因素修正幅度'!$B$35:$K$35=$G$2)*('2002因素修正幅度'!$B$88:$K$94))</f>
        <v>-8.3199999999999996E-2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9"/>
        <v>0</v>
      </c>
      <c r="E72" s="1025"/>
      <c r="F72" s="1014">
        <f>SUMPRODUCT(('2002因素修正幅度'!$A$58:$A$64=A72)*('2002因素修正幅度'!$B$35:$K$35=$G$2)*('2002因素修正幅度'!$B$58:$K$64))</f>
        <v>2.5999999999999999E-2</v>
      </c>
      <c r="G72" s="1014">
        <f t="shared" si="10"/>
        <v>1.2999999999999999E-2</v>
      </c>
      <c r="H72" s="1015">
        <v>0</v>
      </c>
      <c r="I72" s="1014">
        <f t="shared" si="11"/>
        <v>-1.2999999999999999E-2</v>
      </c>
      <c r="J72" s="1014">
        <f>SUMPRODUCT(('2002因素修正幅度'!$A$88:$A$94=A72)*('2002因素修正幅度'!$B$35:$K$35=$G$2)*('2002因素修正幅度'!$B$88:$K$94))</f>
        <v>-2.5999999999999999E-2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9"/>
        <v>0</v>
      </c>
      <c r="E73" s="1025"/>
      <c r="F73" s="1014">
        <f>SUMPRODUCT(('2002因素修正幅度'!$A$58:$A$64=A73)*('2002因素修正幅度'!$B$35:$K$35=$G$2)*('2002因素修正幅度'!$B$58:$K$64))</f>
        <v>2.0799999999999999E-2</v>
      </c>
      <c r="G73" s="1014">
        <f t="shared" si="10"/>
        <v>1.04E-2</v>
      </c>
      <c r="H73" s="1015">
        <v>0</v>
      </c>
      <c r="I73" s="1014">
        <f t="shared" si="11"/>
        <v>-1.04E-2</v>
      </c>
      <c r="J73" s="1014">
        <f>SUMPRODUCT(('2002因素修正幅度'!$A$88:$A$94=A73)*('2002因素修正幅度'!$B$35:$K$35=$G$2)*('2002因素修正幅度'!$B$88:$K$94))</f>
        <v>-2.0799999999999999E-2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9"/>
        <v>0</v>
      </c>
      <c r="E74" s="1025"/>
      <c r="F74" s="1014">
        <f>SUMPRODUCT(('2002因素修正幅度'!$A$58:$A$64=A74)*('2002因素修正幅度'!$B$35:$K$35=$G$2)*('2002因素修正幅度'!$B$58:$K$64))</f>
        <v>3.1199999999999999E-2</v>
      </c>
      <c r="G74" s="1014">
        <f t="shared" si="10"/>
        <v>1.5599999999999999E-2</v>
      </c>
      <c r="H74" s="1015">
        <v>0</v>
      </c>
      <c r="I74" s="1014">
        <f t="shared" si="11"/>
        <v>-1.5599999999999999E-2</v>
      </c>
      <c r="J74" s="1014">
        <f>SUMPRODUCT(('2002因素修正幅度'!$A$88:$A$94=A74)*('2002因素修正幅度'!$B$35:$K$35=$G$2)*('2002因素修正幅度'!$B$88:$K$94))</f>
        <v>-3.1199999999999999E-2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9"/>
        <v>0</v>
      </c>
      <c r="E75" s="1025"/>
      <c r="F75" s="1014">
        <f>SUMPRODUCT(('2002因素修正幅度'!$A$58:$A$64=A75)*('2002因素修正幅度'!$B$35:$K$35=$G$2)*('2002因素修正幅度'!$B$58:$K$64))</f>
        <v>2.5999999999999999E-2</v>
      </c>
      <c r="G75" s="1014">
        <f t="shared" si="10"/>
        <v>1.2999999999999999E-2</v>
      </c>
      <c r="H75" s="1015">
        <v>0</v>
      </c>
      <c r="I75" s="1014">
        <f t="shared" si="11"/>
        <v>-1.2999999999999999E-2</v>
      </c>
      <c r="J75" s="1014">
        <f>SUMPRODUCT(('2002因素修正幅度'!$A$88:$A$94=A75)*('2002因素修正幅度'!$B$35:$K$35=$G$2)*('2002因素修正幅度'!$B$88:$K$94))</f>
        <v>-2.5999999999999999E-2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9"/>
        <v>0</v>
      </c>
      <c r="E76" s="1053"/>
      <c r="F76" s="1014">
        <f>SUMPRODUCT(('2002因素修正幅度'!$A$58:$A$64=A76)*('2002因素修正幅度'!$B$35:$K$35=$G$2)*('2002因素修正幅度'!$B$58:$K$64))</f>
        <v>2.0799999999999999E-2</v>
      </c>
      <c r="G76" s="1014">
        <f t="shared" si="10"/>
        <v>1.04E-2</v>
      </c>
      <c r="H76" s="1015">
        <v>0</v>
      </c>
      <c r="I76" s="1014">
        <f t="shared" si="11"/>
        <v>-1.04E-2</v>
      </c>
      <c r="J76" s="1014">
        <f>SUMPRODUCT(('2002因素修正幅度'!$A$88:$A$94=A76)*('2002因素修正幅度'!$B$35:$K$35=$G$2)*('2002因素修正幅度'!$B$88:$K$94))</f>
        <v>-2.0799999999999999E-2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1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0.99609999999999999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0.85470000000000002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0.97919999999999996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0.99609999999999999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0.71750000000000003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八级</v>
      </c>
      <c r="M1" s="872">
        <f>SUMPRODUCT((K3:K12=L1)*(L2:O2=K1)*(L3:O12))</f>
        <v>490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4" t="s">
        <v>1046</v>
      </c>
      <c r="B1" s="1711" t="s">
        <v>1047</v>
      </c>
      <c r="C1" s="1712"/>
      <c r="D1" s="1713"/>
      <c r="E1" s="1711" t="s">
        <v>1048</v>
      </c>
      <c r="F1" s="1712"/>
      <c r="G1" s="1713"/>
    </row>
    <row r="2" spans="1:7">
      <c r="A2" s="1715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D31" si="18">0-E25</f>
        <v>-0.02</v>
      </c>
      <c r="E25" s="803">
        <v>0.02</v>
      </c>
      <c r="F25" s="800">
        <f t="shared" ref="F25:F31" si="19">0-G25</f>
        <v>-0.04</v>
      </c>
      <c r="G25" s="801">
        <v>0.04</v>
      </c>
      <c r="H25" s="802">
        <f t="shared" ref="H25:H31" si="20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L31" si="21">0-M25</f>
        <v>-0.04</v>
      </c>
      <c r="M25" s="803">
        <v>0.04</v>
      </c>
      <c r="N25" s="800">
        <f t="shared" ref="N25:N31" si="22">0-O25</f>
        <v>-4.5999999999999999E-2</v>
      </c>
      <c r="O25" s="801">
        <v>4.5999999999999999E-2</v>
      </c>
      <c r="P25" s="802">
        <f t="shared" ref="P25:P31" si="23">0-Q25</f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4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si="19"/>
        <v>-6.4000000000000001E-2</v>
      </c>
      <c r="G26" s="806">
        <v>6.4000000000000001E-2</v>
      </c>
      <c r="H26" s="807">
        <f t="shared" si="20"/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1"/>
        <v>-6.4000000000000001E-2</v>
      </c>
      <c r="M26" s="808">
        <v>6.4000000000000001E-2</v>
      </c>
      <c r="N26" s="805">
        <f t="shared" si="22"/>
        <v>-7.3599999999999999E-2</v>
      </c>
      <c r="O26" s="806">
        <v>7.3599999999999999E-2</v>
      </c>
      <c r="P26" s="807">
        <f t="shared" si="23"/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4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si="19"/>
        <v>-0.02</v>
      </c>
      <c r="G27" s="806">
        <v>0.02</v>
      </c>
      <c r="H27" s="807">
        <f t="shared" si="20"/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1"/>
        <v>-0.02</v>
      </c>
      <c r="M27" s="808">
        <v>0.02</v>
      </c>
      <c r="N27" s="805">
        <f t="shared" si="22"/>
        <v>-2.3E-2</v>
      </c>
      <c r="O27" s="806">
        <v>2.3E-2</v>
      </c>
      <c r="P27" s="807">
        <f t="shared" si="23"/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4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si="19"/>
        <v>-1.6E-2</v>
      </c>
      <c r="G28" s="806">
        <v>1.6E-2</v>
      </c>
      <c r="H28" s="807">
        <f t="shared" si="20"/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1"/>
        <v>-1.6E-2</v>
      </c>
      <c r="M28" s="808">
        <v>1.6E-2</v>
      </c>
      <c r="N28" s="805">
        <f t="shared" si="22"/>
        <v>-1.84E-2</v>
      </c>
      <c r="O28" s="806">
        <v>1.84E-2</v>
      </c>
      <c r="P28" s="807">
        <f t="shared" si="23"/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4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si="19"/>
        <v>-2.4E-2</v>
      </c>
      <c r="G29" s="806">
        <v>2.4E-2</v>
      </c>
      <c r="H29" s="807">
        <f t="shared" si="20"/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1"/>
        <v>-2.4E-2</v>
      </c>
      <c r="M29" s="808">
        <v>2.4E-2</v>
      </c>
      <c r="N29" s="805">
        <f t="shared" si="22"/>
        <v>-2.76E-2</v>
      </c>
      <c r="O29" s="806">
        <v>2.76E-2</v>
      </c>
      <c r="P29" s="807">
        <f t="shared" si="23"/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4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si="19"/>
        <v>-0.02</v>
      </c>
      <c r="G30" s="806">
        <v>0.02</v>
      </c>
      <c r="H30" s="807">
        <f t="shared" si="20"/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1"/>
        <v>-0.02</v>
      </c>
      <c r="M30" s="808">
        <v>0.02</v>
      </c>
      <c r="N30" s="805">
        <f t="shared" si="22"/>
        <v>-2.3E-2</v>
      </c>
      <c r="O30" s="806">
        <v>2.3E-2</v>
      </c>
      <c r="P30" s="807">
        <f t="shared" si="23"/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4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si="19"/>
        <v>-1.6E-2</v>
      </c>
      <c r="G31" s="811">
        <v>1.6E-2</v>
      </c>
      <c r="H31" s="812">
        <f t="shared" si="20"/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1"/>
        <v>-1.6E-2</v>
      </c>
      <c r="M31" s="813">
        <v>1.6E-2</v>
      </c>
      <c r="N31" s="810">
        <f t="shared" si="22"/>
        <v>-1.84E-2</v>
      </c>
      <c r="O31" s="811">
        <v>1.84E-2</v>
      </c>
      <c r="P31" s="812">
        <f t="shared" si="23"/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25">C4</f>
        <v>2.2499999999999999E-2</v>
      </c>
      <c r="C37" s="829">
        <f t="shared" ref="C37:C64" si="26">E4</f>
        <v>2.2499999999999999E-2</v>
      </c>
      <c r="D37" s="829">
        <f t="shared" ref="D37:D64" si="27">G4</f>
        <v>2.2499999999999999E-2</v>
      </c>
      <c r="E37" s="829">
        <f t="shared" ref="E37:E64" si="28">I4</f>
        <v>2.2499999999999999E-2</v>
      </c>
      <c r="F37" s="829">
        <f t="shared" ref="F37:F64" si="29">K4</f>
        <v>0.03</v>
      </c>
      <c r="G37" s="829">
        <f t="shared" ref="G37:G64" si="30">M4</f>
        <v>2.7E-2</v>
      </c>
      <c r="H37" s="829">
        <f t="shared" ref="H37:H64" si="31">O4</f>
        <v>3.7499999999999999E-2</v>
      </c>
      <c r="I37" s="829">
        <f t="shared" ref="I37:I64" si="32">Q4</f>
        <v>5.5500000000000001E-2</v>
      </c>
      <c r="J37" s="829">
        <f t="shared" ref="J37:J64" si="33">S4</f>
        <v>5.2499999999999998E-2</v>
      </c>
      <c r="K37" s="835">
        <f t="shared" ref="K37:K64" si="34">U4</f>
        <v>4.4999999999999998E-2</v>
      </c>
    </row>
    <row r="38" spans="1:11">
      <c r="A38" s="827" t="s">
        <v>38</v>
      </c>
      <c r="B38" s="828">
        <f t="shared" si="25"/>
        <v>1.4999999999999999E-2</v>
      </c>
      <c r="C38" s="829">
        <f t="shared" si="26"/>
        <v>1.4999999999999999E-2</v>
      </c>
      <c r="D38" s="829">
        <f t="shared" si="27"/>
        <v>1.4999999999999999E-2</v>
      </c>
      <c r="E38" s="829">
        <f t="shared" si="28"/>
        <v>1.4999999999999999E-2</v>
      </c>
      <c r="F38" s="829">
        <f t="shared" si="29"/>
        <v>0.02</v>
      </c>
      <c r="G38" s="829">
        <f t="shared" si="30"/>
        <v>1.7999999999999999E-2</v>
      </c>
      <c r="H38" s="829">
        <f t="shared" si="31"/>
        <v>2.5000000000000001E-2</v>
      </c>
      <c r="I38" s="829">
        <f t="shared" si="32"/>
        <v>3.6999999999999998E-2</v>
      </c>
      <c r="J38" s="829">
        <f t="shared" si="33"/>
        <v>3.5000000000000003E-2</v>
      </c>
      <c r="K38" s="835">
        <f t="shared" si="34"/>
        <v>0.03</v>
      </c>
    </row>
    <row r="39" spans="1:11">
      <c r="A39" s="827" t="s">
        <v>439</v>
      </c>
      <c r="B39" s="828">
        <f t="shared" si="25"/>
        <v>0.03</v>
      </c>
      <c r="C39" s="829">
        <f t="shared" si="26"/>
        <v>0.03</v>
      </c>
      <c r="D39" s="829">
        <f t="shared" si="27"/>
        <v>0.03</v>
      </c>
      <c r="E39" s="829">
        <f t="shared" si="28"/>
        <v>0.03</v>
      </c>
      <c r="F39" s="829">
        <f t="shared" si="29"/>
        <v>0.04</v>
      </c>
      <c r="G39" s="829">
        <f t="shared" si="30"/>
        <v>3.5999999999999997E-2</v>
      </c>
      <c r="H39" s="829">
        <f t="shared" si="31"/>
        <v>0.05</v>
      </c>
      <c r="I39" s="829">
        <f t="shared" si="32"/>
        <v>7.3999999999999996E-2</v>
      </c>
      <c r="J39" s="829">
        <f t="shared" si="33"/>
        <v>7.0000000000000007E-2</v>
      </c>
      <c r="K39" s="835">
        <f t="shared" si="34"/>
        <v>0.06</v>
      </c>
    </row>
    <row r="40" spans="1:11">
      <c r="A40" s="827" t="s">
        <v>441</v>
      </c>
      <c r="B40" s="828">
        <f t="shared" si="25"/>
        <v>1.4999999999999999E-2</v>
      </c>
      <c r="C40" s="829">
        <f t="shared" si="26"/>
        <v>1.4999999999999999E-2</v>
      </c>
      <c r="D40" s="829">
        <f t="shared" si="27"/>
        <v>1.4999999999999999E-2</v>
      </c>
      <c r="E40" s="829">
        <f t="shared" si="28"/>
        <v>1.4999999999999999E-2</v>
      </c>
      <c r="F40" s="829">
        <f t="shared" si="29"/>
        <v>0.02</v>
      </c>
      <c r="G40" s="829">
        <f t="shared" si="30"/>
        <v>1.7999999999999999E-2</v>
      </c>
      <c r="H40" s="829">
        <f t="shared" si="31"/>
        <v>2.5000000000000001E-2</v>
      </c>
      <c r="I40" s="829">
        <f t="shared" si="32"/>
        <v>3.6999999999999998E-2</v>
      </c>
      <c r="J40" s="829">
        <f t="shared" si="33"/>
        <v>3.5000000000000003E-2</v>
      </c>
      <c r="K40" s="835">
        <f t="shared" si="34"/>
        <v>0.03</v>
      </c>
    </row>
    <row r="41" spans="1:11">
      <c r="A41" s="827" t="s">
        <v>442</v>
      </c>
      <c r="B41" s="828">
        <f t="shared" si="25"/>
        <v>1.2E-2</v>
      </c>
      <c r="C41" s="829">
        <f t="shared" si="26"/>
        <v>1.2E-2</v>
      </c>
      <c r="D41" s="829">
        <f t="shared" si="27"/>
        <v>1.2E-2</v>
      </c>
      <c r="E41" s="829">
        <f t="shared" si="28"/>
        <v>1.2E-2</v>
      </c>
      <c r="F41" s="829">
        <f t="shared" si="29"/>
        <v>1.6E-2</v>
      </c>
      <c r="G41" s="829">
        <f t="shared" si="30"/>
        <v>1.44E-2</v>
      </c>
      <c r="H41" s="829">
        <f t="shared" si="31"/>
        <v>0.02</v>
      </c>
      <c r="I41" s="829">
        <f t="shared" si="32"/>
        <v>2.9600000000000001E-2</v>
      </c>
      <c r="J41" s="829">
        <f t="shared" si="33"/>
        <v>2.8000000000000001E-2</v>
      </c>
      <c r="K41" s="835">
        <f t="shared" si="34"/>
        <v>2.4E-2</v>
      </c>
    </row>
    <row r="42" spans="1:11">
      <c r="A42" s="830" t="s">
        <v>445</v>
      </c>
      <c r="B42" s="831">
        <f t="shared" si="25"/>
        <v>1.0500000000000001E-2</v>
      </c>
      <c r="C42" s="832">
        <f t="shared" si="26"/>
        <v>1.0500000000000001E-2</v>
      </c>
      <c r="D42" s="832">
        <f t="shared" si="27"/>
        <v>1.0500000000000001E-2</v>
      </c>
      <c r="E42" s="832">
        <f t="shared" si="28"/>
        <v>1.0500000000000001E-2</v>
      </c>
      <c r="F42" s="832">
        <f t="shared" si="29"/>
        <v>1.4E-2</v>
      </c>
      <c r="G42" s="832">
        <f t="shared" si="30"/>
        <v>1.26E-2</v>
      </c>
      <c r="H42" s="832">
        <f t="shared" si="31"/>
        <v>1.7500000000000002E-2</v>
      </c>
      <c r="I42" s="832">
        <f t="shared" si="32"/>
        <v>2.5899999999999999E-2</v>
      </c>
      <c r="J42" s="832">
        <f t="shared" si="33"/>
        <v>2.4500000000000001E-2</v>
      </c>
      <c r="K42" s="836">
        <f t="shared" si="34"/>
        <v>2.1000000000000001E-2</v>
      </c>
    </row>
    <row r="43" spans="1:11">
      <c r="A43" s="799" t="s">
        <v>147</v>
      </c>
      <c r="B43" s="825">
        <f t="shared" si="25"/>
        <v>0.04</v>
      </c>
      <c r="C43" s="826">
        <f t="shared" si="26"/>
        <v>0.03</v>
      </c>
      <c r="D43" s="826">
        <f t="shared" si="27"/>
        <v>0.03</v>
      </c>
      <c r="E43" s="826">
        <f t="shared" si="28"/>
        <v>0.04</v>
      </c>
      <c r="F43" s="826">
        <f t="shared" si="29"/>
        <v>3.4000000000000002E-2</v>
      </c>
      <c r="G43" s="826">
        <f t="shared" si="30"/>
        <v>4.5999999999999999E-2</v>
      </c>
      <c r="H43" s="826">
        <f t="shared" si="31"/>
        <v>0.04</v>
      </c>
      <c r="I43" s="826">
        <f t="shared" si="32"/>
        <v>6.8000000000000005E-2</v>
      </c>
      <c r="J43" s="826">
        <f t="shared" si="33"/>
        <v>7.1999999999999995E-2</v>
      </c>
      <c r="K43" s="834">
        <f t="shared" si="34"/>
        <v>0.06</v>
      </c>
    </row>
    <row r="44" spans="1:11">
      <c r="A44" s="804" t="s">
        <v>145</v>
      </c>
      <c r="B44" s="828">
        <f t="shared" si="25"/>
        <v>0.05</v>
      </c>
      <c r="C44" s="829">
        <f t="shared" si="26"/>
        <v>3.7499999999999999E-2</v>
      </c>
      <c r="D44" s="829">
        <f t="shared" si="27"/>
        <v>3.7499999999999999E-2</v>
      </c>
      <c r="E44" s="829">
        <f t="shared" si="28"/>
        <v>0.05</v>
      </c>
      <c r="F44" s="829">
        <f t="shared" si="29"/>
        <v>4.2500000000000003E-2</v>
      </c>
      <c r="G44" s="829">
        <f t="shared" si="30"/>
        <v>5.7500000000000002E-2</v>
      </c>
      <c r="H44" s="829">
        <f t="shared" si="31"/>
        <v>0.05</v>
      </c>
      <c r="I44" s="829">
        <f t="shared" si="32"/>
        <v>8.5000000000000006E-2</v>
      </c>
      <c r="J44" s="829">
        <f t="shared" si="33"/>
        <v>0.09</v>
      </c>
      <c r="K44" s="835">
        <f t="shared" si="34"/>
        <v>7.4999999999999997E-2</v>
      </c>
    </row>
    <row r="45" spans="1:11">
      <c r="A45" s="804" t="s">
        <v>38</v>
      </c>
      <c r="B45" s="828">
        <f t="shared" si="25"/>
        <v>0.02</v>
      </c>
      <c r="C45" s="829">
        <f t="shared" si="26"/>
        <v>1.4999999999999999E-2</v>
      </c>
      <c r="D45" s="829">
        <f t="shared" si="27"/>
        <v>1.4999999999999999E-2</v>
      </c>
      <c r="E45" s="829">
        <f t="shared" si="28"/>
        <v>0.02</v>
      </c>
      <c r="F45" s="829">
        <f t="shared" si="29"/>
        <v>1.7000000000000001E-2</v>
      </c>
      <c r="G45" s="829">
        <f t="shared" si="30"/>
        <v>2.3E-2</v>
      </c>
      <c r="H45" s="829">
        <f t="shared" si="31"/>
        <v>0.02</v>
      </c>
      <c r="I45" s="829">
        <f t="shared" si="32"/>
        <v>3.4000000000000002E-2</v>
      </c>
      <c r="J45" s="829">
        <f t="shared" si="33"/>
        <v>3.5999999999999997E-2</v>
      </c>
      <c r="K45" s="835">
        <f t="shared" si="34"/>
        <v>0.03</v>
      </c>
    </row>
    <row r="46" spans="1:11">
      <c r="A46" s="804" t="s">
        <v>439</v>
      </c>
      <c r="B46" s="828">
        <f t="shared" si="25"/>
        <v>0.02</v>
      </c>
      <c r="C46" s="829">
        <f t="shared" si="26"/>
        <v>1.4999999999999999E-2</v>
      </c>
      <c r="D46" s="829">
        <f t="shared" si="27"/>
        <v>1.4999999999999999E-2</v>
      </c>
      <c r="E46" s="829">
        <f t="shared" si="28"/>
        <v>0.02</v>
      </c>
      <c r="F46" s="829">
        <f t="shared" si="29"/>
        <v>1.7000000000000001E-2</v>
      </c>
      <c r="G46" s="829">
        <f t="shared" si="30"/>
        <v>2.3E-2</v>
      </c>
      <c r="H46" s="829">
        <f t="shared" si="31"/>
        <v>0.02</v>
      </c>
      <c r="I46" s="829">
        <f t="shared" si="32"/>
        <v>3.4000000000000002E-2</v>
      </c>
      <c r="J46" s="829">
        <f t="shared" si="33"/>
        <v>3.5999999999999997E-2</v>
      </c>
      <c r="K46" s="835">
        <f t="shared" si="34"/>
        <v>0.03</v>
      </c>
    </row>
    <row r="47" spans="1:11">
      <c r="A47" s="804" t="s">
        <v>441</v>
      </c>
      <c r="B47" s="828">
        <f t="shared" si="25"/>
        <v>0.03</v>
      </c>
      <c r="C47" s="829">
        <f t="shared" si="26"/>
        <v>2.2499999999999999E-2</v>
      </c>
      <c r="D47" s="829">
        <f t="shared" si="27"/>
        <v>2.2499999999999999E-2</v>
      </c>
      <c r="E47" s="829">
        <f t="shared" si="28"/>
        <v>0.03</v>
      </c>
      <c r="F47" s="829">
        <f t="shared" si="29"/>
        <v>2.5499999999999998E-2</v>
      </c>
      <c r="G47" s="829">
        <f t="shared" si="30"/>
        <v>3.4500000000000003E-2</v>
      </c>
      <c r="H47" s="829">
        <f t="shared" si="31"/>
        <v>0.03</v>
      </c>
      <c r="I47" s="829">
        <f t="shared" si="32"/>
        <v>5.0999999999999997E-2</v>
      </c>
      <c r="J47" s="829">
        <f t="shared" si="33"/>
        <v>5.3999999999999999E-2</v>
      </c>
      <c r="K47" s="835">
        <f t="shared" si="34"/>
        <v>4.4999999999999998E-2</v>
      </c>
    </row>
    <row r="48" spans="1:11">
      <c r="A48" s="804" t="s">
        <v>442</v>
      </c>
      <c r="B48" s="828">
        <f t="shared" si="25"/>
        <v>1.6E-2</v>
      </c>
      <c r="C48" s="829">
        <f t="shared" si="26"/>
        <v>1.2E-2</v>
      </c>
      <c r="D48" s="829">
        <f t="shared" si="27"/>
        <v>1.2E-2</v>
      </c>
      <c r="E48" s="829">
        <f t="shared" si="28"/>
        <v>1.6E-2</v>
      </c>
      <c r="F48" s="829">
        <f t="shared" si="29"/>
        <v>1.3599999999999999E-2</v>
      </c>
      <c r="G48" s="829">
        <f t="shared" si="30"/>
        <v>1.84E-2</v>
      </c>
      <c r="H48" s="829">
        <f t="shared" si="31"/>
        <v>1.6E-2</v>
      </c>
      <c r="I48" s="829">
        <f t="shared" si="32"/>
        <v>2.7199999999999998E-2</v>
      </c>
      <c r="J48" s="829">
        <f t="shared" si="33"/>
        <v>2.8799999999999999E-2</v>
      </c>
      <c r="K48" s="835">
        <f t="shared" si="34"/>
        <v>2.4E-2</v>
      </c>
    </row>
    <row r="49" spans="1:11">
      <c r="A49" s="809" t="s">
        <v>1038</v>
      </c>
      <c r="B49" s="831">
        <f t="shared" si="25"/>
        <v>2.4E-2</v>
      </c>
      <c r="C49" s="832">
        <f t="shared" si="26"/>
        <v>1.7999999999999999E-2</v>
      </c>
      <c r="D49" s="832">
        <f t="shared" si="27"/>
        <v>1.7999999999999999E-2</v>
      </c>
      <c r="E49" s="832">
        <f t="shared" si="28"/>
        <v>2.4E-2</v>
      </c>
      <c r="F49" s="832">
        <f t="shared" si="29"/>
        <v>2.0400000000000001E-2</v>
      </c>
      <c r="G49" s="832">
        <f t="shared" si="30"/>
        <v>2.76E-2</v>
      </c>
      <c r="H49" s="832">
        <f t="shared" si="31"/>
        <v>2.4E-2</v>
      </c>
      <c r="I49" s="832">
        <f t="shared" si="32"/>
        <v>4.0800000000000003E-2</v>
      </c>
      <c r="J49" s="832">
        <f t="shared" si="33"/>
        <v>4.3200000000000002E-2</v>
      </c>
      <c r="K49" s="836">
        <f t="shared" si="34"/>
        <v>3.5999999999999997E-2</v>
      </c>
    </row>
    <row r="50" spans="1:11">
      <c r="A50" s="799" t="s">
        <v>139</v>
      </c>
      <c r="B50" s="825">
        <f t="shared" si="25"/>
        <v>0.02</v>
      </c>
      <c r="C50" s="826">
        <f t="shared" si="26"/>
        <v>2.1000000000000001E-2</v>
      </c>
      <c r="D50" s="826">
        <f t="shared" si="27"/>
        <v>2.5000000000000001E-2</v>
      </c>
      <c r="E50" s="826">
        <f t="shared" si="28"/>
        <v>2.5999999999999999E-2</v>
      </c>
      <c r="F50" s="826">
        <f t="shared" si="29"/>
        <v>0.03</v>
      </c>
      <c r="G50" s="826">
        <f t="shared" si="30"/>
        <v>2.5999999999999999E-2</v>
      </c>
      <c r="H50" s="826">
        <f t="shared" si="31"/>
        <v>2.5999999999999999E-2</v>
      </c>
      <c r="I50" s="826">
        <f t="shared" si="32"/>
        <v>3.3000000000000002E-2</v>
      </c>
      <c r="J50" s="826">
        <f t="shared" si="33"/>
        <v>3.2000000000000001E-2</v>
      </c>
      <c r="K50" s="834">
        <f t="shared" si="34"/>
        <v>0.03</v>
      </c>
    </row>
    <row r="51" spans="1:11">
      <c r="A51" s="804" t="s">
        <v>145</v>
      </c>
      <c r="B51" s="828">
        <f t="shared" si="25"/>
        <v>0.04</v>
      </c>
      <c r="C51" s="829">
        <f t="shared" si="26"/>
        <v>4.2000000000000003E-2</v>
      </c>
      <c r="D51" s="829">
        <f t="shared" si="27"/>
        <v>0.05</v>
      </c>
      <c r="E51" s="829">
        <f t="shared" si="28"/>
        <v>5.1999999999999998E-2</v>
      </c>
      <c r="F51" s="829">
        <f t="shared" si="29"/>
        <v>0.06</v>
      </c>
      <c r="G51" s="829">
        <f t="shared" si="30"/>
        <v>5.1999999999999998E-2</v>
      </c>
      <c r="H51" s="829">
        <f t="shared" si="31"/>
        <v>5.1999999999999998E-2</v>
      </c>
      <c r="I51" s="829">
        <f t="shared" si="32"/>
        <v>6.6000000000000003E-2</v>
      </c>
      <c r="J51" s="829">
        <f t="shared" si="33"/>
        <v>6.4000000000000001E-2</v>
      </c>
      <c r="K51" s="835">
        <f t="shared" si="34"/>
        <v>0.06</v>
      </c>
    </row>
    <row r="52" spans="1:11">
      <c r="A52" s="804" t="s">
        <v>38</v>
      </c>
      <c r="B52" s="828">
        <f t="shared" si="25"/>
        <v>0.02</v>
      </c>
      <c r="C52" s="829">
        <f t="shared" si="26"/>
        <v>2.1000000000000001E-2</v>
      </c>
      <c r="D52" s="829">
        <f t="shared" si="27"/>
        <v>2.5000000000000001E-2</v>
      </c>
      <c r="E52" s="829">
        <f t="shared" si="28"/>
        <v>2.5999999999999999E-2</v>
      </c>
      <c r="F52" s="829">
        <f t="shared" si="29"/>
        <v>0.03</v>
      </c>
      <c r="G52" s="829">
        <f t="shared" si="30"/>
        <v>2.5999999999999999E-2</v>
      </c>
      <c r="H52" s="829">
        <f t="shared" si="31"/>
        <v>2.5999999999999999E-2</v>
      </c>
      <c r="I52" s="829">
        <f t="shared" si="32"/>
        <v>3.3000000000000002E-2</v>
      </c>
      <c r="J52" s="829">
        <f t="shared" si="33"/>
        <v>3.2000000000000001E-2</v>
      </c>
      <c r="K52" s="835">
        <f t="shared" si="34"/>
        <v>0.03</v>
      </c>
    </row>
    <row r="53" spans="1:11">
      <c r="A53" s="804" t="s">
        <v>447</v>
      </c>
      <c r="B53" s="828">
        <f t="shared" si="25"/>
        <v>0.02</v>
      </c>
      <c r="C53" s="829">
        <f t="shared" si="26"/>
        <v>2.1000000000000001E-2</v>
      </c>
      <c r="D53" s="829">
        <f t="shared" si="27"/>
        <v>2.5000000000000001E-2</v>
      </c>
      <c r="E53" s="829">
        <f t="shared" si="28"/>
        <v>2.5999999999999999E-2</v>
      </c>
      <c r="F53" s="829">
        <f t="shared" si="29"/>
        <v>0.03</v>
      </c>
      <c r="G53" s="829">
        <f t="shared" si="30"/>
        <v>2.5999999999999999E-2</v>
      </c>
      <c r="H53" s="829">
        <f t="shared" si="31"/>
        <v>2.5999999999999999E-2</v>
      </c>
      <c r="I53" s="829">
        <f t="shared" si="32"/>
        <v>3.3000000000000002E-2</v>
      </c>
      <c r="J53" s="829">
        <f t="shared" si="33"/>
        <v>3.2000000000000001E-2</v>
      </c>
      <c r="K53" s="835">
        <f t="shared" si="34"/>
        <v>0.03</v>
      </c>
    </row>
    <row r="54" spans="1:11">
      <c r="A54" s="804" t="s">
        <v>442</v>
      </c>
      <c r="B54" s="828">
        <f t="shared" si="25"/>
        <v>1.6E-2</v>
      </c>
      <c r="C54" s="829">
        <f t="shared" si="26"/>
        <v>1.6799999999999999E-2</v>
      </c>
      <c r="D54" s="829">
        <f t="shared" si="27"/>
        <v>0.02</v>
      </c>
      <c r="E54" s="829">
        <f t="shared" si="28"/>
        <v>2.0799999999999999E-2</v>
      </c>
      <c r="F54" s="829">
        <f t="shared" si="29"/>
        <v>2.4E-2</v>
      </c>
      <c r="G54" s="829">
        <f t="shared" si="30"/>
        <v>2.0799999999999999E-2</v>
      </c>
      <c r="H54" s="829">
        <f t="shared" si="31"/>
        <v>2.0799999999999999E-2</v>
      </c>
      <c r="I54" s="829">
        <f t="shared" si="32"/>
        <v>2.64E-2</v>
      </c>
      <c r="J54" s="829">
        <f t="shared" si="33"/>
        <v>2.5600000000000001E-2</v>
      </c>
      <c r="K54" s="835">
        <f t="shared" si="34"/>
        <v>2.4E-2</v>
      </c>
    </row>
    <row r="55" spans="1:11">
      <c r="A55" s="804" t="s">
        <v>1038</v>
      </c>
      <c r="B55" s="828">
        <f t="shared" si="25"/>
        <v>2.4E-2</v>
      </c>
      <c r="C55" s="829">
        <f t="shared" si="26"/>
        <v>2.52E-2</v>
      </c>
      <c r="D55" s="829">
        <f t="shared" si="27"/>
        <v>0.03</v>
      </c>
      <c r="E55" s="829">
        <f t="shared" si="28"/>
        <v>3.1199999999999999E-2</v>
      </c>
      <c r="F55" s="829">
        <f t="shared" si="29"/>
        <v>3.5999999999999997E-2</v>
      </c>
      <c r="G55" s="829">
        <f t="shared" si="30"/>
        <v>3.1199999999999999E-2</v>
      </c>
      <c r="H55" s="829">
        <f t="shared" si="31"/>
        <v>3.1199999999999999E-2</v>
      </c>
      <c r="I55" s="829">
        <f t="shared" si="32"/>
        <v>3.9600000000000003E-2</v>
      </c>
      <c r="J55" s="829">
        <f t="shared" si="33"/>
        <v>3.8399999999999997E-2</v>
      </c>
      <c r="K55" s="835">
        <f t="shared" si="34"/>
        <v>3.5999999999999997E-2</v>
      </c>
    </row>
    <row r="56" spans="1:11">
      <c r="A56" s="804" t="s">
        <v>446</v>
      </c>
      <c r="B56" s="828">
        <f t="shared" si="25"/>
        <v>0.04</v>
      </c>
      <c r="C56" s="829">
        <f t="shared" si="26"/>
        <v>4.2000000000000003E-2</v>
      </c>
      <c r="D56" s="829">
        <f t="shared" si="27"/>
        <v>0.05</v>
      </c>
      <c r="E56" s="829">
        <f t="shared" si="28"/>
        <v>5.1999999999999998E-2</v>
      </c>
      <c r="F56" s="829">
        <f t="shared" si="29"/>
        <v>0.06</v>
      </c>
      <c r="G56" s="829">
        <f t="shared" si="30"/>
        <v>5.1999999999999998E-2</v>
      </c>
      <c r="H56" s="829">
        <f t="shared" si="31"/>
        <v>5.1999999999999998E-2</v>
      </c>
      <c r="I56" s="829">
        <f t="shared" si="32"/>
        <v>6.6000000000000003E-2</v>
      </c>
      <c r="J56" s="829">
        <f t="shared" si="33"/>
        <v>6.4000000000000001E-2</v>
      </c>
      <c r="K56" s="835">
        <f t="shared" si="34"/>
        <v>0.06</v>
      </c>
    </row>
    <row r="57" spans="1:11">
      <c r="A57" s="809" t="s">
        <v>1039</v>
      </c>
      <c r="B57" s="831">
        <f t="shared" si="25"/>
        <v>0.02</v>
      </c>
      <c r="C57" s="832">
        <f t="shared" si="26"/>
        <v>2.1000000000000001E-2</v>
      </c>
      <c r="D57" s="832">
        <f t="shared" si="27"/>
        <v>2.5000000000000001E-2</v>
      </c>
      <c r="E57" s="832">
        <f t="shared" si="28"/>
        <v>2.5999999999999999E-2</v>
      </c>
      <c r="F57" s="832">
        <f t="shared" si="29"/>
        <v>0.03</v>
      </c>
      <c r="G57" s="832">
        <f t="shared" si="30"/>
        <v>2.5999999999999999E-2</v>
      </c>
      <c r="H57" s="832">
        <f t="shared" si="31"/>
        <v>2.5999999999999999E-2</v>
      </c>
      <c r="I57" s="832">
        <f t="shared" si="32"/>
        <v>3.3000000000000002E-2</v>
      </c>
      <c r="J57" s="832">
        <f t="shared" si="33"/>
        <v>3.2000000000000001E-2</v>
      </c>
      <c r="K57" s="836">
        <f t="shared" si="34"/>
        <v>0.03</v>
      </c>
    </row>
    <row r="58" spans="1:11">
      <c r="A58" s="804" t="s">
        <v>141</v>
      </c>
      <c r="B58" s="825">
        <f t="shared" si="25"/>
        <v>0.02</v>
      </c>
      <c r="C58" s="826">
        <f t="shared" si="26"/>
        <v>0.02</v>
      </c>
      <c r="D58" s="826">
        <f t="shared" si="27"/>
        <v>0.04</v>
      </c>
      <c r="E58" s="826">
        <f t="shared" si="28"/>
        <v>4.8000000000000001E-2</v>
      </c>
      <c r="F58" s="826">
        <f t="shared" si="29"/>
        <v>4.8000000000000001E-2</v>
      </c>
      <c r="G58" s="826">
        <f t="shared" si="30"/>
        <v>0.04</v>
      </c>
      <c r="H58" s="826">
        <f t="shared" si="31"/>
        <v>4.5999999999999999E-2</v>
      </c>
      <c r="I58" s="826">
        <f t="shared" si="32"/>
        <v>5.1999999999999998E-2</v>
      </c>
      <c r="J58" s="826">
        <f t="shared" si="33"/>
        <v>0</v>
      </c>
      <c r="K58" s="834">
        <f t="shared" si="34"/>
        <v>0</v>
      </c>
    </row>
    <row r="59" spans="1:11">
      <c r="A59" s="804" t="s">
        <v>145</v>
      </c>
      <c r="B59" s="828">
        <f t="shared" si="25"/>
        <v>3.2000000000000001E-2</v>
      </c>
      <c r="C59" s="829">
        <f t="shared" si="26"/>
        <v>3.2000000000000001E-2</v>
      </c>
      <c r="D59" s="829">
        <f t="shared" si="27"/>
        <v>6.4000000000000001E-2</v>
      </c>
      <c r="E59" s="829">
        <f t="shared" si="28"/>
        <v>7.6799999999999993E-2</v>
      </c>
      <c r="F59" s="829">
        <f t="shared" si="29"/>
        <v>7.6799999999999993E-2</v>
      </c>
      <c r="G59" s="829">
        <f t="shared" si="30"/>
        <v>6.4000000000000001E-2</v>
      </c>
      <c r="H59" s="829">
        <f t="shared" si="31"/>
        <v>7.3599999999999999E-2</v>
      </c>
      <c r="I59" s="829">
        <f t="shared" si="32"/>
        <v>8.3199999999999996E-2</v>
      </c>
      <c r="J59" s="829">
        <f t="shared" si="33"/>
        <v>0</v>
      </c>
      <c r="K59" s="835">
        <f t="shared" si="34"/>
        <v>0</v>
      </c>
    </row>
    <row r="60" spans="1:11">
      <c r="A60" s="804" t="s">
        <v>38</v>
      </c>
      <c r="B60" s="828">
        <f t="shared" si="25"/>
        <v>0.01</v>
      </c>
      <c r="C60" s="829">
        <f t="shared" si="26"/>
        <v>0.01</v>
      </c>
      <c r="D60" s="829">
        <f t="shared" si="27"/>
        <v>0.02</v>
      </c>
      <c r="E60" s="829">
        <f t="shared" si="28"/>
        <v>2.4E-2</v>
      </c>
      <c r="F60" s="829">
        <f t="shared" si="29"/>
        <v>2.4E-2</v>
      </c>
      <c r="G60" s="829">
        <f t="shared" si="30"/>
        <v>0.02</v>
      </c>
      <c r="H60" s="829">
        <f t="shared" si="31"/>
        <v>2.3E-2</v>
      </c>
      <c r="I60" s="829">
        <f t="shared" si="32"/>
        <v>2.5999999999999999E-2</v>
      </c>
      <c r="J60" s="829">
        <f t="shared" si="33"/>
        <v>0</v>
      </c>
      <c r="K60" s="835">
        <f t="shared" si="34"/>
        <v>0</v>
      </c>
    </row>
    <row r="61" spans="1:11">
      <c r="A61" s="804" t="s">
        <v>447</v>
      </c>
      <c r="B61" s="828">
        <f t="shared" si="25"/>
        <v>8.0000000000000002E-3</v>
      </c>
      <c r="C61" s="829">
        <f t="shared" si="26"/>
        <v>8.0000000000000002E-3</v>
      </c>
      <c r="D61" s="829">
        <f t="shared" si="27"/>
        <v>1.6E-2</v>
      </c>
      <c r="E61" s="829">
        <f t="shared" si="28"/>
        <v>1.9199999999999998E-2</v>
      </c>
      <c r="F61" s="829">
        <f t="shared" si="29"/>
        <v>1.9199999999999998E-2</v>
      </c>
      <c r="G61" s="829">
        <f t="shared" si="30"/>
        <v>1.6E-2</v>
      </c>
      <c r="H61" s="829">
        <f t="shared" si="31"/>
        <v>1.84E-2</v>
      </c>
      <c r="I61" s="829">
        <f t="shared" si="32"/>
        <v>2.0799999999999999E-2</v>
      </c>
      <c r="J61" s="829">
        <f t="shared" si="33"/>
        <v>0</v>
      </c>
      <c r="K61" s="835">
        <f t="shared" si="34"/>
        <v>0</v>
      </c>
    </row>
    <row r="62" spans="1:11">
      <c r="A62" s="804" t="s">
        <v>442</v>
      </c>
      <c r="B62" s="828">
        <f t="shared" si="25"/>
        <v>1.2E-2</v>
      </c>
      <c r="C62" s="829">
        <f t="shared" si="26"/>
        <v>1.2E-2</v>
      </c>
      <c r="D62" s="829">
        <f t="shared" si="27"/>
        <v>2.4E-2</v>
      </c>
      <c r="E62" s="829">
        <f t="shared" si="28"/>
        <v>2.8799999999999999E-2</v>
      </c>
      <c r="F62" s="829">
        <f t="shared" si="29"/>
        <v>2.8799999999999999E-2</v>
      </c>
      <c r="G62" s="829">
        <f t="shared" si="30"/>
        <v>2.4E-2</v>
      </c>
      <c r="H62" s="829">
        <f t="shared" si="31"/>
        <v>2.76E-2</v>
      </c>
      <c r="I62" s="829">
        <f t="shared" si="32"/>
        <v>3.1199999999999999E-2</v>
      </c>
      <c r="J62" s="829">
        <f t="shared" si="33"/>
        <v>0</v>
      </c>
      <c r="K62" s="835">
        <f t="shared" si="34"/>
        <v>0</v>
      </c>
    </row>
    <row r="63" spans="1:11">
      <c r="A63" s="804" t="s">
        <v>445</v>
      </c>
      <c r="B63" s="828">
        <f t="shared" si="25"/>
        <v>0.01</v>
      </c>
      <c r="C63" s="829">
        <f t="shared" si="26"/>
        <v>0.01</v>
      </c>
      <c r="D63" s="829">
        <f t="shared" si="27"/>
        <v>0.02</v>
      </c>
      <c r="E63" s="829">
        <f t="shared" si="28"/>
        <v>2.4E-2</v>
      </c>
      <c r="F63" s="829">
        <f t="shared" si="29"/>
        <v>2.4E-2</v>
      </c>
      <c r="G63" s="829">
        <f t="shared" si="30"/>
        <v>0.02</v>
      </c>
      <c r="H63" s="829">
        <f t="shared" si="31"/>
        <v>2.3E-2</v>
      </c>
      <c r="I63" s="829">
        <f t="shared" si="32"/>
        <v>2.5999999999999999E-2</v>
      </c>
      <c r="J63" s="829">
        <f t="shared" si="33"/>
        <v>0</v>
      </c>
      <c r="K63" s="835">
        <f t="shared" si="34"/>
        <v>0</v>
      </c>
    </row>
    <row r="64" spans="1:11">
      <c r="A64" s="809" t="s">
        <v>150</v>
      </c>
      <c r="B64" s="831">
        <f t="shared" si="25"/>
        <v>8.0000000000000002E-3</v>
      </c>
      <c r="C64" s="832">
        <f t="shared" si="26"/>
        <v>8.0000000000000002E-3</v>
      </c>
      <c r="D64" s="832">
        <f t="shared" si="27"/>
        <v>1.6E-2</v>
      </c>
      <c r="E64" s="832">
        <f t="shared" si="28"/>
        <v>1.9199999999999998E-2</v>
      </c>
      <c r="F64" s="832">
        <f t="shared" si="29"/>
        <v>1.9199999999999998E-2</v>
      </c>
      <c r="G64" s="832">
        <f t="shared" si="30"/>
        <v>1.6E-2</v>
      </c>
      <c r="H64" s="832">
        <f t="shared" si="31"/>
        <v>1.84E-2</v>
      </c>
      <c r="I64" s="832">
        <f t="shared" si="32"/>
        <v>2.0799999999999999E-2</v>
      </c>
      <c r="J64" s="832">
        <f t="shared" si="33"/>
        <v>0</v>
      </c>
      <c r="K64" s="836">
        <f t="shared" si="34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35">B4</f>
        <v>-2.2499999999999999E-2</v>
      </c>
      <c r="C67" s="829">
        <f t="shared" ref="C67:C94" si="36">D4</f>
        <v>-2.2499999999999999E-2</v>
      </c>
      <c r="D67" s="829">
        <f t="shared" ref="D67:D94" si="37">F4</f>
        <v>-2.2499999999999999E-2</v>
      </c>
      <c r="E67" s="829">
        <f t="shared" ref="E67:E94" si="38">H4</f>
        <v>-2.2499999999999999E-2</v>
      </c>
      <c r="F67" s="829">
        <f t="shared" ref="F67:F94" si="39">J4</f>
        <v>-0.03</v>
      </c>
      <c r="G67" s="829">
        <f t="shared" ref="G67:G94" si="40">L4</f>
        <v>-0.03</v>
      </c>
      <c r="H67" s="829">
        <f t="shared" ref="H67:H94" si="41">N4</f>
        <v>-3.7499999999999999E-2</v>
      </c>
      <c r="I67" s="829">
        <f t="shared" ref="I67:I94" si="42">P4</f>
        <v>-5.7000000000000002E-2</v>
      </c>
      <c r="J67" s="829">
        <f t="shared" ref="J67:J94" si="43">R4</f>
        <v>-5.7000000000000002E-2</v>
      </c>
      <c r="K67" s="835">
        <f t="shared" ref="K67:K94" si="44">T4</f>
        <v>-4.4999999999999998E-2</v>
      </c>
    </row>
    <row r="68" spans="1:11">
      <c r="A68" s="827" t="s">
        <v>38</v>
      </c>
      <c r="B68" s="828">
        <f t="shared" si="35"/>
        <v>-1.4999999999999999E-2</v>
      </c>
      <c r="C68" s="829">
        <f t="shared" si="36"/>
        <v>-1.4999999999999999E-2</v>
      </c>
      <c r="D68" s="829">
        <f t="shared" si="37"/>
        <v>-1.4999999999999999E-2</v>
      </c>
      <c r="E68" s="829">
        <f t="shared" si="38"/>
        <v>-1.4999999999999999E-2</v>
      </c>
      <c r="F68" s="829">
        <f t="shared" si="39"/>
        <v>-0.02</v>
      </c>
      <c r="G68" s="829">
        <f t="shared" si="40"/>
        <v>-0.02</v>
      </c>
      <c r="H68" s="829">
        <f t="shared" si="41"/>
        <v>-2.5000000000000001E-2</v>
      </c>
      <c r="I68" s="829">
        <f t="shared" si="42"/>
        <v>-3.7999999999999999E-2</v>
      </c>
      <c r="J68" s="829">
        <f t="shared" si="43"/>
        <v>-3.7999999999999999E-2</v>
      </c>
      <c r="K68" s="835">
        <f t="shared" si="44"/>
        <v>-0.03</v>
      </c>
    </row>
    <row r="69" spans="1:11">
      <c r="A69" s="827" t="s">
        <v>439</v>
      </c>
      <c r="B69" s="828">
        <f t="shared" si="35"/>
        <v>-0.03</v>
      </c>
      <c r="C69" s="829">
        <f t="shared" si="36"/>
        <v>-0.03</v>
      </c>
      <c r="D69" s="829">
        <f t="shared" si="37"/>
        <v>-0.03</v>
      </c>
      <c r="E69" s="829">
        <f t="shared" si="38"/>
        <v>-0.03</v>
      </c>
      <c r="F69" s="829">
        <f t="shared" si="39"/>
        <v>-0.04</v>
      </c>
      <c r="G69" s="829">
        <f t="shared" si="40"/>
        <v>-0.04</v>
      </c>
      <c r="H69" s="829">
        <f t="shared" si="41"/>
        <v>-0.05</v>
      </c>
      <c r="I69" s="829">
        <f t="shared" si="42"/>
        <v>-7.5999999999999998E-2</v>
      </c>
      <c r="J69" s="829">
        <f t="shared" si="43"/>
        <v>-7.5999999999999998E-2</v>
      </c>
      <c r="K69" s="835">
        <f t="shared" si="44"/>
        <v>-0.06</v>
      </c>
    </row>
    <row r="70" spans="1:11">
      <c r="A70" s="827" t="s">
        <v>441</v>
      </c>
      <c r="B70" s="828">
        <f t="shared" si="35"/>
        <v>-1.4999999999999999E-2</v>
      </c>
      <c r="C70" s="829">
        <f t="shared" si="36"/>
        <v>-1.4999999999999999E-2</v>
      </c>
      <c r="D70" s="829">
        <f t="shared" si="37"/>
        <v>-1.4999999999999999E-2</v>
      </c>
      <c r="E70" s="829">
        <f t="shared" si="38"/>
        <v>-1.4999999999999999E-2</v>
      </c>
      <c r="F70" s="829">
        <f t="shared" si="39"/>
        <v>-0.02</v>
      </c>
      <c r="G70" s="829">
        <f t="shared" si="40"/>
        <v>-0.02</v>
      </c>
      <c r="H70" s="829">
        <f t="shared" si="41"/>
        <v>-2.5000000000000001E-2</v>
      </c>
      <c r="I70" s="829">
        <f t="shared" si="42"/>
        <v>-3.7999999999999999E-2</v>
      </c>
      <c r="J70" s="829">
        <f t="shared" si="43"/>
        <v>-3.7999999999999999E-2</v>
      </c>
      <c r="K70" s="835">
        <f t="shared" si="44"/>
        <v>-0.03</v>
      </c>
    </row>
    <row r="71" spans="1:11">
      <c r="A71" s="827" t="s">
        <v>442</v>
      </c>
      <c r="B71" s="828">
        <f t="shared" si="35"/>
        <v>-1.2E-2</v>
      </c>
      <c r="C71" s="829">
        <f t="shared" si="36"/>
        <v>-1.2E-2</v>
      </c>
      <c r="D71" s="829">
        <f t="shared" si="37"/>
        <v>-1.2E-2</v>
      </c>
      <c r="E71" s="829">
        <f t="shared" si="38"/>
        <v>-1.2E-2</v>
      </c>
      <c r="F71" s="829">
        <f t="shared" si="39"/>
        <v>-1.6E-2</v>
      </c>
      <c r="G71" s="829">
        <f t="shared" si="40"/>
        <v>-1.6E-2</v>
      </c>
      <c r="H71" s="829">
        <f t="shared" si="41"/>
        <v>-0.02</v>
      </c>
      <c r="I71" s="829">
        <f t="shared" si="42"/>
        <v>-3.04E-2</v>
      </c>
      <c r="J71" s="829">
        <f t="shared" si="43"/>
        <v>-3.04E-2</v>
      </c>
      <c r="K71" s="835">
        <f t="shared" si="44"/>
        <v>-2.4E-2</v>
      </c>
    </row>
    <row r="72" spans="1:11">
      <c r="A72" s="830" t="s">
        <v>445</v>
      </c>
      <c r="B72" s="831">
        <f t="shared" si="35"/>
        <v>-1.0500000000000001E-2</v>
      </c>
      <c r="C72" s="832">
        <f t="shared" si="36"/>
        <v>-1.0500000000000001E-2</v>
      </c>
      <c r="D72" s="832">
        <f t="shared" si="37"/>
        <v>-1.0500000000000001E-2</v>
      </c>
      <c r="E72" s="832">
        <f t="shared" si="38"/>
        <v>-1.0500000000000001E-2</v>
      </c>
      <c r="F72" s="832">
        <f t="shared" si="39"/>
        <v>-1.4E-2</v>
      </c>
      <c r="G72" s="832">
        <f t="shared" si="40"/>
        <v>-1.4E-2</v>
      </c>
      <c r="H72" s="832">
        <f t="shared" si="41"/>
        <v>-1.7500000000000002E-2</v>
      </c>
      <c r="I72" s="832">
        <f t="shared" si="42"/>
        <v>-2.6599999999999999E-2</v>
      </c>
      <c r="J72" s="832">
        <f t="shared" si="43"/>
        <v>-2.6599999999999999E-2</v>
      </c>
      <c r="K72" s="836">
        <f t="shared" si="44"/>
        <v>-2.1000000000000001E-2</v>
      </c>
    </row>
    <row r="73" spans="1:11">
      <c r="A73" s="799" t="s">
        <v>147</v>
      </c>
      <c r="B73" s="825">
        <f t="shared" si="35"/>
        <v>-0.04</v>
      </c>
      <c r="C73" s="826">
        <f t="shared" si="36"/>
        <v>-0.03</v>
      </c>
      <c r="D73" s="826">
        <f t="shared" si="37"/>
        <v>-0.03</v>
      </c>
      <c r="E73" s="826">
        <f t="shared" si="38"/>
        <v>-0.04</v>
      </c>
      <c r="F73" s="826">
        <f t="shared" si="39"/>
        <v>-3.5999999999999997E-2</v>
      </c>
      <c r="G73" s="826">
        <f t="shared" si="40"/>
        <v>-4.8000000000000001E-2</v>
      </c>
      <c r="H73" s="826">
        <f t="shared" si="41"/>
        <v>-0.04</v>
      </c>
      <c r="I73" s="826">
        <f t="shared" si="42"/>
        <v>-7.1999999999999995E-2</v>
      </c>
      <c r="J73" s="826">
        <f t="shared" si="43"/>
        <v>-0.08</v>
      </c>
      <c r="K73" s="834">
        <f t="shared" si="44"/>
        <v>-0.06</v>
      </c>
    </row>
    <row r="74" spans="1:11">
      <c r="A74" s="804" t="s">
        <v>145</v>
      </c>
      <c r="B74" s="828">
        <f t="shared" si="35"/>
        <v>-0.05</v>
      </c>
      <c r="C74" s="829">
        <f t="shared" si="36"/>
        <v>-3.7499999999999999E-2</v>
      </c>
      <c r="D74" s="829">
        <f t="shared" si="37"/>
        <v>-3.7499999999999999E-2</v>
      </c>
      <c r="E74" s="829">
        <f t="shared" si="38"/>
        <v>-0.05</v>
      </c>
      <c r="F74" s="829">
        <f t="shared" si="39"/>
        <v>-4.4999999999999998E-2</v>
      </c>
      <c r="G74" s="829">
        <f t="shared" si="40"/>
        <v>-0.06</v>
      </c>
      <c r="H74" s="829">
        <f t="shared" si="41"/>
        <v>-0.05</v>
      </c>
      <c r="I74" s="829">
        <f t="shared" si="42"/>
        <v>-0.09</v>
      </c>
      <c r="J74" s="829">
        <f t="shared" si="43"/>
        <v>-0.1</v>
      </c>
      <c r="K74" s="835">
        <f t="shared" si="44"/>
        <v>-7.4999999999999997E-2</v>
      </c>
    </row>
    <row r="75" spans="1:11">
      <c r="A75" s="804" t="s">
        <v>38</v>
      </c>
      <c r="B75" s="828">
        <f t="shared" si="35"/>
        <v>-0.02</v>
      </c>
      <c r="C75" s="829">
        <f t="shared" si="36"/>
        <v>-1.4999999999999999E-2</v>
      </c>
      <c r="D75" s="829">
        <f t="shared" si="37"/>
        <v>-1.4999999999999999E-2</v>
      </c>
      <c r="E75" s="829">
        <f t="shared" si="38"/>
        <v>-0.02</v>
      </c>
      <c r="F75" s="829">
        <f t="shared" si="39"/>
        <v>-1.7999999999999999E-2</v>
      </c>
      <c r="G75" s="829">
        <f t="shared" si="40"/>
        <v>-2.4E-2</v>
      </c>
      <c r="H75" s="829">
        <f t="shared" si="41"/>
        <v>-0.02</v>
      </c>
      <c r="I75" s="829">
        <f t="shared" si="42"/>
        <v>-3.5999999999999997E-2</v>
      </c>
      <c r="J75" s="829">
        <f t="shared" si="43"/>
        <v>-0.04</v>
      </c>
      <c r="K75" s="835">
        <f t="shared" si="44"/>
        <v>-0.03</v>
      </c>
    </row>
    <row r="76" spans="1:11">
      <c r="A76" s="804" t="s">
        <v>439</v>
      </c>
      <c r="B76" s="828">
        <f t="shared" si="35"/>
        <v>-0.02</v>
      </c>
      <c r="C76" s="829">
        <f t="shared" si="36"/>
        <v>-1.4999999999999999E-2</v>
      </c>
      <c r="D76" s="829">
        <f t="shared" si="37"/>
        <v>-1.4999999999999999E-2</v>
      </c>
      <c r="E76" s="829">
        <f t="shared" si="38"/>
        <v>-0.02</v>
      </c>
      <c r="F76" s="829">
        <f t="shared" si="39"/>
        <v>-1.7999999999999999E-2</v>
      </c>
      <c r="G76" s="829">
        <f t="shared" si="40"/>
        <v>-2.4E-2</v>
      </c>
      <c r="H76" s="829">
        <f t="shared" si="41"/>
        <v>-0.02</v>
      </c>
      <c r="I76" s="829">
        <f t="shared" si="42"/>
        <v>-3.5999999999999997E-2</v>
      </c>
      <c r="J76" s="829">
        <f t="shared" si="43"/>
        <v>-0.04</v>
      </c>
      <c r="K76" s="835">
        <f t="shared" si="44"/>
        <v>-0.03</v>
      </c>
    </row>
    <row r="77" spans="1:11">
      <c r="A77" s="804" t="s">
        <v>441</v>
      </c>
      <c r="B77" s="828">
        <f t="shared" si="35"/>
        <v>-0.03</v>
      </c>
      <c r="C77" s="829">
        <f t="shared" si="36"/>
        <v>-2.2499999999999999E-2</v>
      </c>
      <c r="D77" s="829">
        <f t="shared" si="37"/>
        <v>-2.2499999999999999E-2</v>
      </c>
      <c r="E77" s="829">
        <f t="shared" si="38"/>
        <v>-0.03</v>
      </c>
      <c r="F77" s="829">
        <f t="shared" si="39"/>
        <v>-2.7E-2</v>
      </c>
      <c r="G77" s="829">
        <f t="shared" si="40"/>
        <v>-3.5999999999999997E-2</v>
      </c>
      <c r="H77" s="829">
        <f t="shared" si="41"/>
        <v>-0.03</v>
      </c>
      <c r="I77" s="829">
        <f t="shared" si="42"/>
        <v>-5.3999999999999999E-2</v>
      </c>
      <c r="J77" s="829">
        <f t="shared" si="43"/>
        <v>-0.06</v>
      </c>
      <c r="K77" s="835">
        <f t="shared" si="44"/>
        <v>-4.4999999999999998E-2</v>
      </c>
    </row>
    <row r="78" spans="1:11">
      <c r="A78" s="804" t="s">
        <v>442</v>
      </c>
      <c r="B78" s="828">
        <f t="shared" si="35"/>
        <v>-1.6E-2</v>
      </c>
      <c r="C78" s="829">
        <f t="shared" si="36"/>
        <v>-1.2E-2</v>
      </c>
      <c r="D78" s="829">
        <f t="shared" si="37"/>
        <v>-1.2E-2</v>
      </c>
      <c r="E78" s="829">
        <f t="shared" si="38"/>
        <v>-1.6E-2</v>
      </c>
      <c r="F78" s="829">
        <f t="shared" si="39"/>
        <v>-1.44E-2</v>
      </c>
      <c r="G78" s="829">
        <f t="shared" si="40"/>
        <v>-1.9199999999999998E-2</v>
      </c>
      <c r="H78" s="829">
        <f t="shared" si="41"/>
        <v>-1.6E-2</v>
      </c>
      <c r="I78" s="829">
        <f t="shared" si="42"/>
        <v>-2.8799999999999999E-2</v>
      </c>
      <c r="J78" s="829">
        <f t="shared" si="43"/>
        <v>-3.2000000000000001E-2</v>
      </c>
      <c r="K78" s="835">
        <f t="shared" si="44"/>
        <v>-2.4E-2</v>
      </c>
    </row>
    <row r="79" spans="1:11">
      <c r="A79" s="809" t="s">
        <v>1038</v>
      </c>
      <c r="B79" s="831">
        <f t="shared" si="35"/>
        <v>-2.4E-2</v>
      </c>
      <c r="C79" s="832">
        <f t="shared" si="36"/>
        <v>-1.7999999999999999E-2</v>
      </c>
      <c r="D79" s="832">
        <f t="shared" si="37"/>
        <v>-1.7999999999999999E-2</v>
      </c>
      <c r="E79" s="832">
        <f t="shared" si="38"/>
        <v>-2.4E-2</v>
      </c>
      <c r="F79" s="832">
        <f t="shared" si="39"/>
        <v>-2.1600000000000001E-2</v>
      </c>
      <c r="G79" s="832">
        <f t="shared" si="40"/>
        <v>-2.8799999999999999E-2</v>
      </c>
      <c r="H79" s="832">
        <f t="shared" si="41"/>
        <v>-2.4E-2</v>
      </c>
      <c r="I79" s="832">
        <f t="shared" si="42"/>
        <v>-4.3200000000000002E-2</v>
      </c>
      <c r="J79" s="832">
        <f t="shared" si="43"/>
        <v>-4.8000000000000001E-2</v>
      </c>
      <c r="K79" s="836">
        <f t="shared" si="44"/>
        <v>-3.5999999999999997E-2</v>
      </c>
    </row>
    <row r="80" spans="1:11">
      <c r="A80" s="799" t="s">
        <v>139</v>
      </c>
      <c r="B80" s="825">
        <f t="shared" si="35"/>
        <v>-0.02</v>
      </c>
      <c r="C80" s="826">
        <f t="shared" si="36"/>
        <v>-2.1000000000000001E-2</v>
      </c>
      <c r="D80" s="826">
        <f t="shared" si="37"/>
        <v>-1.4999999999999999E-2</v>
      </c>
      <c r="E80" s="826">
        <f t="shared" si="38"/>
        <v>-1.7000000000000001E-2</v>
      </c>
      <c r="F80" s="826">
        <f t="shared" si="39"/>
        <v>-0.03</v>
      </c>
      <c r="G80" s="826">
        <f t="shared" si="40"/>
        <v>-2.5999999999999999E-2</v>
      </c>
      <c r="H80" s="826">
        <f t="shared" si="41"/>
        <v>-2.7E-2</v>
      </c>
      <c r="I80" s="826">
        <f t="shared" si="42"/>
        <v>-3.3000000000000002E-2</v>
      </c>
      <c r="J80" s="826">
        <f t="shared" si="43"/>
        <v>-3.5999999999999997E-2</v>
      </c>
      <c r="K80" s="834">
        <f t="shared" si="44"/>
        <v>-0.03</v>
      </c>
    </row>
    <row r="81" spans="1:11">
      <c r="A81" s="804" t="s">
        <v>145</v>
      </c>
      <c r="B81" s="828">
        <f t="shared" si="35"/>
        <v>-0.04</v>
      </c>
      <c r="C81" s="829">
        <f t="shared" si="36"/>
        <v>-4.2000000000000003E-2</v>
      </c>
      <c r="D81" s="829">
        <f t="shared" si="37"/>
        <v>-0.03</v>
      </c>
      <c r="E81" s="829">
        <f t="shared" si="38"/>
        <v>-3.4000000000000002E-2</v>
      </c>
      <c r="F81" s="829">
        <f t="shared" si="39"/>
        <v>-0.06</v>
      </c>
      <c r="G81" s="829">
        <f t="shared" si="40"/>
        <v>-5.1999999999999998E-2</v>
      </c>
      <c r="H81" s="829">
        <f t="shared" si="41"/>
        <v>-5.3999999999999999E-2</v>
      </c>
      <c r="I81" s="829">
        <f t="shared" si="42"/>
        <v>-6.6000000000000003E-2</v>
      </c>
      <c r="J81" s="829">
        <f t="shared" si="43"/>
        <v>-7.1999999999999995E-2</v>
      </c>
      <c r="K81" s="835">
        <f t="shared" si="44"/>
        <v>-0.06</v>
      </c>
    </row>
    <row r="82" spans="1:11">
      <c r="A82" s="804" t="s">
        <v>38</v>
      </c>
      <c r="B82" s="828">
        <f t="shared" si="35"/>
        <v>-0.02</v>
      </c>
      <c r="C82" s="829">
        <f t="shared" si="36"/>
        <v>-2.1000000000000001E-2</v>
      </c>
      <c r="D82" s="829">
        <f t="shared" si="37"/>
        <v>-1.4999999999999999E-2</v>
      </c>
      <c r="E82" s="829">
        <f t="shared" si="38"/>
        <v>-1.7000000000000001E-2</v>
      </c>
      <c r="F82" s="829">
        <f t="shared" si="39"/>
        <v>-0.03</v>
      </c>
      <c r="G82" s="829">
        <f t="shared" si="40"/>
        <v>-2.5999999999999999E-2</v>
      </c>
      <c r="H82" s="829">
        <f t="shared" si="41"/>
        <v>-2.7E-2</v>
      </c>
      <c r="I82" s="829">
        <f t="shared" si="42"/>
        <v>-3.3000000000000002E-2</v>
      </c>
      <c r="J82" s="829">
        <f t="shared" si="43"/>
        <v>-3.5999999999999997E-2</v>
      </c>
      <c r="K82" s="835">
        <f t="shared" si="44"/>
        <v>-0.03</v>
      </c>
    </row>
    <row r="83" spans="1:11">
      <c r="A83" s="804" t="s">
        <v>447</v>
      </c>
      <c r="B83" s="828">
        <f t="shared" si="35"/>
        <v>-0.02</v>
      </c>
      <c r="C83" s="829">
        <f t="shared" si="36"/>
        <v>-2.1000000000000001E-2</v>
      </c>
      <c r="D83" s="829">
        <f t="shared" si="37"/>
        <v>-1.4999999999999999E-2</v>
      </c>
      <c r="E83" s="829">
        <f t="shared" si="38"/>
        <v>-1.7000000000000001E-2</v>
      </c>
      <c r="F83" s="829">
        <f t="shared" si="39"/>
        <v>-0.03</v>
      </c>
      <c r="G83" s="829">
        <f t="shared" si="40"/>
        <v>-2.5999999999999999E-2</v>
      </c>
      <c r="H83" s="829">
        <f t="shared" si="41"/>
        <v>-2.7E-2</v>
      </c>
      <c r="I83" s="829">
        <f t="shared" si="42"/>
        <v>-3.3000000000000002E-2</v>
      </c>
      <c r="J83" s="829">
        <f t="shared" si="43"/>
        <v>-3.5999999999999997E-2</v>
      </c>
      <c r="K83" s="835">
        <f t="shared" si="44"/>
        <v>-0.03</v>
      </c>
    </row>
    <row r="84" spans="1:11">
      <c r="A84" s="804" t="s">
        <v>442</v>
      </c>
      <c r="B84" s="828">
        <f t="shared" si="35"/>
        <v>-1.6E-2</v>
      </c>
      <c r="C84" s="829">
        <f t="shared" si="36"/>
        <v>-1.6799999999999999E-2</v>
      </c>
      <c r="D84" s="829">
        <f t="shared" si="37"/>
        <v>-1.2E-2</v>
      </c>
      <c r="E84" s="829">
        <f t="shared" si="38"/>
        <v>-1.3599999999999999E-2</v>
      </c>
      <c r="F84" s="829">
        <f t="shared" si="39"/>
        <v>-2.4E-2</v>
      </c>
      <c r="G84" s="829">
        <f t="shared" si="40"/>
        <v>-2.0799999999999999E-2</v>
      </c>
      <c r="H84" s="829">
        <f t="shared" si="41"/>
        <v>-2.1600000000000001E-2</v>
      </c>
      <c r="I84" s="829">
        <f t="shared" si="42"/>
        <v>-2.64E-2</v>
      </c>
      <c r="J84" s="829">
        <f t="shared" si="43"/>
        <v>-2.8799999999999999E-2</v>
      </c>
      <c r="K84" s="835">
        <f t="shared" si="44"/>
        <v>-2.4E-2</v>
      </c>
    </row>
    <row r="85" spans="1:11">
      <c r="A85" s="804" t="s">
        <v>1038</v>
      </c>
      <c r="B85" s="828">
        <f t="shared" si="35"/>
        <v>-2.4E-2</v>
      </c>
      <c r="C85" s="829">
        <f t="shared" si="36"/>
        <v>-2.52E-2</v>
      </c>
      <c r="D85" s="829">
        <f t="shared" si="37"/>
        <v>-1.7999999999999999E-2</v>
      </c>
      <c r="E85" s="829">
        <f t="shared" si="38"/>
        <v>-2.0400000000000001E-2</v>
      </c>
      <c r="F85" s="829">
        <f t="shared" si="39"/>
        <v>-3.5999999999999997E-2</v>
      </c>
      <c r="G85" s="829">
        <f t="shared" si="40"/>
        <v>-3.1199999999999999E-2</v>
      </c>
      <c r="H85" s="829">
        <f t="shared" si="41"/>
        <v>-3.2399999999999998E-2</v>
      </c>
      <c r="I85" s="829">
        <f t="shared" si="42"/>
        <v>-3.9600000000000003E-2</v>
      </c>
      <c r="J85" s="829">
        <f t="shared" si="43"/>
        <v>-4.3200000000000002E-2</v>
      </c>
      <c r="K85" s="835">
        <f t="shared" si="44"/>
        <v>-3.5999999999999997E-2</v>
      </c>
    </row>
    <row r="86" spans="1:11">
      <c r="A86" s="804" t="s">
        <v>446</v>
      </c>
      <c r="B86" s="828">
        <f t="shared" si="35"/>
        <v>-0.04</v>
      </c>
      <c r="C86" s="829">
        <f t="shared" si="36"/>
        <v>-4.2000000000000003E-2</v>
      </c>
      <c r="D86" s="829">
        <f t="shared" si="37"/>
        <v>-0.03</v>
      </c>
      <c r="E86" s="829">
        <f t="shared" si="38"/>
        <v>-3.4000000000000002E-2</v>
      </c>
      <c r="F86" s="829">
        <f t="shared" si="39"/>
        <v>-0.06</v>
      </c>
      <c r="G86" s="829">
        <f t="shared" si="40"/>
        <v>-5.1999999999999998E-2</v>
      </c>
      <c r="H86" s="829">
        <f t="shared" si="41"/>
        <v>-5.3999999999999999E-2</v>
      </c>
      <c r="I86" s="829">
        <f t="shared" si="42"/>
        <v>-6.6000000000000003E-2</v>
      </c>
      <c r="J86" s="829">
        <f t="shared" si="43"/>
        <v>-7.1999999999999995E-2</v>
      </c>
      <c r="K86" s="835">
        <f t="shared" si="44"/>
        <v>-0.06</v>
      </c>
    </row>
    <row r="87" spans="1:11">
      <c r="A87" s="809" t="s">
        <v>1039</v>
      </c>
      <c r="B87" s="831">
        <f t="shared" si="35"/>
        <v>-0.02</v>
      </c>
      <c r="C87" s="832">
        <f t="shared" si="36"/>
        <v>-2.1000000000000001E-2</v>
      </c>
      <c r="D87" s="832">
        <f t="shared" si="37"/>
        <v>-1.4999999999999999E-2</v>
      </c>
      <c r="E87" s="832">
        <f t="shared" si="38"/>
        <v>-1.7000000000000001E-2</v>
      </c>
      <c r="F87" s="832">
        <f t="shared" si="39"/>
        <v>-0.03</v>
      </c>
      <c r="G87" s="832">
        <f t="shared" si="40"/>
        <v>-2.5999999999999999E-2</v>
      </c>
      <c r="H87" s="832">
        <f t="shared" si="41"/>
        <v>-2.7E-2</v>
      </c>
      <c r="I87" s="832">
        <f t="shared" si="42"/>
        <v>-3.3000000000000002E-2</v>
      </c>
      <c r="J87" s="832">
        <f t="shared" si="43"/>
        <v>-3.5999999999999997E-2</v>
      </c>
      <c r="K87" s="836">
        <f t="shared" si="44"/>
        <v>-0.03</v>
      </c>
    </row>
    <row r="88" spans="1:11">
      <c r="A88" s="804" t="s">
        <v>141</v>
      </c>
      <c r="B88" s="838">
        <f t="shared" si="35"/>
        <v>-0.02</v>
      </c>
      <c r="C88" s="838">
        <f t="shared" si="36"/>
        <v>-0.02</v>
      </c>
      <c r="D88" s="838">
        <f t="shared" si="37"/>
        <v>-0.04</v>
      </c>
      <c r="E88" s="838">
        <f t="shared" si="38"/>
        <v>-4.8000000000000001E-2</v>
      </c>
      <c r="F88" s="838">
        <f t="shared" si="39"/>
        <v>-0.05</v>
      </c>
      <c r="G88" s="838">
        <f t="shared" si="40"/>
        <v>-0.04</v>
      </c>
      <c r="H88" s="838">
        <f t="shared" si="41"/>
        <v>-4.5999999999999999E-2</v>
      </c>
      <c r="I88" s="838">
        <f t="shared" si="42"/>
        <v>-5.1999999999999998E-2</v>
      </c>
      <c r="J88" s="838">
        <f t="shared" si="43"/>
        <v>0</v>
      </c>
      <c r="K88" s="838">
        <f t="shared" si="44"/>
        <v>0</v>
      </c>
    </row>
    <row r="89" spans="1:11">
      <c r="A89" s="804" t="s">
        <v>145</v>
      </c>
      <c r="B89" s="829">
        <f t="shared" si="35"/>
        <v>-3.2000000000000001E-2</v>
      </c>
      <c r="C89" s="829">
        <f t="shared" si="36"/>
        <v>-3.2000000000000001E-2</v>
      </c>
      <c r="D89" s="829">
        <f t="shared" si="37"/>
        <v>-6.4000000000000001E-2</v>
      </c>
      <c r="E89" s="829">
        <f t="shared" si="38"/>
        <v>-7.6799999999999993E-2</v>
      </c>
      <c r="F89" s="829">
        <f t="shared" si="39"/>
        <v>-0.08</v>
      </c>
      <c r="G89" s="829">
        <f t="shared" si="40"/>
        <v>-6.4000000000000001E-2</v>
      </c>
      <c r="H89" s="829">
        <f t="shared" si="41"/>
        <v>-7.3599999999999999E-2</v>
      </c>
      <c r="I89" s="829">
        <f t="shared" si="42"/>
        <v>-8.3199999999999996E-2</v>
      </c>
      <c r="J89" s="829">
        <f t="shared" si="43"/>
        <v>0</v>
      </c>
      <c r="K89" s="829">
        <f t="shared" si="44"/>
        <v>0</v>
      </c>
    </row>
    <row r="90" spans="1:11">
      <c r="A90" s="804" t="s">
        <v>38</v>
      </c>
      <c r="B90" s="829">
        <f t="shared" si="35"/>
        <v>-0.01</v>
      </c>
      <c r="C90" s="829">
        <f t="shared" si="36"/>
        <v>-0.01</v>
      </c>
      <c r="D90" s="829">
        <f t="shared" si="37"/>
        <v>-0.02</v>
      </c>
      <c r="E90" s="829">
        <f t="shared" si="38"/>
        <v>-2.4E-2</v>
      </c>
      <c r="F90" s="829">
        <f t="shared" si="39"/>
        <v>-2.5000000000000001E-2</v>
      </c>
      <c r="G90" s="829">
        <f t="shared" si="40"/>
        <v>-0.02</v>
      </c>
      <c r="H90" s="829">
        <f t="shared" si="41"/>
        <v>-2.3E-2</v>
      </c>
      <c r="I90" s="829">
        <f t="shared" si="42"/>
        <v>-2.5999999999999999E-2</v>
      </c>
      <c r="J90" s="829">
        <f t="shared" si="43"/>
        <v>0</v>
      </c>
      <c r="K90" s="829">
        <f t="shared" si="44"/>
        <v>0</v>
      </c>
    </row>
    <row r="91" spans="1:11">
      <c r="A91" s="804" t="s">
        <v>447</v>
      </c>
      <c r="B91" s="829">
        <f t="shared" si="35"/>
        <v>-8.0000000000000002E-3</v>
      </c>
      <c r="C91" s="829">
        <f t="shared" si="36"/>
        <v>-8.0000000000000002E-3</v>
      </c>
      <c r="D91" s="829">
        <f t="shared" si="37"/>
        <v>-1.6E-2</v>
      </c>
      <c r="E91" s="829">
        <f t="shared" si="38"/>
        <v>-1.9199999999999998E-2</v>
      </c>
      <c r="F91" s="829">
        <f t="shared" si="39"/>
        <v>-0.02</v>
      </c>
      <c r="G91" s="829">
        <f t="shared" si="40"/>
        <v>-1.6E-2</v>
      </c>
      <c r="H91" s="829">
        <f t="shared" si="41"/>
        <v>-1.84E-2</v>
      </c>
      <c r="I91" s="829">
        <f t="shared" si="42"/>
        <v>-2.0799999999999999E-2</v>
      </c>
      <c r="J91" s="829">
        <f t="shared" si="43"/>
        <v>0</v>
      </c>
      <c r="K91" s="829">
        <f t="shared" si="44"/>
        <v>0</v>
      </c>
    </row>
    <row r="92" spans="1:11">
      <c r="A92" s="804" t="s">
        <v>442</v>
      </c>
      <c r="B92" s="829">
        <f t="shared" si="35"/>
        <v>-1.2E-2</v>
      </c>
      <c r="C92" s="829">
        <f t="shared" si="36"/>
        <v>-1.2E-2</v>
      </c>
      <c r="D92" s="829">
        <f t="shared" si="37"/>
        <v>-2.4E-2</v>
      </c>
      <c r="E92" s="829">
        <f t="shared" si="38"/>
        <v>-2.8799999999999999E-2</v>
      </c>
      <c r="F92" s="829">
        <f t="shared" si="39"/>
        <v>-0.03</v>
      </c>
      <c r="G92" s="829">
        <f t="shared" si="40"/>
        <v>-2.4E-2</v>
      </c>
      <c r="H92" s="829">
        <f t="shared" si="41"/>
        <v>-2.76E-2</v>
      </c>
      <c r="I92" s="829">
        <f t="shared" si="42"/>
        <v>-3.1199999999999999E-2</v>
      </c>
      <c r="J92" s="829">
        <f t="shared" si="43"/>
        <v>0</v>
      </c>
      <c r="K92" s="829">
        <f t="shared" si="44"/>
        <v>0</v>
      </c>
    </row>
    <row r="93" spans="1:11">
      <c r="A93" s="804" t="s">
        <v>445</v>
      </c>
      <c r="B93" s="829">
        <f t="shared" si="35"/>
        <v>-0.01</v>
      </c>
      <c r="C93" s="829">
        <f t="shared" si="36"/>
        <v>-0.01</v>
      </c>
      <c r="D93" s="829">
        <f t="shared" si="37"/>
        <v>-0.02</v>
      </c>
      <c r="E93" s="829">
        <f t="shared" si="38"/>
        <v>-2.4E-2</v>
      </c>
      <c r="F93" s="829">
        <f t="shared" si="39"/>
        <v>-2.5000000000000001E-2</v>
      </c>
      <c r="G93" s="829">
        <f t="shared" si="40"/>
        <v>-0.02</v>
      </c>
      <c r="H93" s="829">
        <f t="shared" si="41"/>
        <v>-2.3E-2</v>
      </c>
      <c r="I93" s="829">
        <f t="shared" si="42"/>
        <v>-2.5999999999999999E-2</v>
      </c>
      <c r="J93" s="829">
        <f t="shared" si="43"/>
        <v>0</v>
      </c>
      <c r="K93" s="829">
        <f t="shared" si="44"/>
        <v>0</v>
      </c>
    </row>
    <row r="94" spans="1:11">
      <c r="A94" s="809" t="s">
        <v>150</v>
      </c>
      <c r="B94" s="829">
        <f t="shared" si="35"/>
        <v>-8.0000000000000002E-3</v>
      </c>
      <c r="C94" s="829">
        <f t="shared" si="36"/>
        <v>-8.0000000000000002E-3</v>
      </c>
      <c r="D94" s="829">
        <f t="shared" si="37"/>
        <v>-1.6E-2</v>
      </c>
      <c r="E94" s="829">
        <f t="shared" si="38"/>
        <v>-1.9199999999999998E-2</v>
      </c>
      <c r="F94" s="829">
        <f t="shared" si="39"/>
        <v>-0.02</v>
      </c>
      <c r="G94" s="829">
        <f t="shared" si="40"/>
        <v>-1.6E-2</v>
      </c>
      <c r="H94" s="829">
        <f t="shared" si="41"/>
        <v>-1.84E-2</v>
      </c>
      <c r="I94" s="829">
        <f t="shared" si="42"/>
        <v>-2.0799999999999999E-2</v>
      </c>
      <c r="J94" s="829">
        <f t="shared" si="43"/>
        <v>0</v>
      </c>
      <c r="K94" s="829">
        <f t="shared" si="44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tabSelected="1" zoomScale="90" zoomScaleNormal="90" zoomScaleSheetLayoutView="89" workbookViewId="0">
      <selection activeCell="F19" sqref="F19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22" t="s">
        <v>377</v>
      </c>
      <c r="E2" s="1726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>
        <f ca="1">IF(C1="求取熟地价",C27,ROUND((C15*B11+C18)*C22/B11,0))</f>
        <v>710</v>
      </c>
      <c r="C3" s="651" t="s">
        <v>335</v>
      </c>
      <c r="D3" s="1723"/>
      <c r="E3" s="1727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23"/>
      <c r="E4" s="1727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24"/>
      <c r="E5" s="1728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 t="s">
        <v>1072</v>
      </c>
      <c r="C6" s="657"/>
      <c r="D6" s="1722" t="s">
        <v>1065</v>
      </c>
      <c r="E6" s="1726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八类</v>
      </c>
      <c r="C7" s="657"/>
      <c r="D7" s="1723"/>
      <c r="E7" s="1727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 t="s">
        <v>1305</v>
      </c>
      <c r="C8" s="657"/>
      <c r="D8" s="1724"/>
      <c r="E8" s="1728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260.94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22" t="s">
        <v>137</v>
      </c>
      <c r="E10" s="1726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257</v>
      </c>
      <c r="B11" s="667">
        <f>IF(A11="容积率",主表!B8,主表!B9)</f>
        <v>1</v>
      </c>
      <c r="C11" s="657"/>
      <c r="D11" s="1725"/>
      <c r="E11" s="1729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>
        <v>100</v>
      </c>
      <c r="D14" s="682">
        <f>SUMPRODUCT((D35:M35=B7)*(B36:B39=B6)*(D36:M39))</f>
        <v>50</v>
      </c>
      <c r="E14" s="683">
        <f>SUMPRODUCT((D35:M35=B7)*(B40:B43=B6)*(D40:M43))</f>
        <v>150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610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>
        <v>460</v>
      </c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>
        <v>150</v>
      </c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100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0</v>
      </c>
      <c r="E19" s="703">
        <f>SUMPRODUCT((D35:M35=B7)*(B47:B49=B19)*(D47:M49))</f>
        <v>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>
        <v>100</v>
      </c>
      <c r="D20" s="708">
        <f>SUMPRODUCT((D35:M35=B7)*(B50:B51=F20)*(D50:M51))</f>
        <v>75</v>
      </c>
      <c r="E20" s="682">
        <f>SUMPRODUCT((D35:M35=B7)*(B52:B53=F20)*(D52:M53))</f>
        <v>180</v>
      </c>
      <c r="F20" s="709" t="s">
        <v>1107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>
        <f>IF(B11&lt;1,1,SUMIF(B55:K55,ROUNDDOWN(B11,0),B56:K56)+(SUMIF(B55:K55,ROUNDUP(B11,0),B56:K56)-SUMIF(B55:K55,ROUNDDOWN(B11,0),B56:K56))*(B11-ROUNDDOWN(B11,0)))</f>
        <v>1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1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4.3200000000000002E-2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274</v>
      </c>
      <c r="C24" s="692">
        <f>IF(B24="剩余土地使用年限",主表!B15,主表!B16)</f>
        <v>70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8" t="s">
        <v>1019</v>
      </c>
      <c r="B27" s="735" t="s">
        <v>1007</v>
      </c>
      <c r="C27" s="692">
        <f ca="1">ROUND(C28/B11,0)</f>
        <v>810</v>
      </c>
      <c r="D27" s="736">
        <f>B9</f>
        <v>260.94</v>
      </c>
      <c r="E27" s="737">
        <f ca="1">ROUND(C27*D27,0)</f>
        <v>211361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9"/>
      <c r="B28" s="740" t="s">
        <v>1021</v>
      </c>
      <c r="C28" s="692">
        <f ca="1">IF(主表!B4&lt;DATE(2002,12,10),ROUND(C14*C21*C22+C15*B11+C18,0),0)</f>
        <v>810</v>
      </c>
      <c r="D28" s="736">
        <f>B10</f>
        <v>0</v>
      </c>
      <c r="E28" s="737">
        <f ca="1"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10" t="s">
        <v>1089</v>
      </c>
      <c r="B29" s="690" t="s">
        <v>1090</v>
      </c>
      <c r="C29" s="703">
        <f ca="1">ROUND(C30/B11,0)</f>
        <v>710</v>
      </c>
      <c r="D29" s="741">
        <f>B9</f>
        <v>260.94</v>
      </c>
      <c r="E29" s="742">
        <f ca="1">ROUND(C29*D29,0)</f>
        <v>185267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16"/>
      <c r="B30" s="744" t="s">
        <v>1091</v>
      </c>
      <c r="C30" s="745">
        <f ca="1">IF(主表!B4&lt;DATE(2002,12,10),ROUND(C14*C21*C22+C15*B11,0),0)</f>
        <v>710</v>
      </c>
      <c r="D30" s="746">
        <f>B10</f>
        <v>0</v>
      </c>
      <c r="E30" s="747">
        <f ca="1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17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18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18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18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18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18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18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18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19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20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20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20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20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1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20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20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20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1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Z3"/>
  <sheetViews>
    <sheetView workbookViewId="0">
      <selection activeCell="M17" sqref="M17"/>
    </sheetView>
  </sheetViews>
  <sheetFormatPr defaultRowHeight="13.5"/>
  <sheetData>
    <row r="3" spans="26:26">
      <c r="Z3" s="1647" t="s">
        <v>1306</v>
      </c>
    </row>
  </sheetData>
  <phoneticPr fontId="142" type="noConversion"/>
  <hyperlinks>
    <hyperlink ref="Z3" r:id="rId1" display="https://www.beijing.gov.cn/zhengce/zfwj/zfwj/szfwj/201905/t20190523_72290.html" xr:uid="{C9041933-CB8E-4884-895F-B4672DE3F616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30" t="s">
        <v>1116</v>
      </c>
      <c r="D4" s="1731"/>
      <c r="E4" s="1732" t="s">
        <v>1117</v>
      </c>
      <c r="F4" s="1733"/>
      <c r="G4" s="1730" t="s">
        <v>1118</v>
      </c>
      <c r="H4" s="1731"/>
      <c r="I4" s="1730" t="s">
        <v>1119</v>
      </c>
      <c r="J4" s="1731"/>
      <c r="K4" s="438" t="s">
        <v>1120</v>
      </c>
      <c r="L4" s="439"/>
      <c r="M4" s="396"/>
      <c r="N4" s="396"/>
      <c r="O4" s="396"/>
      <c r="P4" s="1765" t="s">
        <v>1121</v>
      </c>
      <c r="Q4" s="1766"/>
      <c r="R4" s="1759" t="s">
        <v>1117</v>
      </c>
      <c r="S4" s="1760"/>
      <c r="T4" s="1759" t="s">
        <v>1118</v>
      </c>
      <c r="U4" s="1760"/>
      <c r="V4" s="1746" t="s">
        <v>1119</v>
      </c>
      <c r="W4" s="1746"/>
      <c r="X4" s="496"/>
      <c r="Y4" s="1759" t="s">
        <v>1121</v>
      </c>
      <c r="Z4" s="1760"/>
      <c r="AA4" s="1756" t="s">
        <v>1117</v>
      </c>
      <c r="AB4" s="1757" t="s">
        <v>1118</v>
      </c>
      <c r="AC4" s="1756" t="s">
        <v>1119</v>
      </c>
    </row>
    <row r="5" spans="1:29" ht="15">
      <c r="A5" s="275"/>
      <c r="B5" s="276"/>
      <c r="C5" s="1734" t="s">
        <v>1122</v>
      </c>
      <c r="D5" s="1735"/>
      <c r="E5" s="1736" t="s">
        <v>1123</v>
      </c>
      <c r="F5" s="1737"/>
      <c r="G5" s="1734" t="s">
        <v>1124</v>
      </c>
      <c r="H5" s="1735"/>
      <c r="I5" s="1734" t="s">
        <v>1125</v>
      </c>
      <c r="J5" s="1735"/>
      <c r="K5" s="438"/>
      <c r="L5" s="439"/>
      <c r="M5" s="396"/>
      <c r="N5" s="396"/>
      <c r="O5" s="396"/>
      <c r="P5" s="1767"/>
      <c r="Q5" s="1768"/>
      <c r="R5" s="1761"/>
      <c r="S5" s="1762"/>
      <c r="T5" s="1761"/>
      <c r="U5" s="1762"/>
      <c r="V5" s="1746"/>
      <c r="W5" s="1746"/>
      <c r="X5" s="496"/>
      <c r="Y5" s="1761"/>
      <c r="Z5" s="1762"/>
      <c r="AA5" s="1757"/>
      <c r="AB5" s="1757"/>
      <c r="AC5" s="1757"/>
    </row>
    <row r="6" spans="1:29" ht="15">
      <c r="A6" s="278"/>
      <c r="B6" s="279"/>
      <c r="C6" s="1738" t="s">
        <v>1126</v>
      </c>
      <c r="D6" s="1739"/>
      <c r="E6" s="1740" t="s">
        <v>1126</v>
      </c>
      <c r="F6" s="1741"/>
      <c r="G6" s="1738" t="s">
        <v>1126</v>
      </c>
      <c r="H6" s="1739"/>
      <c r="I6" s="1738" t="s">
        <v>1126</v>
      </c>
      <c r="J6" s="1739"/>
      <c r="K6" s="438" t="s">
        <v>1127</v>
      </c>
      <c r="L6" s="439"/>
      <c r="M6" s="396"/>
      <c r="N6" s="396"/>
      <c r="O6" s="396"/>
      <c r="P6" s="1769"/>
      <c r="Q6" s="1770"/>
      <c r="R6" s="1761"/>
      <c r="S6" s="1762"/>
      <c r="T6" s="1763"/>
      <c r="U6" s="1764"/>
      <c r="V6" s="1746"/>
      <c r="W6" s="1746"/>
      <c r="X6" s="496"/>
      <c r="Y6" s="1763"/>
      <c r="Z6" s="1764"/>
      <c r="AA6" s="1758"/>
      <c r="AB6" s="1758"/>
      <c r="AC6" s="1758"/>
    </row>
    <row r="7" spans="1:29" s="247" customFormat="1" ht="15">
      <c r="A7" s="280" t="s">
        <v>1128</v>
      </c>
      <c r="B7" s="281"/>
      <c r="C7" s="282">
        <f>主表!B4</f>
        <v>37194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42" t="s">
        <v>1129</v>
      </c>
      <c r="Q7" s="1743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42" t="s">
        <v>1129</v>
      </c>
      <c r="Z7" s="1744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42" t="s">
        <v>1133</v>
      </c>
      <c r="Q8" s="1744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42" t="s">
        <v>1133</v>
      </c>
      <c r="Z8" s="1744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5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51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5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51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5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51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八级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5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51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5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51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5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51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47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47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48"/>
      <c r="Q16" s="445"/>
      <c r="R16" s="501"/>
      <c r="S16" s="502"/>
      <c r="T16" s="501"/>
      <c r="U16" s="502"/>
      <c r="V16" s="501"/>
      <c r="W16" s="502"/>
      <c r="X16" s="496"/>
      <c r="Y16" s="1748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48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48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48"/>
      <c r="Q18" s="445"/>
      <c r="R18" s="501"/>
      <c r="S18" s="502"/>
      <c r="T18" s="501"/>
      <c r="U18" s="502"/>
      <c r="V18" s="501"/>
      <c r="W18" s="502"/>
      <c r="X18" s="496"/>
      <c r="Y18" s="1748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48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48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48"/>
      <c r="Q20" s="445"/>
      <c r="R20" s="501"/>
      <c r="S20" s="502"/>
      <c r="T20" s="501"/>
      <c r="U20" s="502"/>
      <c r="V20" s="501"/>
      <c r="W20" s="502"/>
      <c r="X20" s="496"/>
      <c r="Y20" s="1748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48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48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48"/>
      <c r="Q22" s="445"/>
      <c r="R22" s="501"/>
      <c r="S22" s="502"/>
      <c r="T22" s="501"/>
      <c r="U22" s="502"/>
      <c r="V22" s="501"/>
      <c r="W22" s="502"/>
      <c r="X22" s="496"/>
      <c r="Y22" s="1748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48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48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48"/>
      <c r="Q24" s="445"/>
      <c r="R24" s="501"/>
      <c r="S24" s="502"/>
      <c r="T24" s="501"/>
      <c r="U24" s="502"/>
      <c r="V24" s="501"/>
      <c r="W24" s="502"/>
      <c r="X24" s="496"/>
      <c r="Y24" s="1748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48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48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48"/>
      <c r="Q26" s="445"/>
      <c r="R26" s="501"/>
      <c r="S26" s="502"/>
      <c r="T26" s="501"/>
      <c r="U26" s="502"/>
      <c r="V26" s="501"/>
      <c r="W26" s="502"/>
      <c r="X26" s="496"/>
      <c r="Y26" s="1748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48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48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48"/>
      <c r="Q28" s="500"/>
      <c r="R28" s="497"/>
      <c r="S28" s="498"/>
      <c r="T28" s="497"/>
      <c r="U28" s="498"/>
      <c r="V28" s="497"/>
      <c r="W28" s="498"/>
      <c r="X28" s="499"/>
      <c r="Y28" s="1748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48"/>
      <c r="Q29" s="500" t="str">
        <f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48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48"/>
      <c r="Q30" s="500"/>
      <c r="R30" s="497"/>
      <c r="S30" s="498"/>
      <c r="T30" s="497"/>
      <c r="U30" s="498"/>
      <c r="V30" s="497"/>
      <c r="W30" s="498"/>
      <c r="X30" s="499"/>
      <c r="Y30" s="1748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48"/>
      <c r="Q31" s="445" t="str">
        <f t="shared" si="8"/>
        <v>临街状况</v>
      </c>
      <c r="R31" s="501" t="s">
        <v>1130</v>
      </c>
      <c r="S31" s="502">
        <f t="shared" ref="S31:S45" si="9">F31</f>
        <v>0</v>
      </c>
      <c r="T31" s="501" t="s">
        <v>1130</v>
      </c>
      <c r="U31" s="502">
        <f t="shared" ref="U31:U45" si="10">H31</f>
        <v>0</v>
      </c>
      <c r="V31" s="501" t="s">
        <v>1130</v>
      </c>
      <c r="W31" s="502">
        <f t="shared" ref="W31:W45" si="11">J31</f>
        <v>0</v>
      </c>
      <c r="X31" s="496"/>
      <c r="Y31" s="1748"/>
      <c r="Z31" s="495" t="str">
        <f t="shared" ref="Z31:Z45" si="12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48"/>
      <c r="Q32" s="445" t="str">
        <f t="shared" si="8"/>
        <v>毗邻道路的类型与等级</v>
      </c>
      <c r="R32" s="501" t="s">
        <v>1130</v>
      </c>
      <c r="S32" s="502">
        <f t="shared" si="9"/>
        <v>0</v>
      </c>
      <c r="T32" s="501" t="s">
        <v>1130</v>
      </c>
      <c r="U32" s="502">
        <f t="shared" si="10"/>
        <v>0</v>
      </c>
      <c r="V32" s="501" t="s">
        <v>1130</v>
      </c>
      <c r="W32" s="502">
        <f t="shared" si="11"/>
        <v>0</v>
      </c>
      <c r="X32" s="496"/>
      <c r="Y32" s="1748"/>
      <c r="Z32" s="495" t="str">
        <f t="shared" si="12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48"/>
      <c r="Q33" s="445"/>
      <c r="R33" s="501"/>
      <c r="S33" s="502"/>
      <c r="T33" s="501"/>
      <c r="U33" s="502"/>
      <c r="V33" s="501"/>
      <c r="W33" s="502"/>
      <c r="X33" s="496"/>
      <c r="Y33" s="1748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48"/>
      <c r="Q34" s="445" t="str">
        <f t="shared" si="8"/>
        <v>土地级别</v>
      </c>
      <c r="R34" s="501" t="s">
        <v>1130</v>
      </c>
      <c r="S34" s="502">
        <f t="shared" si="9"/>
        <v>100</v>
      </c>
      <c r="T34" s="501" t="s">
        <v>1130</v>
      </c>
      <c r="U34" s="502">
        <f t="shared" si="10"/>
        <v>100</v>
      </c>
      <c r="V34" s="501" t="s">
        <v>1130</v>
      </c>
      <c r="W34" s="502">
        <f t="shared" si="11"/>
        <v>100</v>
      </c>
      <c r="X34" s="496"/>
      <c r="Y34" s="1748"/>
      <c r="Z34" s="495" t="str">
        <f t="shared" si="12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48"/>
      <c r="Q35" s="445">
        <f t="shared" si="8"/>
        <v>111</v>
      </c>
      <c r="R35" s="501" t="s">
        <v>1130</v>
      </c>
      <c r="S35" s="502">
        <f t="shared" si="9"/>
        <v>0</v>
      </c>
      <c r="T35" s="501" t="s">
        <v>1130</v>
      </c>
      <c r="U35" s="502">
        <f t="shared" si="10"/>
        <v>0</v>
      </c>
      <c r="V35" s="501" t="s">
        <v>1130</v>
      </c>
      <c r="W35" s="502">
        <f t="shared" si="11"/>
        <v>0</v>
      </c>
      <c r="X35" s="496"/>
      <c r="Y35" s="1748"/>
      <c r="Z35" s="495">
        <f t="shared" si="12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49" t="s">
        <v>1148</v>
      </c>
      <c r="Q36" s="445">
        <f t="shared" si="8"/>
        <v>111</v>
      </c>
      <c r="R36" s="501" t="s">
        <v>1130</v>
      </c>
      <c r="S36" s="502">
        <f t="shared" si="9"/>
        <v>100</v>
      </c>
      <c r="T36" s="501" t="s">
        <v>1130</v>
      </c>
      <c r="U36" s="502">
        <f t="shared" si="10"/>
        <v>0</v>
      </c>
      <c r="V36" s="501" t="s">
        <v>1130</v>
      </c>
      <c r="W36" s="502">
        <f t="shared" si="11"/>
        <v>0</v>
      </c>
      <c r="X36" s="496"/>
      <c r="Y36" s="1750" t="s">
        <v>1148</v>
      </c>
      <c r="Z36" s="495">
        <f t="shared" si="12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50"/>
      <c r="Q37" s="445">
        <f t="shared" si="8"/>
        <v>0</v>
      </c>
      <c r="R37" s="503" t="s">
        <v>1130</v>
      </c>
      <c r="S37" s="504">
        <f t="shared" si="9"/>
        <v>100</v>
      </c>
      <c r="T37" s="503" t="s">
        <v>1130</v>
      </c>
      <c r="U37" s="504">
        <f t="shared" si="10"/>
        <v>100</v>
      </c>
      <c r="V37" s="503" t="s">
        <v>1130</v>
      </c>
      <c r="W37" s="504">
        <f t="shared" si="11"/>
        <v>100</v>
      </c>
      <c r="X37" s="505"/>
      <c r="Y37" s="1750"/>
      <c r="Z37" s="510">
        <f t="shared" si="12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50"/>
      <c r="Q38" s="445" t="str">
        <f t="shared" si="8"/>
        <v>宗地面积</v>
      </c>
      <c r="R38" s="501" t="s">
        <v>1130</v>
      </c>
      <c r="S38" s="502">
        <f t="shared" si="9"/>
        <v>100</v>
      </c>
      <c r="T38" s="501" t="s">
        <v>1130</v>
      </c>
      <c r="U38" s="502">
        <f t="shared" si="10"/>
        <v>100</v>
      </c>
      <c r="V38" s="501" t="s">
        <v>1130</v>
      </c>
      <c r="W38" s="502">
        <f t="shared" si="11"/>
        <v>100</v>
      </c>
      <c r="X38" s="496"/>
      <c r="Y38" s="1750"/>
      <c r="Z38" s="495" t="str">
        <f t="shared" si="12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50"/>
      <c r="Q39" s="445" t="str">
        <f t="shared" ref="Q39:Q45" si="13">B39</f>
        <v>宗地形状</v>
      </c>
      <c r="R39" s="501" t="s">
        <v>1130</v>
      </c>
      <c r="S39" s="502">
        <f t="shared" si="9"/>
        <v>100</v>
      </c>
      <c r="T39" s="501" t="s">
        <v>1130</v>
      </c>
      <c r="U39" s="502">
        <f t="shared" si="10"/>
        <v>100</v>
      </c>
      <c r="V39" s="501" t="s">
        <v>1130</v>
      </c>
      <c r="W39" s="502">
        <f t="shared" si="11"/>
        <v>100</v>
      </c>
      <c r="X39" s="496"/>
      <c r="Y39" s="1750"/>
      <c r="Z39" s="495" t="str">
        <f t="shared" si="12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50"/>
      <c r="Q40" s="445" t="str">
        <f t="shared" si="13"/>
        <v>临街宽度及深度</v>
      </c>
      <c r="R40" s="501" t="s">
        <v>1130</v>
      </c>
      <c r="S40" s="502">
        <f t="shared" si="9"/>
        <v>100</v>
      </c>
      <c r="T40" s="501" t="s">
        <v>1130</v>
      </c>
      <c r="U40" s="502">
        <f t="shared" si="10"/>
        <v>100</v>
      </c>
      <c r="V40" s="501" t="s">
        <v>1130</v>
      </c>
      <c r="W40" s="502">
        <f t="shared" si="11"/>
        <v>100</v>
      </c>
      <c r="X40" s="496"/>
      <c r="Y40" s="1750"/>
      <c r="Z40" s="495" t="str">
        <f t="shared" si="12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50"/>
      <c r="Q41" s="445" t="str">
        <f t="shared" si="13"/>
        <v>宗地内开发程度</v>
      </c>
      <c r="R41" s="497" t="s">
        <v>1130</v>
      </c>
      <c r="S41" s="498">
        <f t="shared" si="9"/>
        <v>100</v>
      </c>
      <c r="T41" s="497" t="s">
        <v>1130</v>
      </c>
      <c r="U41" s="498">
        <f t="shared" si="10"/>
        <v>100</v>
      </c>
      <c r="V41" s="497" t="s">
        <v>1130</v>
      </c>
      <c r="W41" s="498">
        <f t="shared" si="11"/>
        <v>100</v>
      </c>
      <c r="X41" s="499"/>
      <c r="Y41" s="1750"/>
      <c r="Z41" s="509" t="str">
        <f t="shared" si="12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50" t="s">
        <v>1148</v>
      </c>
      <c r="Q42" s="445" t="str">
        <f t="shared" si="13"/>
        <v>工程地质条件</v>
      </c>
      <c r="R42" s="501" t="s">
        <v>1130</v>
      </c>
      <c r="S42" s="502">
        <f t="shared" si="9"/>
        <v>100</v>
      </c>
      <c r="T42" s="501" t="s">
        <v>1130</v>
      </c>
      <c r="U42" s="502">
        <f t="shared" si="10"/>
        <v>100</v>
      </c>
      <c r="V42" s="501" t="s">
        <v>1130</v>
      </c>
      <c r="W42" s="502">
        <f t="shared" si="11"/>
        <v>100</v>
      </c>
      <c r="X42" s="496"/>
      <c r="Y42" s="1750" t="s">
        <v>1148</v>
      </c>
      <c r="Z42" s="495" t="str">
        <f t="shared" si="12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50"/>
      <c r="Q43" s="445">
        <f t="shared" si="13"/>
        <v>111</v>
      </c>
      <c r="R43" s="501" t="s">
        <v>1130</v>
      </c>
      <c r="S43" s="502">
        <f t="shared" si="9"/>
        <v>100</v>
      </c>
      <c r="T43" s="501" t="s">
        <v>1130</v>
      </c>
      <c r="U43" s="502">
        <f t="shared" si="10"/>
        <v>100</v>
      </c>
      <c r="V43" s="501" t="s">
        <v>1130</v>
      </c>
      <c r="W43" s="502">
        <f t="shared" si="11"/>
        <v>100</v>
      </c>
      <c r="X43" s="496"/>
      <c r="Y43" s="1750"/>
      <c r="Z43" s="495">
        <f t="shared" si="12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50"/>
      <c r="Q44" s="445">
        <f t="shared" si="13"/>
        <v>111</v>
      </c>
      <c r="R44" s="501" t="s">
        <v>1130</v>
      </c>
      <c r="S44" s="502">
        <f t="shared" si="9"/>
        <v>100</v>
      </c>
      <c r="T44" s="501" t="s">
        <v>1130</v>
      </c>
      <c r="U44" s="502">
        <f t="shared" si="10"/>
        <v>100</v>
      </c>
      <c r="V44" s="501" t="s">
        <v>1130</v>
      </c>
      <c r="W44" s="502">
        <f t="shared" si="11"/>
        <v>100</v>
      </c>
      <c r="X44" s="496"/>
      <c r="Y44" s="1750"/>
      <c r="Z44" s="495">
        <f t="shared" si="12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50"/>
      <c r="Q45" s="445">
        <f t="shared" si="13"/>
        <v>0</v>
      </c>
      <c r="R45" s="503" t="s">
        <v>1130</v>
      </c>
      <c r="S45" s="504">
        <f t="shared" si="9"/>
        <v>100</v>
      </c>
      <c r="T45" s="503" t="s">
        <v>1130</v>
      </c>
      <c r="U45" s="504">
        <f t="shared" si="10"/>
        <v>100</v>
      </c>
      <c r="V45" s="503" t="s">
        <v>1130</v>
      </c>
      <c r="W45" s="504">
        <f t="shared" si="11"/>
        <v>100</v>
      </c>
      <c r="X45" s="505"/>
      <c r="Y45" s="1750"/>
      <c r="Z45" s="510">
        <f t="shared" si="12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5" t="str">
        <f>A46</f>
        <v>成交单价</v>
      </c>
      <c r="Q46" s="1745"/>
      <c r="R46" s="1746">
        <f>E46</f>
        <v>0</v>
      </c>
      <c r="S46" s="1746"/>
      <c r="T46" s="1746">
        <f>G46</f>
        <v>0</v>
      </c>
      <c r="U46" s="1746"/>
      <c r="V46" s="1746">
        <f>I46</f>
        <v>0</v>
      </c>
      <c r="W46" s="1746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5" t="str">
        <f>A47</f>
        <v>比较价值（元/平方米）</v>
      </c>
      <c r="Q47" s="1745"/>
      <c r="R47" s="1752" t="e">
        <f>ROUND(PRODUCT(R46,AA7:AA45),0)</f>
        <v>#DIV/0!</v>
      </c>
      <c r="S47" s="1752"/>
      <c r="T47" s="1752" t="e">
        <f>ROUND(PRODUCT(T46,AB7:AB45),0)</f>
        <v>#DIV/0!</v>
      </c>
      <c r="U47" s="1752"/>
      <c r="V47" s="1752" t="e">
        <f>ROUND(PRODUCT(V46,AC7:AC45),0)</f>
        <v>#DIV/0!</v>
      </c>
      <c r="W47" s="1752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53" t="str">
        <f>A48</f>
        <v>估价对象比较价值（单价内涵，元/平方米）</v>
      </c>
      <c r="Q48" s="1754"/>
      <c r="R48" s="1755" t="e">
        <f>ROUND(AVERAGE(R47:V47),0)</f>
        <v>#DIV/0!</v>
      </c>
      <c r="S48" s="1755"/>
      <c r="T48" s="1755"/>
      <c r="U48" s="1755"/>
      <c r="V48" s="1755"/>
      <c r="W48" s="1755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2001-10-1</v>
      </c>
      <c r="D56" s="408">
        <f>EDATE(C56,-3)</f>
        <v>37073</v>
      </c>
      <c r="E56" s="408">
        <f t="shared" ref="E56:O56" si="14">EDATE(D56,-3)</f>
        <v>36982</v>
      </c>
      <c r="F56" s="408">
        <f t="shared" si="14"/>
        <v>36892</v>
      </c>
      <c r="G56" s="408">
        <f t="shared" si="14"/>
        <v>36800</v>
      </c>
      <c r="H56" s="408">
        <f t="shared" si="14"/>
        <v>36708</v>
      </c>
      <c r="I56" s="408">
        <f t="shared" si="14"/>
        <v>36617</v>
      </c>
      <c r="J56" s="408">
        <f t="shared" si="14"/>
        <v>36526</v>
      </c>
      <c r="K56" s="408">
        <f t="shared" si="14"/>
        <v>36434</v>
      </c>
      <c r="L56" s="408">
        <f t="shared" si="14"/>
        <v>36342</v>
      </c>
      <c r="M56" s="408">
        <f t="shared" si="14"/>
        <v>36251</v>
      </c>
      <c r="N56" s="408">
        <f t="shared" si="14"/>
        <v>36161</v>
      </c>
      <c r="O56" s="408">
        <f t="shared" si="14"/>
        <v>36069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2001-4</v>
      </c>
      <c r="D58" s="415" t="str">
        <f t="shared" ref="D58:O58" si="15">YEAR(D56)&amp;"-"&amp;ROUNDUP(MONTH(D56)/3,0)</f>
        <v>2001-3</v>
      </c>
      <c r="E58" s="415" t="str">
        <f t="shared" si="15"/>
        <v>2001-2</v>
      </c>
      <c r="F58" s="415" t="str">
        <f t="shared" si="15"/>
        <v>2001-1</v>
      </c>
      <c r="G58" s="415" t="str">
        <f t="shared" si="15"/>
        <v>2000-4</v>
      </c>
      <c r="H58" s="415" t="str">
        <f t="shared" si="15"/>
        <v>2000-3</v>
      </c>
      <c r="I58" s="415" t="str">
        <f t="shared" si="15"/>
        <v>2000-2</v>
      </c>
      <c r="J58" s="415" t="str">
        <f t="shared" si="15"/>
        <v>2000-1</v>
      </c>
      <c r="K58" s="415" t="str">
        <f t="shared" si="15"/>
        <v>1999-4</v>
      </c>
      <c r="L58" s="415" t="str">
        <f t="shared" si="15"/>
        <v>1999-3</v>
      </c>
      <c r="M58" s="415" t="str">
        <f t="shared" si="15"/>
        <v>1999-2</v>
      </c>
      <c r="N58" s="415" t="str">
        <f t="shared" si="15"/>
        <v>1999-1</v>
      </c>
      <c r="O58" s="415" t="str">
        <f t="shared" si="15"/>
        <v>1998-4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6">D68&amp;"（含）"&amp;"-"&amp;E68</f>
        <v>（含）-</v>
      </c>
      <c r="E67" s="517" t="str">
        <f t="shared" si="16"/>
        <v>（含）-</v>
      </c>
      <c r="F67" s="517" t="str">
        <f t="shared" si="16"/>
        <v>（含）-</v>
      </c>
      <c r="G67" s="517" t="str">
        <f t="shared" si="16"/>
        <v>（含）-</v>
      </c>
      <c r="H67" s="517" t="str">
        <f t="shared" si="16"/>
        <v>（含）-</v>
      </c>
      <c r="I67" s="517" t="str">
        <f t="shared" si="16"/>
        <v>（含）-</v>
      </c>
      <c r="J67" s="517" t="str">
        <f t="shared" si="16"/>
        <v>（含）-</v>
      </c>
      <c r="K67" s="517" t="str">
        <f t="shared" si="16"/>
        <v>（含）-</v>
      </c>
      <c r="L67" s="517" t="str">
        <f t="shared" si="16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7">IF($B$46="单位面积地价",C69+$K11,C69-$K11)</f>
        <v>100</v>
      </c>
      <c r="E69" s="515">
        <f t="shared" si="17"/>
        <v>100</v>
      </c>
      <c r="F69" s="515">
        <f t="shared" si="17"/>
        <v>100</v>
      </c>
      <c r="G69" s="515">
        <f t="shared" si="17"/>
        <v>100</v>
      </c>
      <c r="H69" s="515">
        <f t="shared" si="17"/>
        <v>100</v>
      </c>
      <c r="I69" s="515">
        <f t="shared" si="17"/>
        <v>100</v>
      </c>
      <c r="J69" s="515">
        <f t="shared" si="17"/>
        <v>100</v>
      </c>
      <c r="K69" s="515">
        <f t="shared" si="17"/>
        <v>100</v>
      </c>
      <c r="L69" s="515">
        <f t="shared" si="17"/>
        <v>100</v>
      </c>
      <c r="M69" s="515">
        <f t="shared" si="17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8">C71-$K12</f>
        <v>100</v>
      </c>
      <c r="E71" s="515">
        <f t="shared" si="18"/>
        <v>100</v>
      </c>
      <c r="F71" s="515">
        <f t="shared" si="18"/>
        <v>100</v>
      </c>
      <c r="G71" s="515">
        <f t="shared" si="18"/>
        <v>100</v>
      </c>
      <c r="H71" s="515">
        <f t="shared" si="18"/>
        <v>100</v>
      </c>
      <c r="I71" s="515">
        <f t="shared" si="18"/>
        <v>100</v>
      </c>
      <c r="J71" s="515">
        <f t="shared" si="18"/>
        <v>100</v>
      </c>
      <c r="K71" s="515">
        <f t="shared" si="18"/>
        <v>100</v>
      </c>
      <c r="L71" s="515">
        <f t="shared" si="18"/>
        <v>100</v>
      </c>
      <c r="M71" s="515">
        <f t="shared" si="18"/>
        <v>100</v>
      </c>
      <c r="N71" s="515">
        <f t="shared" si="18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19">C93-$K31</f>
        <v>100</v>
      </c>
      <c r="E93" s="515">
        <f t="shared" si="19"/>
        <v>100</v>
      </c>
      <c r="F93" s="515">
        <f t="shared" si="19"/>
        <v>100</v>
      </c>
      <c r="G93" s="515">
        <f t="shared" si="19"/>
        <v>100</v>
      </c>
      <c r="H93" s="515">
        <f t="shared" si="19"/>
        <v>100</v>
      </c>
      <c r="I93" s="515">
        <f t="shared" si="19"/>
        <v>100</v>
      </c>
      <c r="J93" s="515">
        <f t="shared" si="19"/>
        <v>100</v>
      </c>
      <c r="K93" s="515">
        <f t="shared" si="19"/>
        <v>100</v>
      </c>
      <c r="L93" s="515">
        <f t="shared" si="19"/>
        <v>100</v>
      </c>
      <c r="M93" s="515">
        <f t="shared" si="19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0">C95-$K32</f>
        <v>100</v>
      </c>
      <c r="E95" s="515">
        <f t="shared" si="20"/>
        <v>100</v>
      </c>
      <c r="F95" s="515">
        <f t="shared" si="20"/>
        <v>100</v>
      </c>
      <c r="G95" s="515">
        <f t="shared" si="20"/>
        <v>100</v>
      </c>
      <c r="H95" s="515">
        <f t="shared" si="20"/>
        <v>100</v>
      </c>
      <c r="I95" s="515">
        <f t="shared" si="20"/>
        <v>100</v>
      </c>
      <c r="J95" s="515">
        <f t="shared" si="20"/>
        <v>100</v>
      </c>
      <c r="K95" s="515">
        <f t="shared" si="20"/>
        <v>100</v>
      </c>
      <c r="L95" s="515">
        <f t="shared" si="20"/>
        <v>100</v>
      </c>
      <c r="M95" s="515">
        <f t="shared" si="20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1">C97-$K34</f>
        <v>100</v>
      </c>
      <c r="E97" s="515">
        <f t="shared" si="21"/>
        <v>100</v>
      </c>
      <c r="F97" s="515">
        <f t="shared" si="21"/>
        <v>100</v>
      </c>
      <c r="G97" s="515">
        <f t="shared" si="21"/>
        <v>100</v>
      </c>
      <c r="H97" s="515">
        <f t="shared" si="21"/>
        <v>100</v>
      </c>
      <c r="I97" s="515">
        <f t="shared" si="21"/>
        <v>100</v>
      </c>
      <c r="J97" s="515">
        <f t="shared" si="21"/>
        <v>100</v>
      </c>
      <c r="K97" s="515">
        <f t="shared" si="21"/>
        <v>100</v>
      </c>
      <c r="L97" s="515">
        <f t="shared" si="21"/>
        <v>100</v>
      </c>
      <c r="M97" s="515">
        <f t="shared" si="21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2">C105&amp;"(含)"&amp;"-"&amp;D105</f>
        <v>0(含)-10000</v>
      </c>
      <c r="D104" s="517" t="str">
        <f t="shared" si="22"/>
        <v>10000(含)-20000</v>
      </c>
      <c r="E104" s="517" t="str">
        <f t="shared" si="22"/>
        <v>20000(含)-30000</v>
      </c>
      <c r="F104" s="517" t="str">
        <f t="shared" si="22"/>
        <v>30000(含)-50000</v>
      </c>
      <c r="G104" s="517" t="str">
        <f t="shared" si="22"/>
        <v>50000(含)-100000</v>
      </c>
      <c r="H104" s="557" t="str">
        <f t="shared" si="22"/>
        <v>100000(含)-150000</v>
      </c>
      <c r="I104" s="557" t="str">
        <f t="shared" si="22"/>
        <v>150000(含)-200000</v>
      </c>
      <c r="J104" s="557" t="str">
        <f t="shared" si="22"/>
        <v>200000(含)-300000</v>
      </c>
      <c r="K104" s="616" t="str">
        <f t="shared" si="22"/>
        <v>300000(含)-500000</v>
      </c>
      <c r="L104" s="617" t="str">
        <f t="shared" si="22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3">C108-$K39</f>
        <v>100</v>
      </c>
      <c r="E108" s="515">
        <f t="shared" si="23"/>
        <v>100</v>
      </c>
      <c r="F108" s="515">
        <f t="shared" si="23"/>
        <v>100</v>
      </c>
      <c r="G108" s="515">
        <f t="shared" si="23"/>
        <v>100</v>
      </c>
      <c r="H108" s="430">
        <f t="shared" si="23"/>
        <v>100</v>
      </c>
      <c r="I108" s="430">
        <f t="shared" si="23"/>
        <v>100</v>
      </c>
      <c r="J108" s="430">
        <f t="shared" si="23"/>
        <v>100</v>
      </c>
      <c r="K108" s="430">
        <f t="shared" si="23"/>
        <v>100</v>
      </c>
      <c r="L108" s="430">
        <f t="shared" si="23"/>
        <v>100</v>
      </c>
      <c r="M108" s="625">
        <f t="shared" si="23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4">C110-$K40</f>
        <v>100</v>
      </c>
      <c r="E110" s="515">
        <f t="shared" si="24"/>
        <v>100</v>
      </c>
      <c r="F110" s="515">
        <f t="shared" si="24"/>
        <v>100</v>
      </c>
      <c r="G110" s="515">
        <f t="shared" si="24"/>
        <v>100</v>
      </c>
      <c r="H110" s="430">
        <f t="shared" si="24"/>
        <v>100</v>
      </c>
      <c r="I110" s="430">
        <f t="shared" si="24"/>
        <v>100</v>
      </c>
      <c r="J110" s="430">
        <f t="shared" si="24"/>
        <v>100</v>
      </c>
      <c r="K110" s="430">
        <f t="shared" si="24"/>
        <v>100</v>
      </c>
      <c r="L110" s="430">
        <f t="shared" si="24"/>
        <v>100</v>
      </c>
      <c r="M110" s="625">
        <f t="shared" si="24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5">C112-$K41</f>
        <v>100</v>
      </c>
      <c r="E112" s="515">
        <f t="shared" si="25"/>
        <v>100</v>
      </c>
      <c r="F112" s="515">
        <f t="shared" si="25"/>
        <v>100</v>
      </c>
      <c r="G112" s="515">
        <f t="shared" si="25"/>
        <v>100</v>
      </c>
      <c r="H112" s="430">
        <f t="shared" si="25"/>
        <v>100</v>
      </c>
      <c r="I112" s="430">
        <f t="shared" si="25"/>
        <v>100</v>
      </c>
      <c r="J112" s="430">
        <f t="shared" si="25"/>
        <v>100</v>
      </c>
      <c r="K112" s="430">
        <f t="shared" si="25"/>
        <v>100</v>
      </c>
      <c r="L112" s="430">
        <f t="shared" si="25"/>
        <v>100</v>
      </c>
      <c r="M112" s="625">
        <f t="shared" si="25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6">C114-$K42</f>
        <v>100</v>
      </c>
      <c r="E114" s="515">
        <f t="shared" si="26"/>
        <v>100</v>
      </c>
      <c r="F114" s="515">
        <f t="shared" si="26"/>
        <v>100</v>
      </c>
      <c r="G114" s="515">
        <f t="shared" si="26"/>
        <v>100</v>
      </c>
      <c r="H114" s="430">
        <f t="shared" si="26"/>
        <v>100</v>
      </c>
      <c r="I114" s="430">
        <f t="shared" si="26"/>
        <v>100</v>
      </c>
      <c r="J114" s="430">
        <f t="shared" si="26"/>
        <v>100</v>
      </c>
      <c r="K114" s="430">
        <f t="shared" si="26"/>
        <v>100</v>
      </c>
      <c r="L114" s="430">
        <f t="shared" si="26"/>
        <v>100</v>
      </c>
      <c r="M114" s="625">
        <f t="shared" si="26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100-000000000000}">
      <formula1>套综交易情况</formula1>
    </dataValidation>
    <dataValidation type="list" allowBlank="1" showInputMessage="1" showErrorMessage="1" sqref="C39 E39 G39 I39" xr:uid="{00000000-0002-0000-1100-000001000000}">
      <formula1>套综宗地形状</formula1>
    </dataValidation>
    <dataValidation type="list" allowBlank="1" showInputMessage="1" showErrorMessage="1" sqref="E9 G9 I9" xr:uid="{00000000-0002-0000-1100-000002000000}">
      <formula1>套综用途</formula1>
    </dataValidation>
    <dataValidation type="list" allowBlank="1" showInputMessage="1" showErrorMessage="1" sqref="C20 E20 G20 I20" xr:uid="{00000000-0002-0000-1100-000003000000}">
      <formula1>办公集聚程度</formula1>
    </dataValidation>
    <dataValidation type="list" allowBlank="1" showInputMessage="1" showErrorMessage="1" sqref="B11" xr:uid="{00000000-0002-0000-1100-000004000000}">
      <formula1>"容积率,设定容积率"</formula1>
    </dataValidation>
    <dataValidation type="list" allowBlank="1" showInputMessage="1" showErrorMessage="1" sqref="C16 E16 G16 I16" xr:uid="{00000000-0002-0000-1100-000005000000}">
      <formula1>居住社区成熟度</formula1>
    </dataValidation>
    <dataValidation type="list" allowBlank="1" showInputMessage="1" showErrorMessage="1" sqref="C18 E18 G18 I18" xr:uid="{00000000-0002-0000-1100-000006000000}">
      <formula1>商业繁华度</formula1>
    </dataValidation>
    <dataValidation type="list" allowBlank="1" showInputMessage="1" showErrorMessage="1" sqref="E12 G12 I12" xr:uid="{00000000-0002-0000-1100-000007000000}">
      <formula1>土地级别</formula1>
    </dataValidation>
    <dataValidation type="list" allowBlank="1" showInputMessage="1" showErrorMessage="1" sqref="C22 E22 G22 I22" xr:uid="{00000000-0002-0000-1100-000008000000}">
      <formula1>交通便捷度</formula1>
    </dataValidation>
    <dataValidation type="list" allowBlank="1" showInputMessage="1" showErrorMessage="1" sqref="C24 E24 G24 I24" xr:uid="{00000000-0002-0000-1100-000009000000}">
      <formula1>区域土地利用方向</formula1>
    </dataValidation>
    <dataValidation type="list" allowBlank="1" showInputMessage="1" showErrorMessage="1" sqref="C42 E42 G42 I42" xr:uid="{00000000-0002-0000-1100-00000A000000}">
      <formula1>套综工程地质条件</formula1>
    </dataValidation>
    <dataValidation type="list" allowBlank="1" showInputMessage="1" showErrorMessage="1" sqref="C25" xr:uid="{00000000-0002-0000-1100-00000B000000}">
      <formula1>住宅朝向</formula1>
    </dataValidation>
    <dataValidation type="list" allowBlank="1" showInputMessage="1" showErrorMessage="1" sqref="C26 E26 G26 I26" xr:uid="{00000000-0002-0000-1100-00000C000000}">
      <formula1>环境</formula1>
    </dataValidation>
    <dataValidation type="list" allowBlank="1" showInputMessage="1" showErrorMessage="1" sqref="C28 E28 G28 I28" xr:uid="{00000000-0002-0000-1100-00000D000000}">
      <formula1>公共配套设施</formula1>
    </dataValidation>
    <dataValidation type="list" allowBlank="1" showInputMessage="1" showErrorMessage="1" sqref="C30 E30 G30 I30" xr:uid="{00000000-0002-0000-1100-00000E000000}">
      <formula1>基础设施水平</formula1>
    </dataValidation>
    <dataValidation type="list" allowBlank="1" showInputMessage="1" showErrorMessage="1" sqref="C31 E31 G31 I31" xr:uid="{00000000-0002-0000-1100-00000F000000}">
      <formula1>临街状况</formula1>
    </dataValidation>
    <dataValidation type="list" allowBlank="1" showInputMessage="1" showErrorMessage="1" sqref="C33 E33 G33 I33" xr:uid="{00000000-0002-0000-1100-000010000000}">
      <formula1>套综道路等级</formula1>
    </dataValidation>
    <dataValidation type="list" allowBlank="1" showInputMessage="1" showErrorMessage="1" sqref="C34 E34 G34 I34" xr:uid="{00000000-0002-0000-1100-000011000000}">
      <formula1>套综土地级别</formula1>
    </dataValidation>
    <dataValidation type="list" allowBlank="1" showInputMessage="1" showErrorMessage="1" sqref="C37 E37 G37 I37 C45 E45 G45 I45" xr:uid="{00000000-0002-0000-1100-000012000000}">
      <formula1>五等判定</formula1>
    </dataValidation>
    <dataValidation type="list" allowBlank="1" showInputMessage="1" showErrorMessage="1" sqref="C40 E40 G40 I40" xr:uid="{00000000-0002-0000-1100-000013000000}">
      <formula1>套综临街宽度及深度</formula1>
    </dataValidation>
    <dataValidation type="list" allowBlank="1" showInputMessage="1" showErrorMessage="1" sqref="C41 E41 G41 I41" xr:uid="{00000000-0002-0000-1100-000014000000}">
      <formula1>套综宗地内开发程度</formula1>
    </dataValidation>
    <dataValidation type="list" allowBlank="1" showInputMessage="1" showErrorMessage="1" sqref="B46" xr:uid="{00000000-0002-0000-11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3"/>
  <sheetViews>
    <sheetView zoomScaleSheetLayoutView="90" workbookViewId="0">
      <selection activeCell="D37" sqref="D37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37194</v>
      </c>
      <c r="D1" s="195" t="str">
        <f>主表!A23</f>
        <v>建设期</v>
      </c>
      <c r="E1" s="195">
        <f>主表!B23</f>
        <v>1</v>
      </c>
      <c r="F1" s="195" t="s">
        <v>1182</v>
      </c>
      <c r="G1" s="196">
        <f ca="1">INDIRECT("d"&amp;$K$1)/100</f>
        <v>5.8499999999999996E-2</v>
      </c>
      <c r="H1" s="195" t="s">
        <v>1183</v>
      </c>
      <c r="I1" s="196">
        <f ca="1">SUMIF(F4:F8,E1,G4:G8)/100</f>
        <v>2.2499999999999999E-2</v>
      </c>
      <c r="J1" s="237">
        <f>IF(C1&gt;C14,0,MATCH(C1,C$14:C$68,-1))+IF(SUMIF(C14:C68,C1,D14:D68)=0,14,13)</f>
        <v>53</v>
      </c>
      <c r="K1" s="237">
        <f ca="1">MATCH(E1,C4:C8,1)+IF(SUMIF(C4:C8,E1,D4:D8)=0,3,2)</f>
        <v>5</v>
      </c>
      <c r="L1" s="237">
        <f>IF(C1&gt;M14,0,MATCH(C1,M$14:M$52,-1))+IF(SUMIF(M14:M52,C1,N14:N52)=0,14,13)</f>
        <v>41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37194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53</v>
      </c>
      <c r="K2" s="237">
        <f ca="1">MATCH(E2,C4:C8,1)+IF(SUMIF(C4:C8,E2,D4:D8)=0,3,2)</f>
        <v>3</v>
      </c>
      <c r="L2" s="237">
        <f>IF(C2&gt;M14,0,MATCH(C2,M$14:M$52,-1))+IF(SUMIF(M14:M52,C2,N14:N52)=0,14,13)</f>
        <v>41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5.9400000000000001E-2</v>
      </c>
      <c r="H3" s="203" t="s">
        <v>1183</v>
      </c>
      <c r="I3" s="204">
        <f ca="1">SUMIF(F4:F8,E3,H4:H8)/100</f>
        <v>2.7000000000000003E-2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5.58</v>
      </c>
      <c r="E4" s="207">
        <f ca="1">INDIRECT("d"&amp;$J$2)</f>
        <v>5.58</v>
      </c>
      <c r="F4" s="206">
        <v>0.5</v>
      </c>
      <c r="G4" s="208">
        <f ca="1">INDIRECT("p"&amp;$L$1)</f>
        <v>2.16</v>
      </c>
      <c r="H4" s="208">
        <f ca="1">INDIRECT("p"&amp;$L$2)</f>
        <v>2.16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5.85</v>
      </c>
      <c r="E5" s="211">
        <f ca="1">INDIRECT("e"&amp;$J$2)</f>
        <v>5.85</v>
      </c>
      <c r="F5" s="210">
        <v>1</v>
      </c>
      <c r="G5" s="195">
        <f ca="1">INDIRECT("q"&amp;$L$1)</f>
        <v>2.25</v>
      </c>
      <c r="H5" s="195">
        <f ca="1">INDIRECT("q"&amp;$L$2)</f>
        <v>2.25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5.94</v>
      </c>
      <c r="E6" s="211">
        <f ca="1">INDIRECT("f"&amp;$J$2)</f>
        <v>5.94</v>
      </c>
      <c r="F6" s="210">
        <v>2</v>
      </c>
      <c r="G6" s="195">
        <f ca="1">INDIRECT("r"&amp;$L$1)</f>
        <v>2.4300000000000002</v>
      </c>
      <c r="H6" s="195">
        <f ca="1">INDIRECT("r"&amp;$L$2)</f>
        <v>2.4300000000000002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6.03</v>
      </c>
      <c r="E7" s="211">
        <f ca="1">INDIRECT("g"&amp;$J$2)</f>
        <v>6.03</v>
      </c>
      <c r="F7" s="210">
        <v>3</v>
      </c>
      <c r="G7" s="195">
        <f ca="1">INDIRECT("s"&amp;$L$1)</f>
        <v>2.7</v>
      </c>
      <c r="H7" s="195">
        <f ca="1">INDIRECT("s"&amp;$L$2)</f>
        <v>2.7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6.21</v>
      </c>
      <c r="E8" s="211">
        <f ca="1">INDIRECT("h"&amp;$J$2)</f>
        <v>6.21</v>
      </c>
      <c r="F8" s="210">
        <v>5</v>
      </c>
      <c r="G8" s="195">
        <f ca="1">INDIRECT("t"&amp;$L$1)</f>
        <v>2.88</v>
      </c>
      <c r="H8" s="195">
        <f ca="1">INDIRECT("t"&amp;$L$2)</f>
        <v>2.88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>D15</f>
        <v>3.7</v>
      </c>
      <c r="F15" s="229">
        <f>D15</f>
        <v>3.7</v>
      </c>
      <c r="G15" s="229">
        <f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>D16</f>
        <v>3.7</v>
      </c>
      <c r="F16" s="229">
        <f>D16</f>
        <v>3.7</v>
      </c>
      <c r="G16" s="229">
        <f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1" customWidth="1"/>
    <col min="2" max="2" width="18.625" style="1602" customWidth="1"/>
    <col min="3" max="3" width="13" style="1022" customWidth="1"/>
    <col min="4" max="4" width="5.75" style="1603" customWidth="1"/>
    <col min="5" max="5" width="7.125" style="1603" customWidth="1"/>
    <col min="6" max="6" width="10.625" style="1603" customWidth="1"/>
    <col min="7" max="7" width="7.5" style="1603" customWidth="1"/>
    <col min="8" max="8" width="9" style="1022" customWidth="1"/>
    <col min="9" max="9" width="11.625" style="1022" customWidth="1"/>
    <col min="10" max="10" width="9" style="1022" customWidth="1"/>
    <col min="11" max="17" width="9" style="1603" customWidth="1"/>
    <col min="18" max="18" width="9" style="1604" customWidth="1"/>
    <col min="19" max="19" width="9" style="1603" customWidth="1"/>
    <col min="20" max="25" width="9" style="1022" customWidth="1"/>
    <col min="26" max="16384" width="9" style="1602"/>
  </cols>
  <sheetData>
    <row r="1" spans="1:25" s="1600" customFormat="1" ht="27">
      <c r="A1" s="1605" t="s">
        <v>23</v>
      </c>
      <c r="B1" s="1606" t="s">
        <v>24</v>
      </c>
      <c r="C1" s="1607" t="s">
        <v>25</v>
      </c>
      <c r="D1" s="1608" t="s">
        <v>26</v>
      </c>
      <c r="E1" s="1608" t="s">
        <v>27</v>
      </c>
      <c r="F1" s="1608" t="s">
        <v>28</v>
      </c>
      <c r="G1" s="1608" t="s">
        <v>29</v>
      </c>
      <c r="H1" s="1608" t="s">
        <v>30</v>
      </c>
      <c r="I1" s="1608" t="s">
        <v>31</v>
      </c>
      <c r="J1" s="1608" t="s">
        <v>32</v>
      </c>
      <c r="K1" s="1608" t="s">
        <v>33</v>
      </c>
      <c r="L1" s="1608" t="s">
        <v>34</v>
      </c>
      <c r="M1" s="1608" t="s">
        <v>35</v>
      </c>
      <c r="N1" s="1608" t="s">
        <v>36</v>
      </c>
      <c r="O1" s="1608" t="s">
        <v>37</v>
      </c>
      <c r="P1" s="1618" t="s">
        <v>38</v>
      </c>
      <c r="Q1" s="1618" t="s">
        <v>39</v>
      </c>
      <c r="R1" s="1619" t="s">
        <v>40</v>
      </c>
      <c r="S1" s="1608" t="s">
        <v>41</v>
      </c>
      <c r="T1" s="600" t="s">
        <v>42</v>
      </c>
      <c r="U1" s="1608" t="s">
        <v>43</v>
      </c>
      <c r="V1" s="1608" t="s">
        <v>44</v>
      </c>
      <c r="W1" s="1619" t="s">
        <v>45</v>
      </c>
      <c r="X1" s="1619" t="s">
        <v>46</v>
      </c>
      <c r="Y1" s="1619" t="s">
        <v>47</v>
      </c>
    </row>
    <row r="2" spans="1:25">
      <c r="A2" s="1609" t="s">
        <v>48</v>
      </c>
      <c r="B2" s="1609" t="s">
        <v>17</v>
      </c>
      <c r="C2" s="1610" t="s">
        <v>49</v>
      </c>
      <c r="D2" s="1603" t="s">
        <v>50</v>
      </c>
      <c r="E2" s="1603" t="s">
        <v>51</v>
      </c>
      <c r="F2" s="1603" t="s">
        <v>52</v>
      </c>
      <c r="G2" s="1603">
        <v>40</v>
      </c>
      <c r="H2" s="1611" t="s">
        <v>53</v>
      </c>
      <c r="I2" s="1603" t="s">
        <v>54</v>
      </c>
      <c r="J2" s="1603" t="s">
        <v>55</v>
      </c>
      <c r="K2" s="1603" t="s">
        <v>56</v>
      </c>
      <c r="L2" s="1603" t="s">
        <v>56</v>
      </c>
      <c r="M2" s="1603" t="s">
        <v>56</v>
      </c>
      <c r="N2" s="1603" t="s">
        <v>56</v>
      </c>
      <c r="O2" s="1603" t="s">
        <v>56</v>
      </c>
      <c r="P2" s="1603" t="s">
        <v>56</v>
      </c>
      <c r="Q2" s="1603" t="s">
        <v>56</v>
      </c>
      <c r="R2" s="1604" t="s">
        <v>57</v>
      </c>
      <c r="S2" s="1603" t="s">
        <v>56</v>
      </c>
      <c r="T2" s="1603" t="s">
        <v>58</v>
      </c>
      <c r="U2" s="1603" t="s">
        <v>56</v>
      </c>
      <c r="V2" s="1603" t="s">
        <v>59</v>
      </c>
      <c r="W2" s="1603" t="s">
        <v>56</v>
      </c>
      <c r="X2" s="1491" t="s">
        <v>60</v>
      </c>
      <c r="Y2" s="1604" t="s">
        <v>61</v>
      </c>
    </row>
    <row r="3" spans="1:25">
      <c r="A3" s="1609" t="s">
        <v>62</v>
      </c>
      <c r="B3" s="1609" t="s">
        <v>18</v>
      </c>
      <c r="C3" s="1610" t="s">
        <v>63</v>
      </c>
      <c r="D3" s="1603" t="s">
        <v>64</v>
      </c>
      <c r="E3" s="1603" t="s">
        <v>48</v>
      </c>
      <c r="F3" s="1603" t="s">
        <v>65</v>
      </c>
      <c r="G3" s="1603">
        <v>50</v>
      </c>
      <c r="H3" s="1603" t="s">
        <v>65</v>
      </c>
      <c r="I3" s="1603" t="s">
        <v>66</v>
      </c>
      <c r="J3" s="1603" t="s">
        <v>67</v>
      </c>
      <c r="K3" s="1603" t="s">
        <v>68</v>
      </c>
      <c r="L3" s="1603" t="s">
        <v>68</v>
      </c>
      <c r="M3" s="1603" t="s">
        <v>68</v>
      </c>
      <c r="N3" s="1603" t="s">
        <v>68</v>
      </c>
      <c r="O3" s="1603" t="s">
        <v>68</v>
      </c>
      <c r="P3" s="1603" t="s">
        <v>68</v>
      </c>
      <c r="Q3" s="1603" t="s">
        <v>68</v>
      </c>
      <c r="R3" s="1604" t="s">
        <v>69</v>
      </c>
      <c r="S3" s="1603" t="s">
        <v>68</v>
      </c>
      <c r="T3" s="1603" t="s">
        <v>70</v>
      </c>
      <c r="U3" s="1603" t="s">
        <v>68</v>
      </c>
      <c r="V3" s="1603" t="s">
        <v>71</v>
      </c>
      <c r="W3" s="1603" t="s">
        <v>68</v>
      </c>
      <c r="X3" s="1491" t="s">
        <v>72</v>
      </c>
      <c r="Y3" s="1604" t="s">
        <v>73</v>
      </c>
    </row>
    <row r="4" spans="1:25">
      <c r="A4" s="1609" t="s">
        <v>74</v>
      </c>
      <c r="B4" s="1609" t="s">
        <v>19</v>
      </c>
      <c r="C4" s="1610" t="s">
        <v>75</v>
      </c>
      <c r="D4" s="1603" t="s">
        <v>48</v>
      </c>
      <c r="E4" s="1603" t="s">
        <v>76</v>
      </c>
      <c r="F4" s="1603" t="s">
        <v>77</v>
      </c>
      <c r="G4" s="1603">
        <v>70</v>
      </c>
      <c r="H4" s="1611" t="s">
        <v>78</v>
      </c>
      <c r="I4" s="1603" t="s">
        <v>79</v>
      </c>
      <c r="K4" s="1603" t="s">
        <v>80</v>
      </c>
      <c r="L4" s="1603" t="s">
        <v>80</v>
      </c>
      <c r="M4" s="1603" t="s">
        <v>80</v>
      </c>
      <c r="N4" s="1603" t="s">
        <v>80</v>
      </c>
      <c r="O4" s="1603" t="s">
        <v>80</v>
      </c>
      <c r="P4" s="1603" t="s">
        <v>80</v>
      </c>
      <c r="Q4" s="1603" t="s">
        <v>80</v>
      </c>
      <c r="R4" s="1604" t="s">
        <v>81</v>
      </c>
      <c r="S4" s="1603" t="s">
        <v>80</v>
      </c>
      <c r="T4" s="1603" t="s">
        <v>82</v>
      </c>
      <c r="U4" s="1603" t="s">
        <v>80</v>
      </c>
      <c r="W4" s="1603" t="s">
        <v>80</v>
      </c>
      <c r="X4" s="1491" t="s">
        <v>83</v>
      </c>
      <c r="Y4" s="1604" t="s">
        <v>84</v>
      </c>
    </row>
    <row r="5" spans="1:25">
      <c r="A5" s="1609" t="s">
        <v>85</v>
      </c>
      <c r="B5" s="1612" t="s">
        <v>86</v>
      </c>
      <c r="C5" s="1610" t="s">
        <v>87</v>
      </c>
      <c r="F5" s="1603" t="s">
        <v>88</v>
      </c>
      <c r="H5" s="1603" t="s">
        <v>88</v>
      </c>
      <c r="I5" s="1603" t="s">
        <v>89</v>
      </c>
      <c r="K5" s="1603" t="s">
        <v>90</v>
      </c>
      <c r="L5" s="1603" t="s">
        <v>90</v>
      </c>
      <c r="M5" s="1603" t="s">
        <v>90</v>
      </c>
      <c r="N5" s="1603" t="s">
        <v>90</v>
      </c>
      <c r="O5" s="1603" t="s">
        <v>90</v>
      </c>
      <c r="P5" s="1603" t="s">
        <v>90</v>
      </c>
      <c r="Q5" s="1603" t="s">
        <v>90</v>
      </c>
      <c r="R5" s="1604" t="s">
        <v>91</v>
      </c>
      <c r="S5" s="1603" t="s">
        <v>90</v>
      </c>
      <c r="T5" s="1603" t="s">
        <v>92</v>
      </c>
      <c r="U5" s="1603" t="s">
        <v>90</v>
      </c>
      <c r="W5" s="1603" t="s">
        <v>90</v>
      </c>
      <c r="X5" s="1491" t="s">
        <v>93</v>
      </c>
      <c r="Y5" s="1617"/>
    </row>
    <row r="6" spans="1:25">
      <c r="A6" s="1609" t="s">
        <v>94</v>
      </c>
      <c r="B6" s="1613" t="s">
        <v>95</v>
      </c>
      <c r="C6" s="1614" t="s">
        <v>96</v>
      </c>
      <c r="F6" s="1603" t="s">
        <v>97</v>
      </c>
      <c r="H6" s="1603"/>
      <c r="I6" s="1603" t="s">
        <v>98</v>
      </c>
      <c r="K6" s="1603" t="s">
        <v>99</v>
      </c>
      <c r="L6" s="1603" t="s">
        <v>99</v>
      </c>
      <c r="M6" s="1603" t="s">
        <v>99</v>
      </c>
      <c r="N6" s="1603" t="s">
        <v>99</v>
      </c>
      <c r="O6" s="1603" t="s">
        <v>99</v>
      </c>
      <c r="P6" s="1603" t="s">
        <v>99</v>
      </c>
      <c r="Q6" s="1603" t="s">
        <v>99</v>
      </c>
      <c r="R6" s="1604" t="s">
        <v>100</v>
      </c>
      <c r="S6" s="1603" t="s">
        <v>99</v>
      </c>
      <c r="T6" s="1603"/>
      <c r="U6" s="1603" t="s">
        <v>99</v>
      </c>
      <c r="W6" s="1603" t="s">
        <v>99</v>
      </c>
      <c r="X6" s="1491" t="s">
        <v>101</v>
      </c>
      <c r="Y6" s="1617"/>
    </row>
    <row r="7" spans="1:25">
      <c r="A7" s="1609" t="s">
        <v>102</v>
      </c>
      <c r="B7" s="1613" t="s">
        <v>95</v>
      </c>
      <c r="C7" s="1610" t="s">
        <v>103</v>
      </c>
      <c r="F7" s="1603" t="s">
        <v>104</v>
      </c>
      <c r="H7" s="1603"/>
      <c r="I7" s="1603" t="s">
        <v>105</v>
      </c>
      <c r="X7" s="1491" t="s">
        <v>106</v>
      </c>
    </row>
    <row r="8" spans="1:25">
      <c r="A8" s="1609" t="s">
        <v>107</v>
      </c>
      <c r="B8" s="1613" t="s">
        <v>95</v>
      </c>
      <c r="C8" s="1610" t="s">
        <v>108</v>
      </c>
      <c r="F8" s="1603" t="s">
        <v>109</v>
      </c>
      <c r="H8" s="1603"/>
      <c r="I8" s="1603" t="s">
        <v>110</v>
      </c>
      <c r="X8" s="1491" t="s">
        <v>111</v>
      </c>
    </row>
    <row r="9" spans="1:25">
      <c r="A9" s="1609" t="s">
        <v>112</v>
      </c>
      <c r="B9" s="1613" t="s">
        <v>95</v>
      </c>
      <c r="C9" s="1610" t="s">
        <v>113</v>
      </c>
      <c r="F9" s="1603" t="s">
        <v>114</v>
      </c>
      <c r="H9" s="1603"/>
    </row>
    <row r="10" spans="1:25">
      <c r="A10" s="1609" t="s">
        <v>115</v>
      </c>
      <c r="B10" s="1613" t="s">
        <v>95</v>
      </c>
      <c r="C10" s="1610" t="s">
        <v>116</v>
      </c>
      <c r="F10" s="1603" t="s">
        <v>48</v>
      </c>
    </row>
    <row r="11" spans="1:25">
      <c r="A11" s="1609" t="s">
        <v>117</v>
      </c>
      <c r="B11" s="1613" t="s">
        <v>95</v>
      </c>
      <c r="C11" s="1610" t="s">
        <v>118</v>
      </c>
    </row>
    <row r="12" spans="1:25">
      <c r="A12" s="1609" t="s">
        <v>119</v>
      </c>
      <c r="B12" s="1613" t="s">
        <v>95</v>
      </c>
      <c r="C12" s="1610" t="s">
        <v>120</v>
      </c>
    </row>
    <row r="13" spans="1:25">
      <c r="A13" s="1609" t="s">
        <v>121</v>
      </c>
      <c r="B13" s="1613" t="s">
        <v>95</v>
      </c>
      <c r="C13" s="1610" t="s">
        <v>122</v>
      </c>
    </row>
    <row r="14" spans="1:25">
      <c r="A14" s="1609" t="s">
        <v>123</v>
      </c>
      <c r="B14" s="1613" t="s">
        <v>95</v>
      </c>
      <c r="C14" s="1615"/>
    </row>
    <row r="15" spans="1:25">
      <c r="A15" s="1609" t="s">
        <v>124</v>
      </c>
      <c r="B15" s="1613" t="s">
        <v>95</v>
      </c>
      <c r="C15" s="1615"/>
    </row>
    <row r="16" spans="1:25">
      <c r="A16" s="1609" t="s">
        <v>125</v>
      </c>
      <c r="B16" s="1613" t="s">
        <v>95</v>
      </c>
      <c r="C16" s="1615"/>
    </row>
    <row r="17" spans="1:3">
      <c r="A17" s="1609" t="s">
        <v>126</v>
      </c>
      <c r="B17" s="1613" t="s">
        <v>95</v>
      </c>
      <c r="C17" s="1615"/>
    </row>
    <row r="18" spans="1:3">
      <c r="A18" s="1609" t="s">
        <v>127</v>
      </c>
      <c r="B18" s="1613" t="s">
        <v>95</v>
      </c>
      <c r="C18" s="1615"/>
    </row>
    <row r="19" spans="1:3">
      <c r="A19" s="1609" t="s">
        <v>128</v>
      </c>
      <c r="B19" s="1613" t="s">
        <v>95</v>
      </c>
      <c r="C19" s="1615"/>
    </row>
    <row r="20" spans="1:3">
      <c r="A20" s="1609" t="s">
        <v>129</v>
      </c>
      <c r="B20" s="1613" t="s">
        <v>95</v>
      </c>
      <c r="C20" s="1615"/>
    </row>
    <row r="21" spans="1:3">
      <c r="A21" s="1609" t="s">
        <v>97</v>
      </c>
      <c r="B21" s="1613" t="s">
        <v>95</v>
      </c>
      <c r="C21" s="1615"/>
    </row>
    <row r="22" spans="1:3">
      <c r="A22" s="1609" t="s">
        <v>130</v>
      </c>
      <c r="B22" s="1613" t="s">
        <v>95</v>
      </c>
      <c r="C22" s="1615"/>
    </row>
    <row r="23" spans="1:3">
      <c r="A23" s="1609" t="s">
        <v>131</v>
      </c>
      <c r="B23" s="1613" t="s">
        <v>95</v>
      </c>
      <c r="C23" s="1615"/>
    </row>
    <row r="24" spans="1:3">
      <c r="A24" s="1609" t="s">
        <v>132</v>
      </c>
      <c r="B24" s="1613" t="s">
        <v>95</v>
      </c>
      <c r="C24" s="1615"/>
    </row>
    <row r="25" spans="1:3">
      <c r="A25" s="1609" t="s">
        <v>133</v>
      </c>
      <c r="B25" s="1613" t="s">
        <v>95</v>
      </c>
      <c r="C25" s="1615"/>
    </row>
    <row r="26" spans="1:3">
      <c r="A26" s="1609" t="s">
        <v>134</v>
      </c>
      <c r="B26" s="1613" t="s">
        <v>95</v>
      </c>
      <c r="C26" s="1615"/>
    </row>
    <row r="27" spans="1:3">
      <c r="A27" s="1613" t="s">
        <v>95</v>
      </c>
      <c r="B27" s="1613" t="s">
        <v>95</v>
      </c>
      <c r="C27" s="1615"/>
    </row>
    <row r="28" spans="1:3">
      <c r="A28" s="1613" t="s">
        <v>95</v>
      </c>
      <c r="B28" s="1613" t="s">
        <v>95</v>
      </c>
      <c r="C28" s="1615"/>
    </row>
    <row r="29" spans="1:3">
      <c r="A29" s="1613" t="s">
        <v>95</v>
      </c>
      <c r="B29" s="1613" t="s">
        <v>95</v>
      </c>
      <c r="C29" s="1615"/>
    </row>
    <row r="30" spans="1:3">
      <c r="A30" s="1613" t="s">
        <v>95</v>
      </c>
      <c r="B30" s="1613" t="s">
        <v>95</v>
      </c>
      <c r="C30" s="1615"/>
    </row>
    <row r="31" spans="1:3">
      <c r="A31" s="1613" t="s">
        <v>95</v>
      </c>
      <c r="B31" s="1613" t="s">
        <v>95</v>
      </c>
      <c r="C31" s="1615"/>
    </row>
    <row r="32" spans="1:3">
      <c r="A32" s="1613" t="s">
        <v>95</v>
      </c>
      <c r="B32" s="1613" t="s">
        <v>95</v>
      </c>
      <c r="C32" s="1615"/>
    </row>
    <row r="33" spans="1:3">
      <c r="A33" s="1613" t="s">
        <v>95</v>
      </c>
      <c r="B33" s="1613" t="s">
        <v>95</v>
      </c>
      <c r="C33" s="1615"/>
    </row>
    <row r="34" spans="1:3">
      <c r="A34" s="1613" t="s">
        <v>95</v>
      </c>
      <c r="B34" s="1613" t="s">
        <v>95</v>
      </c>
      <c r="C34" s="1615"/>
    </row>
    <row r="35" spans="1:3">
      <c r="A35" s="1613" t="s">
        <v>95</v>
      </c>
      <c r="B35" s="1613" t="s">
        <v>95</v>
      </c>
      <c r="C35" s="1615"/>
    </row>
    <row r="36" spans="1:3">
      <c r="A36" s="1613" t="s">
        <v>95</v>
      </c>
      <c r="B36" s="1613" t="s">
        <v>95</v>
      </c>
      <c r="C36" s="1615"/>
    </row>
    <row r="37" spans="1:3">
      <c r="A37" s="1613" t="s">
        <v>95</v>
      </c>
      <c r="B37" s="1613" t="s">
        <v>95</v>
      </c>
      <c r="C37" s="1615"/>
    </row>
    <row r="38" spans="1:3">
      <c r="A38" s="1613" t="s">
        <v>95</v>
      </c>
      <c r="B38" s="1613" t="s">
        <v>95</v>
      </c>
      <c r="C38" s="1615"/>
    </row>
    <row r="39" spans="1:3">
      <c r="A39" s="1613" t="s">
        <v>95</v>
      </c>
      <c r="B39" s="1613" t="s">
        <v>95</v>
      </c>
      <c r="C39" s="1615"/>
    </row>
    <row r="40" spans="1:3">
      <c r="A40" s="1613" t="s">
        <v>95</v>
      </c>
      <c r="B40" s="1613" t="s">
        <v>95</v>
      </c>
      <c r="C40" s="1615"/>
    </row>
    <row r="41" spans="1:3">
      <c r="A41" s="1613" t="s">
        <v>95</v>
      </c>
      <c r="B41" s="1613" t="s">
        <v>95</v>
      </c>
      <c r="C41" s="1615"/>
    </row>
    <row r="42" spans="1:3">
      <c r="A42" s="1613" t="s">
        <v>95</v>
      </c>
      <c r="B42" s="1613" t="s">
        <v>95</v>
      </c>
      <c r="C42" s="1615"/>
    </row>
    <row r="43" spans="1:3">
      <c r="A43" s="1613" t="s">
        <v>95</v>
      </c>
      <c r="B43" s="1613" t="s">
        <v>95</v>
      </c>
      <c r="C43" s="1615"/>
    </row>
    <row r="44" spans="1:3">
      <c r="A44" s="1613" t="s">
        <v>95</v>
      </c>
      <c r="B44" s="1613" t="s">
        <v>95</v>
      </c>
      <c r="C44" s="1615"/>
    </row>
    <row r="45" spans="1:3">
      <c r="A45" s="1613" t="s">
        <v>95</v>
      </c>
      <c r="B45" s="1613" t="s">
        <v>95</v>
      </c>
      <c r="C45" s="1615"/>
    </row>
    <row r="46" spans="1:3">
      <c r="A46" s="1613" t="s">
        <v>95</v>
      </c>
      <c r="B46" s="1613" t="s">
        <v>95</v>
      </c>
      <c r="C46" s="1615"/>
    </row>
    <row r="47" spans="1:3">
      <c r="A47" s="1613" t="s">
        <v>95</v>
      </c>
      <c r="B47" s="1613" t="s">
        <v>95</v>
      </c>
      <c r="C47" s="1615"/>
    </row>
    <row r="48" spans="1:3">
      <c r="A48" s="1613" t="s">
        <v>95</v>
      </c>
      <c r="B48" s="1613" t="s">
        <v>95</v>
      </c>
      <c r="C48" s="1615"/>
    </row>
    <row r="49" spans="1:3">
      <c r="A49" s="1613" t="s">
        <v>95</v>
      </c>
      <c r="B49" s="1613" t="s">
        <v>95</v>
      </c>
      <c r="C49" s="1615"/>
    </row>
    <row r="50" spans="1:3">
      <c r="A50" s="1613" t="s">
        <v>95</v>
      </c>
      <c r="B50" s="1613" t="s">
        <v>95</v>
      </c>
      <c r="C50" s="1615"/>
    </row>
    <row r="51" spans="1:3">
      <c r="A51" s="1616"/>
      <c r="B51" s="1617"/>
      <c r="C51" s="1617"/>
    </row>
    <row r="52" spans="1:3">
      <c r="A52" s="1616"/>
      <c r="B52" s="1617"/>
      <c r="C52" s="1617"/>
    </row>
    <row r="53" spans="1:3">
      <c r="A53" s="1604"/>
      <c r="B53" s="1617"/>
      <c r="C53" s="1617"/>
    </row>
    <row r="54" spans="1:3">
      <c r="A54" s="1604"/>
      <c r="B54" s="1617"/>
      <c r="C54" s="1617"/>
    </row>
    <row r="55" spans="1:3">
      <c r="A55" s="1604"/>
      <c r="B55" s="1617"/>
      <c r="C55" s="1617"/>
    </row>
    <row r="56" spans="1:3">
      <c r="A56" s="1604"/>
      <c r="B56" s="1617"/>
      <c r="C56" s="1617"/>
    </row>
    <row r="57" spans="1:3">
      <c r="A57" s="1604"/>
      <c r="B57" s="1617"/>
      <c r="C57" s="1617"/>
    </row>
    <row r="58" spans="1:3">
      <c r="A58" s="1604"/>
      <c r="B58" s="1617"/>
      <c r="C58" s="1617"/>
    </row>
    <row r="59" spans="1:3">
      <c r="A59" s="1604"/>
      <c r="B59" s="1617"/>
      <c r="C59" s="1617"/>
    </row>
    <row r="60" spans="1:3">
      <c r="A60" s="1604"/>
      <c r="B60" s="1617"/>
      <c r="C60" s="1617"/>
    </row>
    <row r="61" spans="1:3">
      <c r="A61" s="1604"/>
      <c r="B61" s="1617"/>
      <c r="C61" s="1617"/>
    </row>
    <row r="62" spans="1:3">
      <c r="A62" s="1604"/>
      <c r="B62" s="1617"/>
      <c r="C62" s="1617"/>
    </row>
    <row r="63" spans="1:3">
      <c r="A63" s="1604"/>
      <c r="B63" s="1617"/>
      <c r="C63" s="1617"/>
    </row>
    <row r="64" spans="1:3">
      <c r="A64" s="1604"/>
      <c r="B64" s="1617"/>
      <c r="C64" s="1617"/>
    </row>
    <row r="65" spans="1:3">
      <c r="A65" s="1604"/>
      <c r="B65" s="1617"/>
      <c r="C65" s="1617"/>
    </row>
    <row r="66" spans="1:3">
      <c r="A66" s="1604"/>
      <c r="B66" s="1617"/>
      <c r="C66" s="1617"/>
    </row>
    <row r="67" spans="1:3">
      <c r="A67" s="1604"/>
      <c r="B67" s="1617"/>
      <c r="C67" s="1617"/>
    </row>
    <row r="68" spans="1:3">
      <c r="A68" s="1604"/>
      <c r="B68" s="1617"/>
      <c r="C68" s="1617"/>
    </row>
    <row r="69" spans="1:3">
      <c r="A69" s="1604"/>
      <c r="B69" s="1617"/>
      <c r="C69" s="1617"/>
    </row>
    <row r="70" spans="1:3">
      <c r="A70" s="1604"/>
      <c r="B70" s="1617"/>
      <c r="C70" s="1617"/>
    </row>
    <row r="71" spans="1:3">
      <c r="A71" s="1604"/>
      <c r="B71" s="1617"/>
      <c r="C71" s="1617"/>
    </row>
    <row r="72" spans="1:3">
      <c r="A72" s="1604"/>
      <c r="B72" s="1617"/>
      <c r="C72" s="1617"/>
    </row>
    <row r="73" spans="1:3">
      <c r="A73" s="1604"/>
      <c r="B73" s="1617"/>
      <c r="C73" s="1617"/>
    </row>
    <row r="74" spans="1:3">
      <c r="A74" s="1604"/>
      <c r="B74" s="1617"/>
      <c r="C74" s="1617"/>
    </row>
    <row r="75" spans="1:3">
      <c r="A75" s="1604"/>
      <c r="B75" s="1617"/>
      <c r="C75" s="1617"/>
    </row>
    <row r="76" spans="1:3">
      <c r="A76" s="1604"/>
      <c r="B76" s="1617"/>
      <c r="C76" s="1617"/>
    </row>
    <row r="77" spans="1:3">
      <c r="A77" s="1604"/>
      <c r="B77" s="1617"/>
      <c r="C77" s="1617"/>
    </row>
    <row r="78" spans="1:3">
      <c r="A78" s="1604"/>
      <c r="B78" s="1617"/>
      <c r="C78" s="1617"/>
    </row>
    <row r="79" spans="1:3">
      <c r="A79" s="1604"/>
      <c r="B79" s="1617"/>
      <c r="C79" s="1617"/>
    </row>
    <row r="80" spans="1:3">
      <c r="A80" s="1604"/>
      <c r="B80" s="1617"/>
      <c r="C80" s="1617"/>
    </row>
    <row r="81" spans="1:3">
      <c r="A81" s="1604"/>
      <c r="B81" s="1617"/>
      <c r="C81" s="1617"/>
    </row>
    <row r="82" spans="1:3">
      <c r="A82" s="1604"/>
      <c r="B82" s="1617"/>
      <c r="C82" s="1617"/>
    </row>
    <row r="83" spans="1:3">
      <c r="A83" s="1604"/>
      <c r="B83" s="1617"/>
      <c r="C83" s="1617"/>
    </row>
    <row r="84" spans="1:3">
      <c r="A84" s="1604"/>
      <c r="B84" s="1617"/>
      <c r="C84" s="1617"/>
    </row>
    <row r="85" spans="1:3">
      <c r="A85" s="1604"/>
      <c r="B85" s="1617"/>
      <c r="C85" s="1617"/>
    </row>
    <row r="86" spans="1:3">
      <c r="A86" s="1604"/>
      <c r="B86" s="1617"/>
      <c r="C86" s="1617"/>
    </row>
    <row r="87" spans="1:3">
      <c r="A87" s="1604"/>
      <c r="B87" s="1617"/>
      <c r="C87" s="1617"/>
    </row>
    <row r="88" spans="1:3">
      <c r="A88" s="1604"/>
      <c r="B88" s="1617"/>
      <c r="C88" s="1617"/>
    </row>
    <row r="89" spans="1:3">
      <c r="A89" s="1604"/>
      <c r="B89" s="1617"/>
      <c r="C89" s="1617"/>
    </row>
    <row r="90" spans="1:3">
      <c r="A90" s="1604"/>
      <c r="B90" s="1617"/>
      <c r="C90" s="1617"/>
    </row>
    <row r="91" spans="1:3">
      <c r="A91" s="1604"/>
      <c r="B91" s="1617"/>
      <c r="C91" s="1617"/>
    </row>
    <row r="92" spans="1:3">
      <c r="A92" s="1604"/>
      <c r="B92" s="1617"/>
      <c r="C92" s="1617"/>
    </row>
    <row r="93" spans="1:3">
      <c r="A93" s="1604"/>
      <c r="B93" s="1617"/>
      <c r="C93" s="1617"/>
    </row>
    <row r="94" spans="1:3">
      <c r="A94" s="1604"/>
      <c r="B94" s="1617"/>
      <c r="C94" s="1617"/>
    </row>
    <row r="95" spans="1:3">
      <c r="A95" s="1604"/>
      <c r="B95" s="1617"/>
      <c r="C95" s="1617"/>
    </row>
    <row r="96" spans="1:3">
      <c r="A96" s="1604"/>
      <c r="B96" s="1617"/>
      <c r="C96" s="1617"/>
    </row>
    <row r="97" spans="1:3">
      <c r="A97" s="1604"/>
      <c r="B97" s="1617"/>
      <c r="C97" s="1617"/>
    </row>
    <row r="98" spans="1:3">
      <c r="A98" s="1604"/>
      <c r="B98" s="1617"/>
      <c r="C98" s="1617"/>
    </row>
    <row r="99" spans="1:3">
      <c r="A99" s="1604"/>
      <c r="B99" s="1617"/>
      <c r="C99" s="1617"/>
    </row>
    <row r="100" spans="1:3">
      <c r="A100" s="1604"/>
      <c r="B100" s="1617"/>
      <c r="C100" s="1617"/>
    </row>
    <row r="101" spans="1:3">
      <c r="A101" s="1604"/>
      <c r="B101" s="1617"/>
      <c r="C101" s="1617"/>
    </row>
    <row r="102" spans="1:3">
      <c r="A102" s="1604"/>
      <c r="B102" s="1617"/>
      <c r="C102" s="1617"/>
    </row>
    <row r="103" spans="1:3">
      <c r="A103" s="1604"/>
      <c r="B103" s="1617"/>
      <c r="C103" s="1617"/>
    </row>
    <row r="104" spans="1:3">
      <c r="A104" s="1603"/>
      <c r="B104" s="1022"/>
    </row>
    <row r="105" spans="1:3">
      <c r="A105" s="1603"/>
      <c r="B105" s="1022"/>
    </row>
    <row r="106" spans="1:3">
      <c r="A106" s="1603"/>
      <c r="B106" s="1022"/>
    </row>
    <row r="107" spans="1:3">
      <c r="A107" s="1603"/>
      <c r="B107" s="1022"/>
    </row>
    <row r="108" spans="1:3">
      <c r="A108" s="1603"/>
      <c r="B108" s="1022"/>
    </row>
    <row r="109" spans="1:3">
      <c r="A109" s="1603"/>
      <c r="B109" s="1022"/>
    </row>
    <row r="110" spans="1:3">
      <c r="A110" s="1603"/>
      <c r="B110" s="1022"/>
    </row>
    <row r="111" spans="1:3">
      <c r="A111" s="1603"/>
      <c r="B111" s="1022"/>
    </row>
    <row r="112" spans="1:3">
      <c r="A112" s="1603"/>
      <c r="B112" s="1022"/>
    </row>
    <row r="113" spans="1:2">
      <c r="A113" s="1603"/>
      <c r="B113" s="1022"/>
    </row>
    <row r="114" spans="1:2">
      <c r="A114" s="1603"/>
      <c r="B114" s="1022"/>
    </row>
    <row r="115" spans="1:2">
      <c r="A115" s="1603"/>
      <c r="B115" s="1022"/>
    </row>
    <row r="116" spans="1:2">
      <c r="A116" s="1603"/>
      <c r="B116" s="1022"/>
    </row>
    <row r="117" spans="1:2">
      <c r="A117" s="1603"/>
      <c r="B117" s="1022"/>
    </row>
    <row r="118" spans="1:2">
      <c r="A118" s="1603"/>
      <c r="B118" s="1022"/>
    </row>
    <row r="119" spans="1:2">
      <c r="A119" s="1603"/>
      <c r="B119" s="1022"/>
    </row>
    <row r="120" spans="1:2">
      <c r="A120" s="1603"/>
      <c r="B120" s="1022"/>
    </row>
    <row r="121" spans="1:2">
      <c r="A121" s="1603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21"/>
  <sheetViews>
    <sheetView zoomScale="80" zoomScaleNormal="80" workbookViewId="0">
      <selection activeCell="E69" sqref="E69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71" t="s">
        <v>1209</v>
      </c>
      <c r="H2" s="1771"/>
      <c r="I2" s="1771"/>
      <c r="J2" s="1771"/>
      <c r="K2" s="1771"/>
      <c r="L2" s="1771"/>
      <c r="N2" s="1772" t="s">
        <v>1210</v>
      </c>
      <c r="O2" s="1772"/>
      <c r="P2" s="1772"/>
      <c r="Q2" s="1772"/>
      <c r="S2" s="1772" t="s">
        <v>1211</v>
      </c>
      <c r="T2" s="1772"/>
      <c r="U2" s="1772"/>
      <c r="V2" s="1772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:B20" si="0">B7*(1+N6)</f>
        <v>510.07089659554606</v>
      </c>
      <c r="C6" s="80">
        <f t="shared" ref="C6:C20" si="1">C7*(1+O6)</f>
        <v>352.55593185737411</v>
      </c>
      <c r="D6" s="80">
        <f t="shared" ref="D6:D21" si="2">C6</f>
        <v>352.55593185737411</v>
      </c>
      <c r="E6" s="80">
        <f t="shared" ref="E6:E22" si="3">E7*(1+P6)</f>
        <v>737.27992463403655</v>
      </c>
      <c r="F6" s="80">
        <f t="shared" ref="F6:F22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:N23" si="5">I6/100</f>
        <v>0</v>
      </c>
      <c r="O6" s="116">
        <f t="shared" ref="O6:O23" si="6">J6/100</f>
        <v>0</v>
      </c>
      <c r="P6" s="116">
        <f t="shared" ref="P6:P23" si="7">K6/100</f>
        <v>0</v>
      </c>
      <c r="Q6" s="116">
        <f t="shared" ref="Q6:Q23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si="0"/>
        <v>510.07089659554606</v>
      </c>
      <c r="C7" s="84">
        <f t="shared" si="1"/>
        <v>352.55593185737411</v>
      </c>
      <c r="D7" s="84">
        <f t="shared" si="2"/>
        <v>352.55593185737411</v>
      </c>
      <c r="E7" s="84">
        <f t="shared" si="3"/>
        <v>737.27992463403655</v>
      </c>
      <c r="F7" s="85">
        <f t="shared" si="4"/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si="5"/>
        <v>1.03E-2</v>
      </c>
      <c r="O7" s="120">
        <f t="shared" si="6"/>
        <v>2.3999999999999998E-3</v>
      </c>
      <c r="P7" s="120">
        <f t="shared" si="7"/>
        <v>1.1699999999999999E-2</v>
      </c>
      <c r="Q7" s="120">
        <f t="shared" si="8"/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si="0"/>
        <v>504.87072809615569</v>
      </c>
      <c r="C8" s="88">
        <f t="shared" si="1"/>
        <v>351.71182348101968</v>
      </c>
      <c r="D8" s="88">
        <f t="shared" si="2"/>
        <v>351.71182348101968</v>
      </c>
      <c r="E8" s="88">
        <f t="shared" si="3"/>
        <v>728.75350858360832</v>
      </c>
      <c r="F8" s="88">
        <f t="shared" si="4"/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si="5"/>
        <v>4.6999999999999993E-3</v>
      </c>
      <c r="O8" s="120">
        <f t="shared" si="6"/>
        <v>4.0999999999999995E-3</v>
      </c>
      <c r="P8" s="120">
        <f t="shared" si="7"/>
        <v>4.7999999999999996E-3</v>
      </c>
      <c r="Q8" s="120">
        <f t="shared" si="8"/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si="0"/>
        <v>502.50893609650217</v>
      </c>
      <c r="C9" s="88">
        <f t="shared" si="1"/>
        <v>350.27569313914915</v>
      </c>
      <c r="D9" s="88">
        <f t="shared" si="2"/>
        <v>350.27569313914915</v>
      </c>
      <c r="E9" s="88">
        <f t="shared" si="3"/>
        <v>725.27220201394141</v>
      </c>
      <c r="F9" s="88">
        <f t="shared" si="4"/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si="5"/>
        <v>9.1999999999999998E-3</v>
      </c>
      <c r="O9" s="120">
        <f t="shared" si="6"/>
        <v>7.1999999999999998E-3</v>
      </c>
      <c r="P9" s="120">
        <f t="shared" si="7"/>
        <v>9.4999999999999998E-3</v>
      </c>
      <c r="Q9" s="120">
        <f t="shared" si="8"/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si="0"/>
        <v>497.92799851020823</v>
      </c>
      <c r="C10" s="88">
        <f t="shared" si="1"/>
        <v>347.77173663537445</v>
      </c>
      <c r="D10" s="88">
        <f t="shared" si="2"/>
        <v>347.77173663537445</v>
      </c>
      <c r="E10" s="88">
        <f t="shared" si="3"/>
        <v>718.44695593258189</v>
      </c>
      <c r="F10" s="88">
        <f t="shared" si="4"/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si="5"/>
        <v>9.7000000000000003E-3</v>
      </c>
      <c r="O10" s="120">
        <f t="shared" si="6"/>
        <v>1.6000000000000001E-3</v>
      </c>
      <c r="P10" s="120">
        <f t="shared" si="7"/>
        <v>1.11E-2</v>
      </c>
      <c r="Q10" s="120">
        <f t="shared" si="8"/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si="0"/>
        <v>493.14449689037161</v>
      </c>
      <c r="C11" s="84">
        <f t="shared" si="1"/>
        <v>347.21619073020611</v>
      </c>
      <c r="D11" s="84">
        <f t="shared" si="2"/>
        <v>347.21619073020611</v>
      </c>
      <c r="E11" s="84">
        <f t="shared" si="3"/>
        <v>710.55974278763904</v>
      </c>
      <c r="F11" s="85">
        <f t="shared" si="4"/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si="5"/>
        <v>2.07E-2</v>
      </c>
      <c r="O11" s="120">
        <f t="shared" si="6"/>
        <v>3.7000000000000002E-3</v>
      </c>
      <c r="P11" s="120">
        <f t="shared" si="7"/>
        <v>2.35E-2</v>
      </c>
      <c r="Q11" s="120">
        <f t="shared" si="8"/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si="0"/>
        <v>483.1434279321756</v>
      </c>
      <c r="C12" s="88">
        <f t="shared" si="1"/>
        <v>345.93622669144776</v>
      </c>
      <c r="D12" s="88">
        <f t="shared" si="2"/>
        <v>345.93622669144776</v>
      </c>
      <c r="E12" s="88">
        <f t="shared" si="3"/>
        <v>694.24498562544113</v>
      </c>
      <c r="F12" s="88">
        <f t="shared" si="4"/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si="5"/>
        <v>3.5999999999999999E-3</v>
      </c>
      <c r="O12" s="120">
        <f t="shared" si="6"/>
        <v>-3.9000000000000003E-3</v>
      </c>
      <c r="P12" s="120">
        <f t="shared" si="7"/>
        <v>4.8999999999999998E-3</v>
      </c>
      <c r="Q12" s="120">
        <f t="shared" si="8"/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si="0"/>
        <v>481.4103506697644</v>
      </c>
      <c r="C13" s="88">
        <f t="shared" si="1"/>
        <v>347.29066026648707</v>
      </c>
      <c r="D13" s="88">
        <f t="shared" si="2"/>
        <v>347.29066026648707</v>
      </c>
      <c r="E13" s="88">
        <f t="shared" si="3"/>
        <v>690.85977273901995</v>
      </c>
      <c r="F13" s="88">
        <f t="shared" si="4"/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si="5"/>
        <v>3.0999999999999999E-3</v>
      </c>
      <c r="O13" s="120">
        <f t="shared" si="6"/>
        <v>-7.8000000000000005E-3</v>
      </c>
      <c r="P13" s="120">
        <f t="shared" si="7"/>
        <v>5.0000000000000001E-3</v>
      </c>
      <c r="Q13" s="120">
        <f t="shared" si="8"/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si="0"/>
        <v>479.92259063878413</v>
      </c>
      <c r="C14" s="88">
        <f t="shared" si="1"/>
        <v>350.02082268341775</v>
      </c>
      <c r="D14" s="88">
        <f t="shared" si="2"/>
        <v>350.02082268341775</v>
      </c>
      <c r="E14" s="88">
        <f t="shared" si="3"/>
        <v>687.42265944181099</v>
      </c>
      <c r="F14" s="88">
        <f t="shared" si="4"/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si="5"/>
        <v>1.1999999999999999E-3</v>
      </c>
      <c r="O14" s="120">
        <f t="shared" si="6"/>
        <v>-4.0000000000000001E-3</v>
      </c>
      <c r="P14" s="120">
        <f t="shared" si="7"/>
        <v>2.0999999999999999E-3</v>
      </c>
      <c r="Q14" s="120">
        <f t="shared" si="8"/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si="0"/>
        <v>479.34737379023579</v>
      </c>
      <c r="C15" s="84">
        <f t="shared" si="1"/>
        <v>351.4265287986122</v>
      </c>
      <c r="D15" s="84">
        <f t="shared" si="2"/>
        <v>351.4265287986122</v>
      </c>
      <c r="E15" s="84">
        <f t="shared" si="3"/>
        <v>685.98209703803116</v>
      </c>
      <c r="F15" s="85">
        <f t="shared" si="4"/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si="5"/>
        <v>4.5000000000000005E-3</v>
      </c>
      <c r="O15" s="120">
        <f t="shared" si="6"/>
        <v>-1.1999999999999999E-3</v>
      </c>
      <c r="P15" s="120">
        <f t="shared" si="7"/>
        <v>5.4000000000000003E-3</v>
      </c>
      <c r="Q15" s="120">
        <f t="shared" si="8"/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si="0"/>
        <v>477.19997390765138</v>
      </c>
      <c r="C16" s="88">
        <f t="shared" si="1"/>
        <v>351.84874729536665</v>
      </c>
      <c r="D16" s="88">
        <f t="shared" si="2"/>
        <v>351.84874729536665</v>
      </c>
      <c r="E16" s="88">
        <f t="shared" si="3"/>
        <v>682.29768951465201</v>
      </c>
      <c r="F16" s="88">
        <f t="shared" si="4"/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si="5"/>
        <v>6.0999999999999995E-3</v>
      </c>
      <c r="O16" s="120">
        <f t="shared" si="6"/>
        <v>6.7000000000000002E-3</v>
      </c>
      <c r="P16" s="120">
        <f t="shared" si="7"/>
        <v>6.0000000000000001E-3</v>
      </c>
      <c r="Q16" s="120">
        <f t="shared" si="8"/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si="0"/>
        <v>474.30670301923408</v>
      </c>
      <c r="C17" s="88">
        <f t="shared" si="1"/>
        <v>349.50705005996491</v>
      </c>
      <c r="D17" s="88">
        <f t="shared" si="2"/>
        <v>349.50705005996491</v>
      </c>
      <c r="E17" s="88">
        <f t="shared" si="3"/>
        <v>678.22831959706957</v>
      </c>
      <c r="F17" s="88">
        <f t="shared" si="4"/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si="5"/>
        <v>1.5300000000000001E-2</v>
      </c>
      <c r="O17" s="120">
        <f t="shared" si="6"/>
        <v>1.01E-2</v>
      </c>
      <c r="P17" s="120">
        <f t="shared" si="7"/>
        <v>1.6200000000000003E-2</v>
      </c>
      <c r="Q17" s="120">
        <f t="shared" si="8"/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si="0"/>
        <v>467.15916775261894</v>
      </c>
      <c r="C18" s="88">
        <f t="shared" si="1"/>
        <v>346.01232557169084</v>
      </c>
      <c r="D18" s="88">
        <f t="shared" si="2"/>
        <v>346.01232557169084</v>
      </c>
      <c r="E18" s="88">
        <f t="shared" si="3"/>
        <v>667.41617752122568</v>
      </c>
      <c r="F18" s="88">
        <f t="shared" si="4"/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si="5"/>
        <v>6.0000000000000001E-3</v>
      </c>
      <c r="O18" s="120">
        <f t="shared" si="6"/>
        <v>3.7000000000000002E-3</v>
      </c>
      <c r="P18" s="120">
        <f t="shared" si="7"/>
        <v>6.3E-3</v>
      </c>
      <c r="Q18" s="120">
        <f t="shared" si="8"/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si="0"/>
        <v>464.37293017158942</v>
      </c>
      <c r="C19" s="84">
        <f t="shared" si="1"/>
        <v>344.73679941385956</v>
      </c>
      <c r="D19" s="84">
        <f t="shared" si="2"/>
        <v>344.73679941385956</v>
      </c>
      <c r="E19" s="84">
        <f t="shared" si="3"/>
        <v>663.2377795103107</v>
      </c>
      <c r="F19" s="85">
        <f t="shared" si="4"/>
        <v>304.75936311478398</v>
      </c>
      <c r="G19" s="1773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si="5"/>
        <v>9.5999999999999992E-3</v>
      </c>
      <c r="O19" s="120">
        <f t="shared" si="6"/>
        <v>1.03E-2</v>
      </c>
      <c r="P19" s="120">
        <f t="shared" si="7"/>
        <v>9.1999999999999998E-3</v>
      </c>
      <c r="Q19" s="120">
        <f t="shared" si="8"/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si="0"/>
        <v>459.95733971036987</v>
      </c>
      <c r="C20" s="88">
        <f t="shared" si="1"/>
        <v>341.22221064422405</v>
      </c>
      <c r="D20" s="88">
        <f t="shared" si="2"/>
        <v>341.22221064422405</v>
      </c>
      <c r="E20" s="88">
        <f t="shared" si="3"/>
        <v>657.19161663724799</v>
      </c>
      <c r="F20" s="88">
        <f t="shared" si="4"/>
        <v>300.87803644464805</v>
      </c>
      <c r="G20" s="1773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si="5"/>
        <v>1.5100000000000001E-2</v>
      </c>
      <c r="O20" s="120">
        <f t="shared" si="6"/>
        <v>1.41E-2</v>
      </c>
      <c r="P20" s="120">
        <f t="shared" si="7"/>
        <v>1.52E-2</v>
      </c>
      <c r="Q20" s="120">
        <f t="shared" si="8"/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9">B22*(1+N21)</f>
        <v>453.11529869999993</v>
      </c>
      <c r="C21" s="88">
        <f>C22*(1+O21)</f>
        <v>336.47787264000004</v>
      </c>
      <c r="D21" s="88">
        <f t="shared" si="2"/>
        <v>336.47787264000004</v>
      </c>
      <c r="E21" s="88">
        <f t="shared" si="3"/>
        <v>647.35186823999993</v>
      </c>
      <c r="F21" s="88">
        <f t="shared" si="4"/>
        <v>295.73229452000004</v>
      </c>
      <c r="G21" s="1773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si="5"/>
        <v>1.49E-2</v>
      </c>
      <c r="O21" s="120">
        <f t="shared" si="6"/>
        <v>9.5999999999999992E-3</v>
      </c>
      <c r="P21" s="120">
        <f t="shared" si="7"/>
        <v>1.5800000000000002E-2</v>
      </c>
      <c r="Q21" s="120">
        <f t="shared" si="8"/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9"/>
        <v>446.46299999999997</v>
      </c>
      <c r="C22" s="88">
        <f>C23*(1+O22)</f>
        <v>333.27840000000003</v>
      </c>
      <c r="D22" s="88">
        <f t="shared" ref="D22:D27" si="10">C22</f>
        <v>333.27840000000003</v>
      </c>
      <c r="E22" s="88">
        <f t="shared" si="3"/>
        <v>637.28279999999995</v>
      </c>
      <c r="F22" s="88">
        <f t="shared" si="4"/>
        <v>288.68830000000003</v>
      </c>
      <c r="G22" s="1774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si="5"/>
        <v>1.7000000000000001E-2</v>
      </c>
      <c r="O22" s="120">
        <f t="shared" si="6"/>
        <v>1.9199999999999998E-2</v>
      </c>
      <c r="P22" s="120">
        <f t="shared" si="7"/>
        <v>1.6399999999999998E-2</v>
      </c>
      <c r="Q22" s="120">
        <f t="shared" si="8"/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0"/>
        <v>327</v>
      </c>
      <c r="E23" s="84">
        <v>627</v>
      </c>
      <c r="F23" s="85">
        <v>283</v>
      </c>
      <c r="G23" s="1775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si="5"/>
        <v>1.7100000000000001E-2</v>
      </c>
      <c r="O23" s="120">
        <f t="shared" si="6"/>
        <v>1.78E-2</v>
      </c>
      <c r="P23" s="120">
        <f t="shared" si="7"/>
        <v>1.7100000000000001E-2</v>
      </c>
      <c r="Q23" s="120">
        <f t="shared" si="8"/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9"/>
        <v>431.80730811680002</v>
      </c>
      <c r="C24" s="88">
        <f>C25*(1+O24)</f>
        <v>320.57880516480003</v>
      </c>
      <c r="D24" s="88">
        <f t="shared" si="10"/>
        <v>320.57880516480003</v>
      </c>
      <c r="E24" s="88">
        <f t="shared" ref="E24:F26" si="11">E25*(1+P24)</f>
        <v>615.96110553196797</v>
      </c>
      <c r="F24" s="88">
        <f t="shared" si="11"/>
        <v>279.46777300108801</v>
      </c>
      <c r="G24" s="1773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2">I24/100</f>
        <v>2.98E-2</v>
      </c>
      <c r="O24" s="120">
        <f t="shared" si="12"/>
        <v>2.1099999999999997E-2</v>
      </c>
      <c r="P24" s="120">
        <f t="shared" si="12"/>
        <v>3.2400000000000005E-2</v>
      </c>
      <c r="Q24" s="120">
        <f t="shared" si="12"/>
        <v>1.72E-2</v>
      </c>
      <c r="S24" s="150"/>
    </row>
    <row r="25" spans="1:32" s="60" customFormat="1" ht="14.45" customHeight="1">
      <c r="A25" s="83" t="s">
        <v>1235</v>
      </c>
      <c r="B25" s="88">
        <f t="shared" si="9"/>
        <v>419.31181600000002</v>
      </c>
      <c r="C25" s="88">
        <f>C26*(1+O25)</f>
        <v>313.95436800000004</v>
      </c>
      <c r="D25" s="88">
        <f t="shared" si="10"/>
        <v>313.95436800000004</v>
      </c>
      <c r="E25" s="88">
        <f t="shared" si="11"/>
        <v>596.63028431999999</v>
      </c>
      <c r="F25" s="88">
        <f t="shared" si="11"/>
        <v>274.74220703999998</v>
      </c>
      <c r="G25" s="1773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2"/>
        <v>3.4000000000000002E-2</v>
      </c>
      <c r="O25" s="120">
        <f t="shared" si="12"/>
        <v>0.02</v>
      </c>
      <c r="P25" s="120">
        <f t="shared" si="12"/>
        <v>3.8199999999999998E-2</v>
      </c>
      <c r="Q25" s="120">
        <f t="shared" si="12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9"/>
        <v>405.524</v>
      </c>
      <c r="C26" s="88">
        <f>C27*(1+O26)</f>
        <v>307.79840000000002</v>
      </c>
      <c r="D26" s="88">
        <f t="shared" si="10"/>
        <v>307.79840000000002</v>
      </c>
      <c r="E26" s="88">
        <f t="shared" si="11"/>
        <v>574.67759999999998</v>
      </c>
      <c r="F26" s="88">
        <f t="shared" si="11"/>
        <v>270.20280000000002</v>
      </c>
      <c r="G26" s="1774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>J26/100</f>
        <v>1.9199999999999998E-2</v>
      </c>
      <c r="P26" s="120">
        <f>K26/100</f>
        <v>3.9199999999999999E-2</v>
      </c>
      <c r="Q26" s="120">
        <f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0"/>
        <v>302</v>
      </c>
      <c r="E27" s="91">
        <v>553</v>
      </c>
      <c r="F27" s="92">
        <v>266</v>
      </c>
      <c r="G27" s="1775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3">J27/100</f>
        <v>2.1499999999999998E-2</v>
      </c>
      <c r="P27" s="120">
        <f t="shared" si="13"/>
        <v>5.3200000000000004E-2</v>
      </c>
      <c r="Q27" s="120">
        <f t="shared" si="1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4">B27/(1+N27)</f>
        <v>374.90436113236416</v>
      </c>
      <c r="C28" s="88">
        <f t="shared" si="14"/>
        <v>295.64366128242779</v>
      </c>
      <c r="D28" s="88">
        <f t="shared" ref="D28:D87" si="15">C28</f>
        <v>295.64366128242779</v>
      </c>
      <c r="E28" s="88">
        <f t="shared" ref="E28:F30" si="16">E27/(1+P27)</f>
        <v>525.06646410938095</v>
      </c>
      <c r="F28" s="88">
        <f t="shared" si="16"/>
        <v>261.88835286009646</v>
      </c>
      <c r="G28" s="1773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7">I28/100</f>
        <v>4.1200000000000001E-2</v>
      </c>
      <c r="O28" s="120">
        <f t="shared" si="13"/>
        <v>0.02</v>
      </c>
      <c r="P28" s="120">
        <f t="shared" si="13"/>
        <v>4.7899999999999998E-2</v>
      </c>
      <c r="Q28" s="120">
        <f t="shared" si="1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4"/>
        <v>360.06949782209392</v>
      </c>
      <c r="C29" s="88">
        <f t="shared" si="14"/>
        <v>289.84672674747821</v>
      </c>
      <c r="D29" s="88">
        <f t="shared" si="15"/>
        <v>289.84672674747821</v>
      </c>
      <c r="E29" s="88">
        <f t="shared" si="16"/>
        <v>501.06543001181495</v>
      </c>
      <c r="F29" s="88">
        <f t="shared" si="16"/>
        <v>256.82882500744967</v>
      </c>
      <c r="G29" s="1773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7"/>
        <v>3.85E-2</v>
      </c>
      <c r="O29" s="120">
        <f t="shared" si="13"/>
        <v>1.95E-2</v>
      </c>
      <c r="P29" s="120">
        <f t="shared" si="13"/>
        <v>4.4800000000000006E-2</v>
      </c>
      <c r="Q29" s="120">
        <f t="shared" si="1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4"/>
        <v>346.720748986128</v>
      </c>
      <c r="C30" s="88">
        <f t="shared" si="14"/>
        <v>284.30282172386285</v>
      </c>
      <c r="D30" s="88">
        <f t="shared" si="15"/>
        <v>284.30282172386285</v>
      </c>
      <c r="E30" s="88">
        <f t="shared" si="16"/>
        <v>479.58023546306947</v>
      </c>
      <c r="F30" s="88">
        <f t="shared" si="16"/>
        <v>253.25788877571213</v>
      </c>
      <c r="G30" s="1776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7"/>
        <v>4.0899999999999999E-2</v>
      </c>
      <c r="O30" s="120">
        <f t="shared" si="13"/>
        <v>2.9300000000000003E-2</v>
      </c>
      <c r="P30" s="120">
        <f t="shared" si="13"/>
        <v>4.5400000000000003E-2</v>
      </c>
      <c r="Q30" s="120">
        <f t="shared" si="1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5"/>
        <v>277</v>
      </c>
      <c r="E31" s="91">
        <v>459</v>
      </c>
      <c r="F31" s="92">
        <v>249</v>
      </c>
      <c r="G31" s="1777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7"/>
        <v>1.6299999999999999E-2</v>
      </c>
      <c r="O31" s="130">
        <f t="shared" si="13"/>
        <v>1.11E-2</v>
      </c>
      <c r="P31" s="130">
        <f t="shared" si="13"/>
        <v>1.77E-2</v>
      </c>
      <c r="Q31" s="130">
        <f t="shared" si="1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8">B31/(1+N31)</f>
        <v>327.65915576109415</v>
      </c>
      <c r="C32" s="88">
        <f t="shared" si="18"/>
        <v>273.95905449510434</v>
      </c>
      <c r="D32" s="88">
        <f t="shared" si="15"/>
        <v>273.95905449510434</v>
      </c>
      <c r="E32" s="88">
        <f t="shared" ref="E32:F34" si="19">E31/(1+P31)</f>
        <v>451.01699911565294</v>
      </c>
      <c r="F32" s="88">
        <f t="shared" si="19"/>
        <v>244.38119540681129</v>
      </c>
      <c r="G32" s="1773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7"/>
        <v>1.6500000000000001E-2</v>
      </c>
      <c r="O32" s="120">
        <f t="shared" si="13"/>
        <v>9.1999999999999998E-3</v>
      </c>
      <c r="P32" s="120">
        <f t="shared" si="13"/>
        <v>1.8799999999999997E-2</v>
      </c>
      <c r="Q32" s="120">
        <f t="shared" si="1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8"/>
        <v>322.34053690220776</v>
      </c>
      <c r="C33" s="88">
        <f t="shared" si="18"/>
        <v>271.46160770422546</v>
      </c>
      <c r="D33" s="88">
        <f t="shared" si="15"/>
        <v>271.46160770422546</v>
      </c>
      <c r="E33" s="88">
        <f t="shared" si="19"/>
        <v>442.69434542172456</v>
      </c>
      <c r="F33" s="88">
        <f t="shared" si="19"/>
        <v>241.34030753190925</v>
      </c>
      <c r="G33" s="1773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7"/>
        <v>7.7000000000000002E-3</v>
      </c>
      <c r="O33" s="120">
        <f t="shared" si="13"/>
        <v>6.8999999999999999E-3</v>
      </c>
      <c r="P33" s="120">
        <f t="shared" si="13"/>
        <v>8.0000000000000002E-3</v>
      </c>
      <c r="Q33" s="120">
        <f t="shared" si="1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8"/>
        <v>319.87748030386797</v>
      </c>
      <c r="C34" s="88">
        <f t="shared" si="18"/>
        <v>269.60135833173649</v>
      </c>
      <c r="D34" s="88">
        <f t="shared" si="15"/>
        <v>269.60135833173649</v>
      </c>
      <c r="E34" s="88">
        <f t="shared" si="19"/>
        <v>439.18089823583784</v>
      </c>
      <c r="F34" s="88">
        <f t="shared" si="19"/>
        <v>239.23503918706311</v>
      </c>
      <c r="G34" s="1776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7"/>
        <v>5.1000000000000004E-3</v>
      </c>
      <c r="O34" s="133">
        <f t="shared" si="13"/>
        <v>5.4000000000000003E-3</v>
      </c>
      <c r="P34" s="133">
        <f t="shared" si="13"/>
        <v>4.7999999999999996E-3</v>
      </c>
      <c r="Q34" s="133">
        <f t="shared" si="1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5"/>
        <v>268</v>
      </c>
      <c r="E35" s="95">
        <v>437</v>
      </c>
      <c r="F35" s="96">
        <v>237</v>
      </c>
      <c r="G35" s="1777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7"/>
        <v>2.0999999999999999E-3</v>
      </c>
      <c r="O35" s="120">
        <f t="shared" si="13"/>
        <v>4.0999999999999995E-3</v>
      </c>
      <c r="P35" s="120">
        <f t="shared" si="13"/>
        <v>1.1999999999999999E-3</v>
      </c>
      <c r="Q35" s="120">
        <f t="shared" si="1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20">B35/(1+N35)</f>
        <v>317.33359944117353</v>
      </c>
      <c r="C36" s="88">
        <f t="shared" si="20"/>
        <v>266.90568668459315</v>
      </c>
      <c r="D36" s="88">
        <f t="shared" si="15"/>
        <v>266.90568668459315</v>
      </c>
      <c r="E36" s="88">
        <f t="shared" ref="E36:F38" si="21">E35/(1+P35)</f>
        <v>436.47622852576905</v>
      </c>
      <c r="F36" s="88">
        <f t="shared" si="21"/>
        <v>234.90930716622066</v>
      </c>
      <c r="G36" s="1773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7"/>
        <v>8.3000000000000001E-3</v>
      </c>
      <c r="O36" s="120">
        <f t="shared" si="13"/>
        <v>1.47E-2</v>
      </c>
      <c r="P36" s="120">
        <f t="shared" si="13"/>
        <v>6.5000000000000006E-3</v>
      </c>
      <c r="Q36" s="120">
        <f t="shared" si="1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20"/>
        <v>314.72141172386546</v>
      </c>
      <c r="C37" s="88">
        <f t="shared" si="20"/>
        <v>263.03901319069001</v>
      </c>
      <c r="D37" s="88">
        <f t="shared" si="15"/>
        <v>263.03901319069001</v>
      </c>
      <c r="E37" s="88">
        <f t="shared" si="21"/>
        <v>433.65745506782821</v>
      </c>
      <c r="F37" s="88">
        <f t="shared" si="21"/>
        <v>233.23005080045735</v>
      </c>
      <c r="G37" s="1773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7"/>
        <v>2.4E-2</v>
      </c>
      <c r="O37" s="120">
        <f t="shared" si="13"/>
        <v>2.0299999999999999E-2</v>
      </c>
      <c r="P37" s="120">
        <f t="shared" si="13"/>
        <v>2.5899999999999999E-2</v>
      </c>
      <c r="Q37" s="120">
        <f t="shared" si="13"/>
        <v>1.52E-2</v>
      </c>
      <c r="R37" s="147"/>
      <c r="S37" s="119"/>
      <c r="T37" s="120"/>
      <c r="U37" s="120"/>
      <c r="V37" s="120"/>
    </row>
    <row r="38" spans="1:32" s="1640" customFormat="1">
      <c r="A38" s="83" t="s">
        <v>1246</v>
      </c>
      <c r="B38" s="1637">
        <f t="shared" si="20"/>
        <v>307.34512863658733</v>
      </c>
      <c r="C38" s="1637">
        <f t="shared" si="20"/>
        <v>257.80556031626975</v>
      </c>
      <c r="D38" s="1637">
        <f t="shared" si="15"/>
        <v>257.80556031626975</v>
      </c>
      <c r="E38" s="1637">
        <f t="shared" si="21"/>
        <v>422.70928459677179</v>
      </c>
      <c r="F38" s="1637">
        <f t="shared" si="21"/>
        <v>229.73803270336617</v>
      </c>
      <c r="G38" s="1776"/>
      <c r="H38" s="1638">
        <v>1</v>
      </c>
      <c r="I38" s="1638">
        <v>2.97</v>
      </c>
      <c r="J38" s="1638">
        <v>2.34</v>
      </c>
      <c r="K38" s="1638">
        <v>3.28</v>
      </c>
      <c r="L38" s="1639">
        <v>1.36</v>
      </c>
      <c r="N38" s="1641">
        <f t="shared" si="17"/>
        <v>2.9700000000000001E-2</v>
      </c>
      <c r="O38" s="1642">
        <f t="shared" si="13"/>
        <v>2.3399999999999997E-2</v>
      </c>
      <c r="P38" s="1642">
        <f t="shared" si="13"/>
        <v>3.2799999999999996E-2</v>
      </c>
      <c r="Q38" s="1642">
        <f t="shared" si="13"/>
        <v>1.3600000000000001E-2</v>
      </c>
      <c r="R38" s="1643"/>
      <c r="S38" s="1644">
        <f>B38/B39-1</f>
        <v>2.7910129219355539E-2</v>
      </c>
      <c r="T38" s="1645">
        <f>C38/C39-1</f>
        <v>2.3037937762975247E-2</v>
      </c>
      <c r="U38" s="1645">
        <f>E38/E39-1</f>
        <v>3.3519033243940788E-2</v>
      </c>
      <c r="V38" s="1645">
        <f>F38/F39-1</f>
        <v>1.2061818076502862E-2</v>
      </c>
      <c r="AC38" s="1642"/>
      <c r="AD38" s="1642"/>
      <c r="AE38" s="1642"/>
      <c r="AF38" s="1642"/>
    </row>
    <row r="39" spans="1:32">
      <c r="A39" s="83" t="s">
        <v>1247</v>
      </c>
      <c r="B39" s="91">
        <v>299</v>
      </c>
      <c r="C39" s="91">
        <v>252</v>
      </c>
      <c r="D39" s="91">
        <f t="shared" si="15"/>
        <v>252</v>
      </c>
      <c r="E39" s="91">
        <v>409</v>
      </c>
      <c r="F39" s="92">
        <v>227</v>
      </c>
      <c r="G39" s="1778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7"/>
        <v>1.83E-2</v>
      </c>
      <c r="O39" s="130">
        <f t="shared" si="13"/>
        <v>1.6799999999999999E-2</v>
      </c>
      <c r="P39" s="130">
        <f t="shared" si="13"/>
        <v>1.9699999999999999E-2</v>
      </c>
      <c r="Q39" s="130">
        <f t="shared" si="1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22">B39/(1+N39)</f>
        <v>293.62663262299913</v>
      </c>
      <c r="C40" s="88">
        <f t="shared" si="22"/>
        <v>247.83634933123525</v>
      </c>
      <c r="D40" s="88">
        <f t="shared" si="15"/>
        <v>247.83634933123525</v>
      </c>
      <c r="E40" s="88">
        <f t="shared" ref="E40:F42" si="23">E39/(1+P39)</f>
        <v>401.09836226341076</v>
      </c>
      <c r="F40" s="88">
        <f t="shared" si="23"/>
        <v>225.04213343908003</v>
      </c>
      <c r="G40" s="1779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7"/>
        <v>1.8600000000000002E-2</v>
      </c>
      <c r="O40" s="120">
        <f t="shared" si="13"/>
        <v>1.72E-2</v>
      </c>
      <c r="P40" s="120">
        <f t="shared" si="13"/>
        <v>1.9799999999999998E-2</v>
      </c>
      <c r="Q40" s="120">
        <f t="shared" si="1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22"/>
        <v>288.2649053828776</v>
      </c>
      <c r="C41" s="88">
        <f t="shared" si="22"/>
        <v>243.64564425013293</v>
      </c>
      <c r="D41" s="88">
        <f t="shared" si="15"/>
        <v>243.64564425013293</v>
      </c>
      <c r="E41" s="88">
        <f t="shared" si="23"/>
        <v>393.31080825986544</v>
      </c>
      <c r="F41" s="88">
        <f t="shared" si="23"/>
        <v>223.07903790551154</v>
      </c>
      <c r="G41" s="1779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7"/>
        <v>2.0400000000000001E-2</v>
      </c>
      <c r="O41" s="120">
        <f t="shared" si="13"/>
        <v>2.3300000000000001E-2</v>
      </c>
      <c r="P41" s="120">
        <f t="shared" si="13"/>
        <v>2.07E-2</v>
      </c>
      <c r="Q41" s="120">
        <f t="shared" si="1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22"/>
        <v>282.50186729015837</v>
      </c>
      <c r="C42" s="88">
        <f t="shared" si="22"/>
        <v>238.09796174155468</v>
      </c>
      <c r="D42" s="88">
        <f t="shared" si="15"/>
        <v>238.09796174155468</v>
      </c>
      <c r="E42" s="88">
        <f t="shared" si="23"/>
        <v>385.33438646014054</v>
      </c>
      <c r="F42" s="88">
        <f t="shared" si="23"/>
        <v>221.55034055567739</v>
      </c>
      <c r="G42" s="1780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7"/>
        <v>1.67E-2</v>
      </c>
      <c r="O42" s="133">
        <f t="shared" si="13"/>
        <v>1.3100000000000001E-2</v>
      </c>
      <c r="P42" s="133">
        <f t="shared" si="13"/>
        <v>1.8500000000000003E-2</v>
      </c>
      <c r="Q42" s="133">
        <f t="shared" si="1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5"/>
        <v>234</v>
      </c>
      <c r="E43" s="101">
        <v>379</v>
      </c>
      <c r="F43" s="102">
        <v>220</v>
      </c>
      <c r="G43" s="1777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7"/>
        <v>9.1000000000000004E-3</v>
      </c>
      <c r="O43" s="120">
        <f t="shared" si="17"/>
        <v>6.8000000000000005E-3</v>
      </c>
      <c r="P43" s="120">
        <f t="shared" si="17"/>
        <v>9.7999999999999997E-3</v>
      </c>
      <c r="Q43" s="120">
        <f t="shared" si="1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5"/>
        <v>232.41954707985698</v>
      </c>
      <c r="E44" s="88">
        <f t="shared" ref="E44:F46" si="24">E43/(1+P43)</f>
        <v>375.32184591008121</v>
      </c>
      <c r="F44" s="88">
        <f t="shared" si="24"/>
        <v>218.03766105054513</v>
      </c>
      <c r="G44" s="1773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7"/>
        <v>8.9999999999999998E-4</v>
      </c>
      <c r="O44" s="120">
        <f t="shared" si="17"/>
        <v>2.8999999999999998E-3</v>
      </c>
      <c r="P44" s="120">
        <f t="shared" si="17"/>
        <v>-1E-4</v>
      </c>
      <c r="Q44" s="120">
        <f t="shared" si="1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5"/>
        <v>231.74747938962707</v>
      </c>
      <c r="E45" s="88">
        <f t="shared" si="24"/>
        <v>375.35938184826603</v>
      </c>
      <c r="F45" s="88">
        <f t="shared" si="24"/>
        <v>216.78033510692495</v>
      </c>
      <c r="G45" s="1773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7"/>
        <v>2.0000000000000001E-4</v>
      </c>
      <c r="O45" s="120">
        <f t="shared" si="17"/>
        <v>1.1999999999999999E-3</v>
      </c>
      <c r="P45" s="120">
        <f t="shared" si="17"/>
        <v>-8.0000000000000004E-4</v>
      </c>
      <c r="Q45" s="120">
        <f t="shared" si="1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5"/>
        <v>232</v>
      </c>
      <c r="E46" s="88">
        <f t="shared" si="24"/>
        <v>375.65990977608692</v>
      </c>
      <c r="F46" s="88">
        <f t="shared" si="24"/>
        <v>214.12518283971252</v>
      </c>
      <c r="G46" s="1776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7"/>
        <v>2.0000000000000001E-4</v>
      </c>
      <c r="O46" s="120">
        <f t="shared" si="17"/>
        <v>1.2999999999999999E-3</v>
      </c>
      <c r="P46" s="120">
        <f t="shared" si="17"/>
        <v>-4.0000000000000002E-4</v>
      </c>
      <c r="Q46" s="120">
        <f t="shared" si="1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5"/>
        <v>232</v>
      </c>
      <c r="E47" s="91">
        <v>376</v>
      </c>
      <c r="F47" s="92">
        <v>213</v>
      </c>
      <c r="G47" s="1777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7"/>
        <v>-2E-3</v>
      </c>
      <c r="O47" s="130">
        <f t="shared" si="17"/>
        <v>4.0000000000000002E-4</v>
      </c>
      <c r="P47" s="130">
        <f t="shared" si="17"/>
        <v>-3.4000000000000002E-3</v>
      </c>
      <c r="Q47" s="130">
        <f t="shared" si="1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25">B47/(1+N47)</f>
        <v>275.55110220440883</v>
      </c>
      <c r="C48" s="88">
        <f t="shared" si="25"/>
        <v>231.90723710515795</v>
      </c>
      <c r="D48" s="88">
        <f t="shared" si="15"/>
        <v>231.90723710515795</v>
      </c>
      <c r="E48" s="88">
        <f t="shared" ref="E48:F50" si="26">E47/(1+P47)</f>
        <v>377.28276138872161</v>
      </c>
      <c r="F48" s="88">
        <f t="shared" si="26"/>
        <v>212.02468644236512</v>
      </c>
      <c r="G48" s="1773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7"/>
        <v>1.2999999999999999E-3</v>
      </c>
      <c r="O48" s="120">
        <f t="shared" si="17"/>
        <v>7.4999999999999997E-3</v>
      </c>
      <c r="P48" s="120">
        <f t="shared" si="17"/>
        <v>-8.0000000000000004E-4</v>
      </c>
      <c r="Q48" s="120">
        <f t="shared" si="1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25"/>
        <v>275.19335084830601</v>
      </c>
      <c r="C49" s="88">
        <f t="shared" si="25"/>
        <v>230.18088050139744</v>
      </c>
      <c r="D49" s="88">
        <f t="shared" si="15"/>
        <v>230.18088050139744</v>
      </c>
      <c r="E49" s="88">
        <f t="shared" si="26"/>
        <v>377.58482925212331</v>
      </c>
      <c r="F49" s="88">
        <f t="shared" si="26"/>
        <v>210.90687997847917</v>
      </c>
      <c r="G49" s="1773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7"/>
        <v>-4.0000000000000001E-3</v>
      </c>
      <c r="O49" s="120">
        <f t="shared" si="17"/>
        <v>1.7000000000000001E-3</v>
      </c>
      <c r="P49" s="120">
        <f t="shared" si="17"/>
        <v>-5.7999999999999996E-3</v>
      </c>
      <c r="Q49" s="120">
        <f t="shared" si="1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25"/>
        <v>276.29854502841971</v>
      </c>
      <c r="C50" s="88">
        <f t="shared" si="25"/>
        <v>229.79023709833027</v>
      </c>
      <c r="D50" s="88">
        <f t="shared" si="15"/>
        <v>229.79023709833027</v>
      </c>
      <c r="E50" s="88">
        <f t="shared" si="26"/>
        <v>379.78759731655936</v>
      </c>
      <c r="F50" s="88">
        <f t="shared" si="26"/>
        <v>211.32953905659235</v>
      </c>
      <c r="G50" s="1776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7"/>
        <v>2.6499999999999999E-2</v>
      </c>
      <c r="O50" s="133">
        <f t="shared" si="17"/>
        <v>3.7599999999999995E-2</v>
      </c>
      <c r="P50" s="133">
        <f t="shared" si="17"/>
        <v>1.89E-2</v>
      </c>
      <c r="Q50" s="133">
        <f t="shared" si="1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5"/>
        <v>221</v>
      </c>
      <c r="E51" s="91">
        <v>373</v>
      </c>
      <c r="F51" s="92">
        <v>196</v>
      </c>
      <c r="G51" s="1777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7"/>
        <v>5.7200000000000001E-2</v>
      </c>
      <c r="O51" s="120">
        <f t="shared" si="17"/>
        <v>6.5700000000000008E-2</v>
      </c>
      <c r="P51" s="120">
        <f t="shared" si="17"/>
        <v>5.7200000000000001E-2</v>
      </c>
      <c r="Q51" s="120">
        <f t="shared" si="1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27">B51/(1+N51)</f>
        <v>254.44570563753314</v>
      </c>
      <c r="C52" s="88">
        <f t="shared" si="27"/>
        <v>207.37543398705074</v>
      </c>
      <c r="D52" s="88">
        <f t="shared" si="15"/>
        <v>207.37543398705074</v>
      </c>
      <c r="E52" s="88">
        <f t="shared" ref="E52:F54" si="28">E51/(1+P51)</f>
        <v>352.81876655315932</v>
      </c>
      <c r="F52" s="88">
        <f t="shared" si="28"/>
        <v>190.809968847352</v>
      </c>
      <c r="G52" s="1773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7"/>
        <v>4.7300000000000002E-2</v>
      </c>
      <c r="O52" s="120">
        <f t="shared" si="17"/>
        <v>3.9E-2</v>
      </c>
      <c r="P52" s="120">
        <f t="shared" si="17"/>
        <v>5.0300000000000004E-2</v>
      </c>
      <c r="Q52" s="120">
        <f t="shared" si="1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27"/>
        <v>242.95398227588385</v>
      </c>
      <c r="C53" s="88">
        <f t="shared" si="27"/>
        <v>199.59137053614126</v>
      </c>
      <c r="D53" s="88">
        <f t="shared" si="15"/>
        <v>199.59137053614126</v>
      </c>
      <c r="E53" s="88">
        <f t="shared" si="28"/>
        <v>335.92189522342125</v>
      </c>
      <c r="F53" s="88">
        <f t="shared" si="28"/>
        <v>183.10139991109489</v>
      </c>
      <c r="G53" s="1773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7"/>
        <v>4.6900000000000004E-2</v>
      </c>
      <c r="O53" s="120">
        <f t="shared" si="17"/>
        <v>3.5499999999999997E-2</v>
      </c>
      <c r="P53" s="120">
        <f t="shared" si="17"/>
        <v>5.0700000000000002E-2</v>
      </c>
      <c r="Q53" s="120">
        <f t="shared" si="1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27"/>
        <v>232.06990378821649</v>
      </c>
      <c r="C54" s="88">
        <f t="shared" si="27"/>
        <v>192.74878854286936</v>
      </c>
      <c r="D54" s="88">
        <f t="shared" si="15"/>
        <v>192.74878854286936</v>
      </c>
      <c r="E54" s="88">
        <f t="shared" si="28"/>
        <v>319.71247284992984</v>
      </c>
      <c r="F54" s="88">
        <f t="shared" si="28"/>
        <v>175.67053622862409</v>
      </c>
      <c r="G54" s="1776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7"/>
        <v>5.4000000000000006E-2</v>
      </c>
      <c r="O54" s="120">
        <f t="shared" si="17"/>
        <v>3.2000000000000001E-2</v>
      </c>
      <c r="P54" s="120">
        <f t="shared" si="17"/>
        <v>6.1600000000000002E-2</v>
      </c>
      <c r="Q54" s="120">
        <f t="shared" si="1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5"/>
        <v>187</v>
      </c>
      <c r="E55" s="91">
        <v>301</v>
      </c>
      <c r="F55" s="92">
        <v>168</v>
      </c>
      <c r="G55" s="1777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7"/>
        <v>2.3E-2</v>
      </c>
      <c r="O55" s="130">
        <f t="shared" si="17"/>
        <v>1.04E-2</v>
      </c>
      <c r="P55" s="130">
        <f t="shared" si="17"/>
        <v>2.8399999999999998E-2</v>
      </c>
      <c r="Q55" s="130">
        <f t="shared" si="1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29">B55/(1+N55)</f>
        <v>215.05376344086022</v>
      </c>
      <c r="C56" s="88">
        <f t="shared" si="29"/>
        <v>185.0752177355503</v>
      </c>
      <c r="D56" s="88">
        <f t="shared" si="15"/>
        <v>185.0752177355503</v>
      </c>
      <c r="E56" s="88">
        <f t="shared" ref="E56:F58" si="30">E55/(1+P55)</f>
        <v>292.68767016725008</v>
      </c>
      <c r="F56" s="88">
        <f t="shared" si="30"/>
        <v>166.88189132810174</v>
      </c>
      <c r="G56" s="1773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7"/>
        <v>2.1000000000000001E-2</v>
      </c>
      <c r="O56" s="120">
        <f t="shared" si="17"/>
        <v>1.8600000000000002E-2</v>
      </c>
      <c r="P56" s="120">
        <f t="shared" si="17"/>
        <v>2.29E-2</v>
      </c>
      <c r="Q56" s="120">
        <f t="shared" si="1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29"/>
        <v>210.630522469011</v>
      </c>
      <c r="C57" s="88">
        <f t="shared" si="29"/>
        <v>181.69567812247232</v>
      </c>
      <c r="D57" s="88">
        <f t="shared" si="15"/>
        <v>181.69567812247232</v>
      </c>
      <c r="E57" s="88">
        <f t="shared" si="30"/>
        <v>286.13517466736738</v>
      </c>
      <c r="F57" s="88">
        <f t="shared" si="30"/>
        <v>165.47535084591149</v>
      </c>
      <c r="G57" s="1773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7"/>
        <v>8.6E-3</v>
      </c>
      <c r="O57" s="120">
        <f t="shared" si="17"/>
        <v>-1.1299999999999999E-2</v>
      </c>
      <c r="P57" s="120">
        <f t="shared" si="17"/>
        <v>1.7899999999999999E-2</v>
      </c>
      <c r="Q57" s="120">
        <f t="shared" si="1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29"/>
        <v>208.83454537875372</v>
      </c>
      <c r="C58" s="88">
        <f t="shared" si="29"/>
        <v>183.77230517090351</v>
      </c>
      <c r="D58" s="88">
        <f t="shared" si="15"/>
        <v>183.77230517090351</v>
      </c>
      <c r="E58" s="88">
        <f t="shared" si="30"/>
        <v>281.10342338870947</v>
      </c>
      <c r="F58" s="88">
        <f t="shared" si="30"/>
        <v>168.97309388942256</v>
      </c>
      <c r="G58" s="1776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7"/>
        <v>-2.64E-2</v>
      </c>
      <c r="O58" s="133">
        <f t="shared" si="17"/>
        <v>-2.53E-2</v>
      </c>
      <c r="P58" s="133">
        <f t="shared" si="17"/>
        <v>-3.0200000000000001E-2</v>
      </c>
      <c r="Q58" s="133">
        <f t="shared" si="1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5"/>
        <v>188</v>
      </c>
      <c r="E59" s="101">
        <v>289</v>
      </c>
      <c r="F59" s="102">
        <v>166</v>
      </c>
      <c r="G59" s="1777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7"/>
        <v>1.7299999999999999E-2</v>
      </c>
      <c r="O59" s="120">
        <f t="shared" si="17"/>
        <v>2.9999999999999997E-4</v>
      </c>
      <c r="P59" s="120">
        <f t="shared" si="17"/>
        <v>2.5899999999999999E-2</v>
      </c>
      <c r="Q59" s="120">
        <f t="shared" si="1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31">B59/(1+N59)</f>
        <v>210.36075887152265</v>
      </c>
      <c r="C60" s="88">
        <f t="shared" si="31"/>
        <v>187.94361691492554</v>
      </c>
      <c r="D60" s="88">
        <f t="shared" si="15"/>
        <v>187.94361691492554</v>
      </c>
      <c r="E60" s="88">
        <f t="shared" ref="E60:F62" si="32">E59/(1+P59)</f>
        <v>281.70386977288234</v>
      </c>
      <c r="F60" s="88">
        <f t="shared" si="32"/>
        <v>168.80211511083994</v>
      </c>
      <c r="G60" s="1773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7"/>
        <v>1.9599999999999999E-2</v>
      </c>
      <c r="O60" s="120">
        <f t="shared" si="17"/>
        <v>2.3599999999999999E-2</v>
      </c>
      <c r="P60" s="120">
        <f t="shared" si="17"/>
        <v>1.8200000000000001E-2</v>
      </c>
      <c r="Q60" s="120">
        <f t="shared" si="1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31"/>
        <v>206.31694671589116</v>
      </c>
      <c r="C61" s="88">
        <f t="shared" si="31"/>
        <v>183.61041121036101</v>
      </c>
      <c r="D61" s="88">
        <f t="shared" si="15"/>
        <v>183.61041121036101</v>
      </c>
      <c r="E61" s="88">
        <f t="shared" si="32"/>
        <v>276.66850301795557</v>
      </c>
      <c r="F61" s="88">
        <f t="shared" si="32"/>
        <v>165.1360938278614</v>
      </c>
      <c r="G61" s="1773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7"/>
        <v>4.9299999999999997E-2</v>
      </c>
      <c r="O61" s="120">
        <f t="shared" si="17"/>
        <v>7.3800000000000004E-2</v>
      </c>
      <c r="P61" s="120">
        <f t="shared" si="17"/>
        <v>3.9800000000000002E-2</v>
      </c>
      <c r="Q61" s="120">
        <f t="shared" si="1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31"/>
        <v>196.62341248059772</v>
      </c>
      <c r="C62" s="104">
        <f t="shared" si="31"/>
        <v>170.99125648199012</v>
      </c>
      <c r="D62" s="104">
        <f t="shared" si="15"/>
        <v>170.99125648199012</v>
      </c>
      <c r="E62" s="104">
        <f t="shared" si="32"/>
        <v>266.07857570490052</v>
      </c>
      <c r="F62" s="104">
        <f t="shared" si="32"/>
        <v>154.53499328828505</v>
      </c>
      <c r="G62" s="1776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7"/>
        <v>4.1399999999999999E-2</v>
      </c>
      <c r="O62" s="138">
        <f t="shared" si="17"/>
        <v>3.4500000000000003E-2</v>
      </c>
      <c r="P62" s="138">
        <f t="shared" si="17"/>
        <v>4.9500000000000002E-2</v>
      </c>
      <c r="Q62" s="138">
        <f t="shared" si="1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5"/>
        <v>165</v>
      </c>
      <c r="E63" s="91">
        <v>254</v>
      </c>
      <c r="F63" s="92">
        <v>148</v>
      </c>
      <c r="G63" s="1777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33">B63/B64-1</f>
        <v>4.1339718365245526E-2</v>
      </c>
      <c r="O63" s="141">
        <f t="shared" si="33"/>
        <v>4.0324492593776018E-2</v>
      </c>
      <c r="P63" s="141">
        <f t="shared" ref="P63:Q66" si="34">E63/E64-1</f>
        <v>6.1625555347990968E-2</v>
      </c>
      <c r="Q63" s="141">
        <f t="shared" si="3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35">B65+(B$63-B$67)*I64/SUM(I$63:I$66)</f>
        <v>180.5366651097618</v>
      </c>
      <c r="C64" s="88">
        <f t="shared" si="35"/>
        <v>158.60435967302453</v>
      </c>
      <c r="D64" s="88">
        <f t="shared" si="15"/>
        <v>158.60435967302453</v>
      </c>
      <c r="E64" s="88">
        <f t="shared" ref="E64:F66" si="36">E65+(E$63-E$67)*K64/SUM(K$63:K$66)</f>
        <v>239.25573260785075</v>
      </c>
      <c r="F64" s="88">
        <f t="shared" si="36"/>
        <v>141.38899430740037</v>
      </c>
      <c r="G64" s="1773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33"/>
        <v>6.940217571740015E-2</v>
      </c>
      <c r="O64" s="141">
        <f t="shared" si="33"/>
        <v>7.1197482471153428E-2</v>
      </c>
      <c r="P64" s="141">
        <f t="shared" si="34"/>
        <v>0.10529679922579582</v>
      </c>
      <c r="Q64" s="141">
        <f t="shared" si="3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35"/>
        <v>168.82017748715555</v>
      </c>
      <c r="C65" s="88">
        <f t="shared" si="35"/>
        <v>148.06267029972753</v>
      </c>
      <c r="D65" s="88">
        <f t="shared" si="15"/>
        <v>148.06267029972753</v>
      </c>
      <c r="E65" s="88">
        <f t="shared" si="36"/>
        <v>216.46288379323747</v>
      </c>
      <c r="F65" s="88">
        <f t="shared" si="36"/>
        <v>134.23529411764704</v>
      </c>
      <c r="G65" s="1773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33"/>
        <v>3.0339138143848032E-2</v>
      </c>
      <c r="O65" s="141">
        <f t="shared" si="33"/>
        <v>2.0922341588790472E-2</v>
      </c>
      <c r="P65" s="141">
        <f t="shared" si="34"/>
        <v>5.6164796592717003E-2</v>
      </c>
      <c r="Q65" s="141">
        <f t="shared" si="3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35"/>
        <v>163.84913591779542</v>
      </c>
      <c r="C66" s="88">
        <f t="shared" si="35"/>
        <v>145.0283378746594</v>
      </c>
      <c r="D66" s="88">
        <f t="shared" si="15"/>
        <v>145.0283378746594</v>
      </c>
      <c r="E66" s="88">
        <f t="shared" si="36"/>
        <v>204.95180722891567</v>
      </c>
      <c r="F66" s="88">
        <f t="shared" si="36"/>
        <v>125.95920303605313</v>
      </c>
      <c r="G66" s="1776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33"/>
        <v>3.0497710174814063E-2</v>
      </c>
      <c r="O66" s="168">
        <f t="shared" si="33"/>
        <v>2.8569772160704998E-2</v>
      </c>
      <c r="P66" s="168">
        <f t="shared" si="34"/>
        <v>5.1034908866234296E-2</v>
      </c>
      <c r="Q66" s="168">
        <f t="shared" si="3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5"/>
        <v>141</v>
      </c>
      <c r="E67" s="95">
        <v>195</v>
      </c>
      <c r="F67" s="96">
        <v>122</v>
      </c>
      <c r="G67" s="1777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37">I67/SUM(I$67:I$70)*(B$67/B$71-1)</f>
        <v>7.245466462748526E-2</v>
      </c>
      <c r="O67" s="141">
        <f t="shared" si="37"/>
        <v>2.3237230038062766E-2</v>
      </c>
      <c r="P67" s="141">
        <f t="shared" ref="P67:Q70" si="38">K67/SUM(K$67:K$70)*(E$67/E$71-1)</f>
        <v>0.16146893866323722</v>
      </c>
      <c r="Q67" s="141">
        <f t="shared" si="3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39">B69+(B$67-B$71)*I68/SUM(I$67:I$70)</f>
        <v>149.00125628140702</v>
      </c>
      <c r="C68" s="88">
        <f t="shared" si="39"/>
        <v>137.95592286501378</v>
      </c>
      <c r="D68" s="88">
        <f t="shared" si="15"/>
        <v>137.95592286501378</v>
      </c>
      <c r="E68" s="88">
        <f t="shared" ref="E68:F70" si="40">E69+(E$67-E$71)*K68/SUM(K$67:K$70)</f>
        <v>169.97231450719823</v>
      </c>
      <c r="F68" s="88">
        <f t="shared" si="40"/>
        <v>116.21390374331551</v>
      </c>
      <c r="G68" s="1773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37"/>
        <v>1.7587939698492462E-2</v>
      </c>
      <c r="O68" s="141">
        <f t="shared" si="37"/>
        <v>1.1355750425840628E-2</v>
      </c>
      <c r="P68" s="141">
        <f t="shared" si="38"/>
        <v>2.0862358446754544E-2</v>
      </c>
      <c r="Q68" s="141">
        <f t="shared" si="3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39"/>
        <v>146.57412060301507</v>
      </c>
      <c r="C69" s="88">
        <f t="shared" si="39"/>
        <v>136.46831955922866</v>
      </c>
      <c r="D69" s="88">
        <f t="shared" si="15"/>
        <v>136.46831955922866</v>
      </c>
      <c r="E69" s="99">
        <f t="shared" si="40"/>
        <v>166.73864894795128</v>
      </c>
      <c r="F69" s="88">
        <f t="shared" si="40"/>
        <v>115.05882352941177</v>
      </c>
      <c r="G69" s="1773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37"/>
        <v>1.8352632728861701E-2</v>
      </c>
      <c r="O69" s="141">
        <f t="shared" si="37"/>
        <v>2.6286459319075526E-3</v>
      </c>
      <c r="P69" s="141">
        <f t="shared" si="38"/>
        <v>5.4299289107991269E-2</v>
      </c>
      <c r="Q69" s="141">
        <f t="shared" si="3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39"/>
        <v>144.04145728643215</v>
      </c>
      <c r="C70" s="88">
        <f t="shared" si="39"/>
        <v>136.12396694214877</v>
      </c>
      <c r="D70" s="88">
        <f t="shared" si="15"/>
        <v>136.12396694214877</v>
      </c>
      <c r="E70" s="88">
        <f t="shared" si="40"/>
        <v>158.32225913621264</v>
      </c>
      <c r="F70" s="88">
        <f t="shared" si="40"/>
        <v>114.04278074866311</v>
      </c>
      <c r="G70" s="1776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37"/>
        <v>4.3778675988638847E-2</v>
      </c>
      <c r="O70" s="168">
        <f t="shared" si="37"/>
        <v>3.9114251466784385E-2</v>
      </c>
      <c r="P70" s="168">
        <f t="shared" si="38"/>
        <v>2.1433929911049188E-2</v>
      </c>
      <c r="Q70" s="168">
        <f t="shared" si="3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5"/>
        <v>131</v>
      </c>
      <c r="E71" s="95">
        <v>155</v>
      </c>
      <c r="F71" s="96">
        <v>114</v>
      </c>
      <c r="G71" s="1777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41">I71/SUM(I$71:I$74)*(B$71/B$75-1)</f>
        <v>9.9404603216919935E-2</v>
      </c>
      <c r="O71" s="141">
        <f t="shared" si="41"/>
        <v>4.7636550760861554E-2</v>
      </c>
      <c r="P71" s="141">
        <f t="shared" ref="P71:Q74" si="42">K71/SUM(K$71:K$74)*(E$71/E$75-1)</f>
        <v>8.3756345177664976E-2</v>
      </c>
      <c r="Q71" s="141">
        <f t="shared" si="4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43">B73+(B$71-B$75)*I72/SUM(I$71:I$74)</f>
        <v>125.9720430107527</v>
      </c>
      <c r="C72" s="88">
        <f t="shared" si="43"/>
        <v>125.1883408071749</v>
      </c>
      <c r="D72" s="88">
        <f t="shared" si="15"/>
        <v>125.1883408071749</v>
      </c>
      <c r="E72" s="88">
        <f t="shared" ref="E72:F74" si="44">E73+(E$71-E$75)*K72/SUM(K$71:K$74)</f>
        <v>144.61421319796952</v>
      </c>
      <c r="F72" s="88">
        <f t="shared" si="44"/>
        <v>108.42008196721311</v>
      </c>
      <c r="G72" s="1773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41"/>
        <v>1.3898515951301874E-2</v>
      </c>
      <c r="O72" s="141">
        <f t="shared" si="41"/>
        <v>1.0585900169080346E-2</v>
      </c>
      <c r="P72" s="141">
        <f t="shared" si="42"/>
        <v>5.3299492385786795E-2</v>
      </c>
      <c r="Q72" s="141">
        <f t="shared" si="4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43"/>
        <v>124.29032258064517</v>
      </c>
      <c r="C73" s="88">
        <f t="shared" si="43"/>
        <v>123.8968609865471</v>
      </c>
      <c r="D73" s="88">
        <f t="shared" si="15"/>
        <v>123.8968609865471</v>
      </c>
      <c r="E73" s="88">
        <f t="shared" si="44"/>
        <v>138.00507614213197</v>
      </c>
      <c r="F73" s="88">
        <f t="shared" si="44"/>
        <v>107.96106557377048</v>
      </c>
      <c r="G73" s="1773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41"/>
        <v>1.420065760241713E-2</v>
      </c>
      <c r="O73" s="141">
        <f t="shared" si="41"/>
        <v>3.3080938028376083E-3</v>
      </c>
      <c r="P73" s="141">
        <f t="shared" si="42"/>
        <v>6.598984771573603E-2</v>
      </c>
      <c r="Q73" s="141">
        <f t="shared" si="4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43"/>
        <v>122.57204301075269</v>
      </c>
      <c r="C74" s="88">
        <f t="shared" si="43"/>
        <v>123.4932735426009</v>
      </c>
      <c r="D74" s="88">
        <f t="shared" si="15"/>
        <v>123.4932735426009</v>
      </c>
      <c r="E74" s="88">
        <f t="shared" si="44"/>
        <v>129.82233502538071</v>
      </c>
      <c r="F74" s="88">
        <f t="shared" si="44"/>
        <v>107.39446721311475</v>
      </c>
      <c r="G74" s="1776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41"/>
        <v>1.2992090997956099E-2</v>
      </c>
      <c r="O74" s="168">
        <f t="shared" si="41"/>
        <v>1.2239947070499151E-2</v>
      </c>
      <c r="P74" s="168">
        <f t="shared" si="42"/>
        <v>4.6954314720812178E-2</v>
      </c>
      <c r="Q74" s="168">
        <f t="shared" si="4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5"/>
        <v>122</v>
      </c>
      <c r="E75" s="101">
        <v>124</v>
      </c>
      <c r="F75" s="102">
        <v>107</v>
      </c>
      <c r="G75" s="1777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45">I75/SUM(I$75:I$78)*(B$75/B$79-1)</f>
        <v>1.3391770148526898E-2</v>
      </c>
      <c r="O75" s="141">
        <f t="shared" si="45"/>
        <v>1.063264221158958E-2</v>
      </c>
      <c r="P75" s="141">
        <f t="shared" ref="P75:Q78" si="46">K75/SUM(K$75:K$78)*(E$75/E$79-1)</f>
        <v>2.2244466688911134E-2</v>
      </c>
      <c r="Q75" s="141">
        <f t="shared" si="4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47">B77+(B$75-B$79)*I76/SUM(I$75:I$78)</f>
        <v>119.51351351351352</v>
      </c>
      <c r="C76" s="88">
        <f t="shared" si="47"/>
        <v>120.7878787878788</v>
      </c>
      <c r="D76" s="88">
        <f t="shared" si="15"/>
        <v>120.7878787878788</v>
      </c>
      <c r="E76" s="88">
        <f t="shared" ref="E76:F78" si="48">E77+(E$75-E$79)*K76/SUM(K$75:K$78)</f>
        <v>121.5975975975976</v>
      </c>
      <c r="F76" s="88">
        <f t="shared" si="48"/>
        <v>107</v>
      </c>
      <c r="G76" s="1773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45"/>
        <v>2.2725428130833527E-2</v>
      </c>
      <c r="O76" s="141">
        <f t="shared" si="45"/>
        <v>1.7012227538543329E-2</v>
      </c>
      <c r="P76" s="141">
        <f t="shared" si="46"/>
        <v>3.6925814703592477E-2</v>
      </c>
      <c r="Q76" s="141">
        <f t="shared" si="4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47"/>
        <v>116.99099099099099</v>
      </c>
      <c r="C77" s="88">
        <f t="shared" si="47"/>
        <v>118.84848484848486</v>
      </c>
      <c r="D77" s="88">
        <f t="shared" si="15"/>
        <v>118.84848484848486</v>
      </c>
      <c r="E77" s="88">
        <f t="shared" si="48"/>
        <v>117.60960960960961</v>
      </c>
      <c r="F77" s="88">
        <f t="shared" si="48"/>
        <v>104</v>
      </c>
      <c r="G77" s="1773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45"/>
        <v>4.0581121662202721E-2</v>
      </c>
      <c r="O77" s="141">
        <f t="shared" si="45"/>
        <v>3.1897926634768738E-2</v>
      </c>
      <c r="P77" s="141">
        <f t="shared" si="46"/>
        <v>6.6733400066733395E-2</v>
      </c>
      <c r="Q77" s="141">
        <f t="shared" si="4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47"/>
        <v>112.48648648648648</v>
      </c>
      <c r="C78" s="104">
        <f t="shared" si="47"/>
        <v>115.21212121212122</v>
      </c>
      <c r="D78" s="104">
        <f t="shared" si="15"/>
        <v>115.21212121212122</v>
      </c>
      <c r="E78" s="104">
        <f t="shared" si="48"/>
        <v>110.4024024024024</v>
      </c>
      <c r="F78" s="104">
        <f t="shared" si="48"/>
        <v>104</v>
      </c>
      <c r="G78" s="1776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45"/>
        <v>1.3391770148526898E-2</v>
      </c>
      <c r="O78" s="170">
        <f t="shared" si="45"/>
        <v>1.063264221158958E-2</v>
      </c>
      <c r="P78" s="170">
        <f t="shared" si="46"/>
        <v>2.2244466688911134E-2</v>
      </c>
      <c r="Q78" s="170">
        <f t="shared" si="4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5"/>
        <v>114</v>
      </c>
      <c r="E79" s="155">
        <v>108</v>
      </c>
      <c r="F79" s="156">
        <v>104</v>
      </c>
      <c r="G79" s="1777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49">B81+(B$79-B$83)/4</f>
        <v>109.75</v>
      </c>
      <c r="C80" s="157">
        <f t="shared" si="49"/>
        <v>112.25</v>
      </c>
      <c r="D80" s="157">
        <f t="shared" si="15"/>
        <v>112.25</v>
      </c>
      <c r="E80" s="157">
        <f t="shared" ref="E80:F82" si="50">E81+(E$79-E$83)/4</f>
        <v>107.25</v>
      </c>
      <c r="F80" s="157">
        <f t="shared" si="50"/>
        <v>103.5</v>
      </c>
      <c r="G80" s="1773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49"/>
        <v>108.5</v>
      </c>
      <c r="C81" s="157">
        <f t="shared" si="49"/>
        <v>110.5</v>
      </c>
      <c r="D81" s="157">
        <f t="shared" si="15"/>
        <v>110.5</v>
      </c>
      <c r="E81" s="157">
        <f t="shared" si="50"/>
        <v>106.5</v>
      </c>
      <c r="F81" s="157">
        <f t="shared" si="50"/>
        <v>103</v>
      </c>
      <c r="G81" s="1773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49"/>
        <v>107.25</v>
      </c>
      <c r="C82" s="157">
        <f t="shared" si="49"/>
        <v>108.75</v>
      </c>
      <c r="D82" s="157">
        <f t="shared" si="15"/>
        <v>108.75</v>
      </c>
      <c r="E82" s="157">
        <f t="shared" si="50"/>
        <v>105.75</v>
      </c>
      <c r="F82" s="157">
        <f t="shared" si="50"/>
        <v>102.5</v>
      </c>
      <c r="G82" s="1776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5"/>
        <v>107</v>
      </c>
      <c r="E83" s="159">
        <v>105</v>
      </c>
      <c r="F83" s="160">
        <v>102</v>
      </c>
      <c r="G83" s="1777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51">B85+(B$83-B$87)/4</f>
        <v>105</v>
      </c>
      <c r="C84" s="157">
        <f t="shared" si="51"/>
        <v>106</v>
      </c>
      <c r="D84" s="157">
        <f t="shared" si="15"/>
        <v>106</v>
      </c>
      <c r="E84" s="157">
        <f t="shared" ref="E84:F86" si="52">E85+(E$83-E$87)/4</f>
        <v>104.5</v>
      </c>
      <c r="F84" s="157">
        <f t="shared" si="52"/>
        <v>101.5</v>
      </c>
      <c r="G84" s="1773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51"/>
        <v>104</v>
      </c>
      <c r="C85" s="157">
        <f t="shared" si="51"/>
        <v>105</v>
      </c>
      <c r="D85" s="157">
        <f t="shared" si="15"/>
        <v>105</v>
      </c>
      <c r="E85" s="157">
        <f t="shared" si="52"/>
        <v>104</v>
      </c>
      <c r="F85" s="157">
        <f t="shared" si="52"/>
        <v>101</v>
      </c>
      <c r="G85" s="1773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51"/>
        <v>103</v>
      </c>
      <c r="C86" s="151">
        <f t="shared" si="51"/>
        <v>104</v>
      </c>
      <c r="D86" s="151">
        <f t="shared" si="15"/>
        <v>104</v>
      </c>
      <c r="E86" s="151">
        <f t="shared" si="52"/>
        <v>103.5</v>
      </c>
      <c r="F86" s="151">
        <f t="shared" si="52"/>
        <v>100.5</v>
      </c>
      <c r="G86" s="1776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48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 t="e">
        <f>'2002基准地价'!B24</f>
        <v>#NUM!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>C18</f>
        <v>2.0299999999999999E-2</v>
      </c>
      <c r="I18" s="5">
        <f>D18</f>
        <v>2.0299999999999999E-2</v>
      </c>
      <c r="J18" s="5">
        <f>E18</f>
        <v>2.5899999999999999E-2</v>
      </c>
      <c r="K18" s="26">
        <f>F18</f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5">T60</f>
        <v>1.14E-2</v>
      </c>
      <c r="C60" s="18">
        <f t="shared" si="5"/>
        <v>1.5599999999999999E-2</v>
      </c>
      <c r="D60" s="14">
        <f t="shared" si="2"/>
        <v>1.5599999999999999E-2</v>
      </c>
      <c r="E60" s="18">
        <f t="shared" ref="E60:F67" si="6">V60</f>
        <v>7.0000000000000001E-3</v>
      </c>
      <c r="F60" s="19">
        <f t="shared" si="6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>ROUND(Z60/Z61-1,4)</f>
        <v>1.5599999999999999E-2</v>
      </c>
      <c r="V60" s="58">
        <f>ROUND(AA60/AA61-1,4)</f>
        <v>7.0000000000000001E-3</v>
      </c>
      <c r="W60" s="58">
        <f>ROUND(AB60/AB61-1,4)</f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5"/>
        <v>1.15E-2</v>
      </c>
      <c r="C61" s="18">
        <f t="shared" si="5"/>
        <v>1.5800000000000002E-2</v>
      </c>
      <c r="D61" s="14">
        <f t="shared" si="2"/>
        <v>1.5800000000000002E-2</v>
      </c>
      <c r="E61" s="18">
        <f t="shared" si="6"/>
        <v>7.0000000000000001E-3</v>
      </c>
      <c r="F61" s="19">
        <f t="shared" si="6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7">ROUND(Y61/Y62-1,4)</f>
        <v>1.15E-2</v>
      </c>
      <c r="U61" s="58">
        <f t="shared" ref="U61:U67" si="8">ROUND(Z61/Z62-1,4)</f>
        <v>1.5800000000000002E-2</v>
      </c>
      <c r="V61" s="58">
        <f t="shared" ref="V61:V67" si="9">ROUND(AA61/AA62-1,4)</f>
        <v>7.0000000000000001E-3</v>
      </c>
      <c r="W61" s="58">
        <f t="shared" ref="W61:W67" si="10">ROUND(AB61/AB62-1,4)</f>
        <v>4.8999999999999998E-3</v>
      </c>
      <c r="Y61" s="59">
        <f>Y62+($Y$60-$Y$64)/4</f>
        <v>109.75</v>
      </c>
      <c r="Z61" s="59">
        <f>Z62+($Z$60-$Z$64)/4</f>
        <v>112.25</v>
      </c>
      <c r="AA61" s="59">
        <f>AA62+($AA$60-$AA$64)/4</f>
        <v>107.25</v>
      </c>
      <c r="AB61" s="59">
        <f>AB62+($AB$60-$AB$64)/4</f>
        <v>103.5</v>
      </c>
    </row>
    <row r="62" spans="1:28" ht="14.25">
      <c r="A62" s="10" t="s">
        <v>1289</v>
      </c>
      <c r="B62" s="18">
        <f t="shared" si="5"/>
        <v>1.17E-2</v>
      </c>
      <c r="C62" s="18">
        <f t="shared" si="5"/>
        <v>1.61E-2</v>
      </c>
      <c r="D62" s="14">
        <f t="shared" si="2"/>
        <v>1.61E-2</v>
      </c>
      <c r="E62" s="18">
        <f t="shared" si="6"/>
        <v>7.1000000000000004E-3</v>
      </c>
      <c r="F62" s="19">
        <f t="shared" si="6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7"/>
        <v>1.17E-2</v>
      </c>
      <c r="U62" s="58">
        <f t="shared" si="8"/>
        <v>1.61E-2</v>
      </c>
      <c r="V62" s="58">
        <f t="shared" si="9"/>
        <v>7.1000000000000004E-3</v>
      </c>
      <c r="W62" s="58">
        <f t="shared" si="10"/>
        <v>4.8999999999999998E-3</v>
      </c>
      <c r="Y62" s="59">
        <f>Y63+($Y$60-$Y$64)/4</f>
        <v>108.5</v>
      </c>
      <c r="Z62" s="59">
        <f>Z63+($Z$60-$Z$64)/4</f>
        <v>110.5</v>
      </c>
      <c r="AA62" s="59">
        <f>AA63+($AA$60-$AA$64)/4</f>
        <v>106.5</v>
      </c>
      <c r="AB62" s="59">
        <f>AB63+($AB$60-$AB$64)/4</f>
        <v>103</v>
      </c>
    </row>
    <row r="63" spans="1:28" ht="14.25">
      <c r="A63" s="10" t="s">
        <v>1290</v>
      </c>
      <c r="B63" s="18">
        <f t="shared" si="5"/>
        <v>1.18E-2</v>
      </c>
      <c r="C63" s="18">
        <f t="shared" si="5"/>
        <v>1.6400000000000001E-2</v>
      </c>
      <c r="D63" s="14">
        <f t="shared" si="2"/>
        <v>1.6400000000000001E-2</v>
      </c>
      <c r="E63" s="18">
        <f t="shared" si="6"/>
        <v>7.1000000000000004E-3</v>
      </c>
      <c r="F63" s="19">
        <f t="shared" si="6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7"/>
        <v>1.18E-2</v>
      </c>
      <c r="U63" s="58">
        <f t="shared" si="8"/>
        <v>1.6400000000000001E-2</v>
      </c>
      <c r="V63" s="58">
        <f t="shared" si="9"/>
        <v>7.1000000000000004E-3</v>
      </c>
      <c r="W63" s="58">
        <f t="shared" si="10"/>
        <v>4.8999999999999998E-3</v>
      </c>
      <c r="Y63" s="59">
        <f>Y64+($Y$60-$Y$64)/4</f>
        <v>107.25</v>
      </c>
      <c r="Z63" s="59">
        <f>Z64+($Z$60-$Z$64)/4</f>
        <v>108.75</v>
      </c>
      <c r="AA63" s="59">
        <f>AA64+($AA$60-$AA$64)/4</f>
        <v>105.75</v>
      </c>
      <c r="AB63" s="59">
        <f>AB64+($AB$60-$AB$64)/4</f>
        <v>102.5</v>
      </c>
    </row>
    <row r="64" spans="1:28" ht="14.25">
      <c r="A64" s="10" t="s">
        <v>1291</v>
      </c>
      <c r="B64" s="18">
        <f t="shared" si="5"/>
        <v>9.4999999999999998E-3</v>
      </c>
      <c r="C64" s="18">
        <f t="shared" si="5"/>
        <v>9.4000000000000004E-3</v>
      </c>
      <c r="D64" s="14">
        <f t="shared" si="2"/>
        <v>9.4000000000000004E-3</v>
      </c>
      <c r="E64" s="18">
        <f t="shared" si="6"/>
        <v>4.7999999999999996E-3</v>
      </c>
      <c r="F64" s="19">
        <f t="shared" si="6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7"/>
        <v>9.4999999999999998E-3</v>
      </c>
      <c r="U64" s="58">
        <f t="shared" si="8"/>
        <v>9.4000000000000004E-3</v>
      </c>
      <c r="V64" s="58">
        <f t="shared" si="9"/>
        <v>4.7999999999999996E-3</v>
      </c>
      <c r="W64" s="58">
        <f t="shared" si="10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5"/>
        <v>9.5999999999999992E-3</v>
      </c>
      <c r="C65" s="18">
        <f t="shared" si="5"/>
        <v>9.4999999999999998E-3</v>
      </c>
      <c r="D65" s="14">
        <f t="shared" si="2"/>
        <v>9.4999999999999998E-3</v>
      </c>
      <c r="E65" s="18">
        <f t="shared" si="6"/>
        <v>4.7999999999999996E-3</v>
      </c>
      <c r="F65" s="19">
        <f t="shared" si="6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7"/>
        <v>9.5999999999999992E-3</v>
      </c>
      <c r="U65" s="58">
        <f t="shared" si="8"/>
        <v>9.4999999999999998E-3</v>
      </c>
      <c r="V65" s="58">
        <f t="shared" si="9"/>
        <v>4.7999999999999996E-3</v>
      </c>
      <c r="W65" s="58">
        <f t="shared" si="10"/>
        <v>5.0000000000000001E-3</v>
      </c>
      <c r="Y65" s="59">
        <f t="shared" ref="Y65:AB67" si="11">Y66+(Y$64-Y$68)/4</f>
        <v>105</v>
      </c>
      <c r="Z65" s="59">
        <f t="shared" si="11"/>
        <v>106</v>
      </c>
      <c r="AA65" s="59">
        <f t="shared" si="11"/>
        <v>104.5</v>
      </c>
      <c r="AB65" s="59">
        <f t="shared" si="11"/>
        <v>101.5</v>
      </c>
    </row>
    <row r="66" spans="1:28" ht="14.25">
      <c r="A66" s="10" t="s">
        <v>1293</v>
      </c>
      <c r="B66" s="18">
        <f t="shared" si="5"/>
        <v>9.7000000000000003E-3</v>
      </c>
      <c r="C66" s="18">
        <f t="shared" si="5"/>
        <v>9.5999999999999992E-3</v>
      </c>
      <c r="D66" s="14">
        <f t="shared" si="2"/>
        <v>9.5999999999999992E-3</v>
      </c>
      <c r="E66" s="18">
        <f t="shared" si="6"/>
        <v>4.7999999999999996E-3</v>
      </c>
      <c r="F66" s="19">
        <f t="shared" si="6"/>
        <v>5.0000000000000001E-3</v>
      </c>
      <c r="L66" s="13">
        <f>B66</f>
        <v>9.7000000000000003E-3</v>
      </c>
      <c r="M66" s="5">
        <f>C66</f>
        <v>9.5999999999999992E-3</v>
      </c>
      <c r="N66" s="5">
        <f>D66</f>
        <v>9.5999999999999992E-3</v>
      </c>
      <c r="O66" s="5">
        <f>E66</f>
        <v>4.7999999999999996E-3</v>
      </c>
      <c r="P66" s="5">
        <f>F66</f>
        <v>5.0000000000000001E-3</v>
      </c>
      <c r="S66" s="35">
        <v>2</v>
      </c>
      <c r="T66" s="58">
        <f t="shared" si="7"/>
        <v>9.7000000000000003E-3</v>
      </c>
      <c r="U66" s="58">
        <f t="shared" si="8"/>
        <v>9.5999999999999992E-3</v>
      </c>
      <c r="V66" s="58">
        <f t="shared" si="9"/>
        <v>4.7999999999999996E-3</v>
      </c>
      <c r="W66" s="58">
        <f t="shared" si="10"/>
        <v>5.0000000000000001E-3</v>
      </c>
      <c r="Y66" s="59">
        <f t="shared" si="11"/>
        <v>104</v>
      </c>
      <c r="Z66" s="59">
        <f t="shared" si="11"/>
        <v>105</v>
      </c>
      <c r="AA66" s="59">
        <f t="shared" si="11"/>
        <v>104</v>
      </c>
      <c r="AB66" s="59">
        <f t="shared" si="11"/>
        <v>101</v>
      </c>
    </row>
    <row r="67" spans="1:28" ht="14.25">
      <c r="A67" s="10" t="s">
        <v>1294</v>
      </c>
      <c r="B67" s="18">
        <f t="shared" si="5"/>
        <v>9.7999999999999997E-3</v>
      </c>
      <c r="C67" s="18">
        <f t="shared" si="5"/>
        <v>9.7000000000000003E-3</v>
      </c>
      <c r="D67" s="14">
        <f t="shared" si="2"/>
        <v>9.7000000000000003E-3</v>
      </c>
      <c r="E67" s="18">
        <f t="shared" si="6"/>
        <v>4.8999999999999998E-3</v>
      </c>
      <c r="F67" s="19">
        <f t="shared" si="6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7"/>
        <v>9.7999999999999997E-3</v>
      </c>
      <c r="U67" s="58">
        <f t="shared" si="8"/>
        <v>9.7000000000000003E-3</v>
      </c>
      <c r="V67" s="58">
        <f t="shared" si="9"/>
        <v>4.8999999999999998E-3</v>
      </c>
      <c r="W67" s="58">
        <f t="shared" si="10"/>
        <v>5.0000000000000001E-3</v>
      </c>
      <c r="Y67" s="59">
        <f t="shared" si="11"/>
        <v>103</v>
      </c>
      <c r="Z67" s="59">
        <f t="shared" si="11"/>
        <v>104</v>
      </c>
      <c r="AA67" s="59">
        <f t="shared" si="11"/>
        <v>103.5</v>
      </c>
      <c r="AB67" s="59">
        <f t="shared" si="11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4" sqref="C24"/>
    </sheetView>
  </sheetViews>
  <sheetFormatPr defaultColWidth="9" defaultRowHeight="18.75"/>
  <cols>
    <col min="1" max="1" width="9.5" style="1568" customWidth="1"/>
    <col min="2" max="2" width="30" style="1569" customWidth="1"/>
    <col min="3" max="3" width="45.5" style="1569" customWidth="1"/>
    <col min="4" max="4" width="2.625" style="1569" customWidth="1"/>
    <col min="5" max="5" width="5.875" style="1569" customWidth="1"/>
    <col min="6" max="6" width="30.25" style="1569" customWidth="1"/>
    <col min="7" max="7" width="41.875" style="1569" customWidth="1"/>
    <col min="8" max="8" width="11.875" style="1570" customWidth="1"/>
    <col min="9" max="9" width="16.75" style="1570" customWidth="1"/>
    <col min="10" max="10" width="2.625" style="1570" customWidth="1"/>
    <col min="11" max="11" width="11.875" style="1570" customWidth="1"/>
    <col min="12" max="12" width="16.75" style="1570" customWidth="1"/>
    <col min="13" max="13" width="2.625" style="1570" customWidth="1"/>
    <col min="14" max="14" width="11.875" style="1570" customWidth="1"/>
    <col min="15" max="15" width="16.75" style="1570" customWidth="1"/>
    <col min="16" max="16" width="2.625" style="1570" customWidth="1"/>
    <col min="17" max="17" width="11.875" style="1570" customWidth="1"/>
    <col min="18" max="18" width="16.75" style="1567" customWidth="1"/>
    <col min="19" max="29" width="9" style="1567"/>
    <col min="30" max="16384" width="9" style="1568"/>
  </cols>
  <sheetData>
    <row r="1" spans="1:17">
      <c r="A1" s="1571" t="s">
        <v>135</v>
      </c>
      <c r="B1" s="1572"/>
      <c r="C1" s="1572"/>
      <c r="D1" s="1573"/>
      <c r="E1" s="1572"/>
      <c r="F1" s="1572"/>
      <c r="G1" s="1572"/>
    </row>
    <row r="2" spans="1:17">
      <c r="A2" s="1574"/>
      <c r="B2" s="1575"/>
      <c r="C2" s="1576" t="s">
        <v>136</v>
      </c>
      <c r="D2" s="1577"/>
      <c r="E2" s="1578"/>
      <c r="F2" s="1578"/>
      <c r="G2" s="1579" t="s">
        <v>137</v>
      </c>
    </row>
    <row r="3" spans="1:17" ht="75">
      <c r="A3" s="1580" t="s">
        <v>138</v>
      </c>
      <c r="B3" s="1581" t="s">
        <v>139</v>
      </c>
      <c r="C3" s="1582" t="s">
        <v>140</v>
      </c>
      <c r="D3" s="1577"/>
      <c r="E3" s="1583" t="s">
        <v>138</v>
      </c>
      <c r="F3" s="1581" t="s">
        <v>141</v>
      </c>
      <c r="G3" s="1584" t="s">
        <v>142</v>
      </c>
    </row>
    <row r="4" spans="1:17" ht="56.25">
      <c r="A4" s="1585"/>
      <c r="B4" s="1586" t="s">
        <v>143</v>
      </c>
      <c r="C4" s="1587" t="s">
        <v>144</v>
      </c>
      <c r="D4" s="1577"/>
      <c r="E4" s="1588"/>
      <c r="F4" s="1589" t="s">
        <v>145</v>
      </c>
      <c r="G4" s="1590" t="s">
        <v>146</v>
      </c>
    </row>
    <row r="5" spans="1:17" ht="37.5">
      <c r="A5" s="1585"/>
      <c r="B5" s="1586" t="s">
        <v>147</v>
      </c>
      <c r="C5" s="1587" t="s">
        <v>148</v>
      </c>
      <c r="D5" s="1591"/>
      <c r="E5" s="1588"/>
      <c r="F5" s="1589" t="s">
        <v>38</v>
      </c>
      <c r="G5" s="1592" t="s">
        <v>149</v>
      </c>
    </row>
    <row r="6" spans="1:17" ht="56.25">
      <c r="A6" s="1585"/>
      <c r="B6" s="1589" t="s">
        <v>145</v>
      </c>
      <c r="C6" s="1590" t="s">
        <v>146</v>
      </c>
      <c r="D6" s="1591"/>
      <c r="E6" s="1588"/>
      <c r="F6" s="1589" t="s">
        <v>150</v>
      </c>
      <c r="G6" s="1590" t="s">
        <v>151</v>
      </c>
    </row>
    <row r="7" spans="1:17" ht="37.5">
      <c r="A7" s="1585"/>
      <c r="B7" s="1589" t="s">
        <v>38</v>
      </c>
      <c r="C7" s="1592" t="s">
        <v>149</v>
      </c>
      <c r="D7" s="1577"/>
      <c r="E7" s="1588"/>
      <c r="F7" s="1593" t="s">
        <v>39</v>
      </c>
      <c r="G7" s="1584" t="s">
        <v>152</v>
      </c>
    </row>
    <row r="8" spans="1:17" ht="37.5">
      <c r="A8" s="1585"/>
      <c r="B8" s="1589" t="s">
        <v>153</v>
      </c>
      <c r="C8" s="1587" t="s">
        <v>154</v>
      </c>
      <c r="D8" s="1591"/>
      <c r="E8" s="1588"/>
      <c r="F8" s="1593" t="s">
        <v>40</v>
      </c>
      <c r="G8" s="1590" t="s">
        <v>155</v>
      </c>
    </row>
    <row r="9" spans="1:17" ht="37.5">
      <c r="A9" s="1585"/>
      <c r="B9" s="1593" t="s">
        <v>39</v>
      </c>
      <c r="C9" s="1590" t="s">
        <v>152</v>
      </c>
      <c r="D9" s="1577"/>
      <c r="E9" s="1588"/>
      <c r="F9" s="1589" t="s">
        <v>156</v>
      </c>
      <c r="G9" s="1594"/>
    </row>
    <row r="10" spans="1:17">
      <c r="A10" s="1585"/>
      <c r="B10" s="1593" t="s">
        <v>40</v>
      </c>
      <c r="C10" s="1590" t="s">
        <v>155</v>
      </c>
      <c r="D10" s="1577"/>
      <c r="E10" s="1588"/>
      <c r="F10" s="1589" t="s">
        <v>157</v>
      </c>
      <c r="G10" s="1592"/>
    </row>
    <row r="11" spans="1:17" s="1567" customFormat="1">
      <c r="A11" s="1585"/>
      <c r="B11" s="1589" t="s">
        <v>156</v>
      </c>
      <c r="C11" s="1594"/>
      <c r="D11" s="1570"/>
      <c r="E11" s="1595"/>
      <c r="F11" s="1596" t="s">
        <v>25</v>
      </c>
      <c r="G11" s="1597"/>
      <c r="H11" s="1570"/>
      <c r="I11" s="1570"/>
      <c r="J11" s="1570"/>
      <c r="K11" s="1570"/>
      <c r="L11" s="1570"/>
      <c r="M11" s="1570"/>
      <c r="N11" s="1570"/>
      <c r="O11" s="1570"/>
      <c r="P11" s="1570"/>
      <c r="Q11" s="1570"/>
    </row>
    <row r="12" spans="1:17" s="1567" customFormat="1">
      <c r="A12" s="1598"/>
      <c r="B12" s="1596" t="s">
        <v>157</v>
      </c>
      <c r="C12" s="1599"/>
      <c r="D12" s="1570"/>
      <c r="E12" s="1591"/>
      <c r="F12" s="1591"/>
      <c r="G12" s="1591"/>
      <c r="H12" s="1570"/>
      <c r="I12" s="1570"/>
      <c r="J12" s="1570"/>
      <c r="K12" s="1570"/>
      <c r="L12" s="1570"/>
      <c r="M12" s="1570"/>
      <c r="N12" s="1570"/>
      <c r="O12" s="1570"/>
      <c r="P12" s="1570"/>
      <c r="Q12" s="1570"/>
    </row>
    <row r="13" spans="1:17" s="1567" customFormat="1">
      <c r="B13" s="1570"/>
      <c r="C13" s="1570"/>
      <c r="D13" s="1570"/>
      <c r="H13" s="1570"/>
      <c r="I13" s="1570"/>
      <c r="J13" s="1570"/>
      <c r="K13" s="1570"/>
      <c r="L13" s="1570"/>
      <c r="M13" s="1570"/>
      <c r="N13" s="1570"/>
      <c r="O13" s="1570"/>
      <c r="P13" s="1570"/>
      <c r="Q13" s="1570"/>
    </row>
    <row r="14" spans="1:17" s="1567" customFormat="1">
      <c r="B14" s="1570"/>
      <c r="C14" s="1570"/>
      <c r="D14" s="1570"/>
      <c r="H14" s="1570"/>
      <c r="I14" s="1570"/>
      <c r="J14" s="1570"/>
      <c r="K14" s="1570"/>
      <c r="L14" s="1570"/>
      <c r="M14" s="1570"/>
      <c r="N14" s="1570"/>
      <c r="O14" s="1570"/>
      <c r="P14" s="1570"/>
      <c r="Q14" s="1570"/>
    </row>
    <row r="15" spans="1:17" s="1567" customFormat="1">
      <c r="B15" s="1570"/>
      <c r="C15" s="1570"/>
      <c r="D15" s="1570"/>
      <c r="H15" s="1570"/>
      <c r="I15" s="1570"/>
      <c r="J15" s="1570"/>
      <c r="K15" s="1570"/>
      <c r="L15" s="1570"/>
      <c r="M15" s="1570"/>
      <c r="N15" s="1570"/>
      <c r="O15" s="1570"/>
      <c r="P15" s="1570"/>
      <c r="Q15" s="1570"/>
    </row>
    <row r="16" spans="1:17" s="1567" customFormat="1">
      <c r="B16" s="1570"/>
      <c r="C16" s="1570"/>
      <c r="D16" s="1570"/>
      <c r="H16" s="1570"/>
      <c r="I16" s="1570"/>
      <c r="J16" s="1570"/>
      <c r="K16" s="1570"/>
      <c r="L16" s="1570"/>
      <c r="M16" s="1570"/>
      <c r="N16" s="1570"/>
      <c r="O16" s="1570"/>
      <c r="P16" s="1570"/>
      <c r="Q16" s="1570"/>
    </row>
    <row r="17" spans="2:17" s="1567" customFormat="1">
      <c r="B17" s="1570"/>
      <c r="C17" s="1570"/>
      <c r="D17" s="1570"/>
      <c r="H17" s="1570"/>
      <c r="I17" s="1570"/>
      <c r="J17" s="1570"/>
      <c r="K17" s="1570"/>
      <c r="L17" s="1570"/>
      <c r="M17" s="1570"/>
      <c r="N17" s="1570"/>
      <c r="O17" s="1570"/>
      <c r="P17" s="1570"/>
      <c r="Q17" s="1570"/>
    </row>
    <row r="18" spans="2:17" s="1567" customFormat="1">
      <c r="B18" s="1570"/>
      <c r="C18" s="1570"/>
      <c r="D18" s="1570"/>
      <c r="H18" s="1570"/>
      <c r="I18" s="1570"/>
      <c r="J18" s="1570"/>
      <c r="K18" s="1570"/>
      <c r="L18" s="1570"/>
      <c r="M18" s="1570"/>
      <c r="N18" s="1570"/>
      <c r="O18" s="1570"/>
      <c r="P18" s="1570"/>
      <c r="Q18" s="1570"/>
    </row>
    <row r="19" spans="2:17" s="1567" customFormat="1">
      <c r="B19" s="1570"/>
      <c r="C19" s="1570"/>
      <c r="D19" s="1570"/>
      <c r="H19" s="1570"/>
      <c r="I19" s="1570"/>
      <c r="J19" s="1570"/>
      <c r="K19" s="1570"/>
      <c r="L19" s="1570"/>
      <c r="M19" s="1570"/>
      <c r="N19" s="1570"/>
      <c r="O19" s="1570"/>
      <c r="P19" s="1570"/>
      <c r="Q19" s="1570"/>
    </row>
    <row r="20" spans="2:17" s="1567" customFormat="1">
      <c r="B20" s="1570"/>
      <c r="C20" s="1570"/>
      <c r="D20" s="1570"/>
      <c r="H20" s="1570"/>
      <c r="I20" s="1570"/>
      <c r="J20" s="1570"/>
      <c r="K20" s="1570"/>
      <c r="L20" s="1570"/>
      <c r="M20" s="1570"/>
      <c r="N20" s="1570"/>
      <c r="O20" s="1570"/>
      <c r="P20" s="1570"/>
      <c r="Q20" s="1570"/>
    </row>
    <row r="21" spans="2:17" s="1567" customFormat="1">
      <c r="B21" s="1570"/>
      <c r="C21" s="1570"/>
      <c r="D21" s="1570"/>
      <c r="H21" s="1570"/>
      <c r="I21" s="1570"/>
      <c r="J21" s="1570"/>
      <c r="K21" s="1570"/>
      <c r="L21" s="1570"/>
      <c r="M21" s="1570"/>
      <c r="N21" s="1570"/>
      <c r="O21" s="1570"/>
      <c r="P21" s="1570"/>
      <c r="Q21" s="1570"/>
    </row>
    <row r="22" spans="2:17" s="1567" customFormat="1">
      <c r="B22" s="1570"/>
      <c r="C22" s="1570"/>
      <c r="D22" s="1570"/>
      <c r="H22" s="1570"/>
      <c r="I22" s="1570"/>
      <c r="J22" s="1570"/>
      <c r="K22" s="1570"/>
      <c r="L22" s="1570"/>
      <c r="M22" s="1570"/>
      <c r="N22" s="1570"/>
      <c r="O22" s="1570"/>
      <c r="P22" s="1570"/>
      <c r="Q22" s="1570"/>
    </row>
    <row r="23" spans="2:17" s="1567" customFormat="1">
      <c r="B23" s="1570"/>
      <c r="C23" s="1570">
        <v>2.5499999999999998</v>
      </c>
      <c r="D23" s="1570"/>
      <c r="H23" s="1570"/>
      <c r="I23" s="1570"/>
      <c r="J23" s="1570"/>
      <c r="K23" s="1570"/>
      <c r="L23" s="1570"/>
      <c r="M23" s="1570"/>
      <c r="N23" s="1570"/>
      <c r="O23" s="1570"/>
      <c r="P23" s="1570"/>
      <c r="Q23" s="1570"/>
    </row>
    <row r="24" spans="2:17" s="1567" customFormat="1">
      <c r="B24" s="1570"/>
      <c r="C24" s="1570"/>
      <c r="D24" s="1570"/>
      <c r="H24" s="1570"/>
      <c r="I24" s="1570"/>
      <c r="J24" s="1570"/>
      <c r="K24" s="1570"/>
      <c r="L24" s="1570"/>
      <c r="M24" s="1570"/>
      <c r="N24" s="1570"/>
      <c r="O24" s="1570"/>
      <c r="P24" s="1570"/>
      <c r="Q24" s="1570"/>
    </row>
    <row r="25" spans="2:17" s="1567" customFormat="1">
      <c r="B25" s="1570"/>
      <c r="C25" s="1570"/>
      <c r="D25" s="1570"/>
      <c r="H25" s="1570"/>
      <c r="I25" s="1570"/>
      <c r="J25" s="1570"/>
      <c r="K25" s="1570"/>
      <c r="L25" s="1570"/>
      <c r="M25" s="1570"/>
      <c r="N25" s="1570"/>
      <c r="O25" s="1570"/>
      <c r="P25" s="1570"/>
      <c r="Q25" s="1570"/>
    </row>
    <row r="26" spans="2:17" s="1567" customFormat="1">
      <c r="B26" s="1570"/>
      <c r="C26" s="1570"/>
      <c r="D26" s="1570"/>
      <c r="E26" s="1570"/>
      <c r="F26" s="1570"/>
      <c r="G26" s="1570"/>
      <c r="H26" s="1570"/>
      <c r="I26" s="1570"/>
      <c r="J26" s="1570"/>
      <c r="K26" s="1570"/>
      <c r="L26" s="1570"/>
      <c r="M26" s="1570"/>
      <c r="N26" s="1570"/>
      <c r="O26" s="1570"/>
      <c r="P26" s="1570"/>
      <c r="Q26" s="1570"/>
    </row>
    <row r="27" spans="2:17" s="1567" customFormat="1">
      <c r="B27" s="1570"/>
      <c r="C27" s="1570"/>
      <c r="D27" s="1570"/>
      <c r="E27" s="1570"/>
      <c r="F27" s="1570"/>
      <c r="G27" s="1570"/>
      <c r="H27" s="1570"/>
      <c r="I27" s="1570"/>
      <c r="J27" s="1570"/>
      <c r="K27" s="1570"/>
      <c r="L27" s="1570"/>
      <c r="M27" s="1570"/>
      <c r="N27" s="1570"/>
      <c r="O27" s="1570"/>
      <c r="P27" s="1570"/>
      <c r="Q27" s="1570"/>
    </row>
    <row r="28" spans="2:17" s="1567" customFormat="1">
      <c r="B28" s="1570"/>
      <c r="C28" s="1570"/>
      <c r="D28" s="1570"/>
      <c r="E28" s="1570"/>
      <c r="F28" s="1570"/>
      <c r="G28" s="1570"/>
      <c r="H28" s="1570"/>
      <c r="I28" s="1570"/>
      <c r="J28" s="1570"/>
      <c r="K28" s="1570"/>
      <c r="L28" s="1570"/>
      <c r="M28" s="1570"/>
      <c r="N28" s="1570"/>
      <c r="O28" s="1570"/>
      <c r="P28" s="1570"/>
      <c r="Q28" s="1570"/>
    </row>
    <row r="29" spans="2:17" s="1567" customFormat="1">
      <c r="B29" s="1570"/>
      <c r="C29" s="1570"/>
      <c r="D29" s="1570"/>
      <c r="E29" s="1570"/>
      <c r="F29" s="1570"/>
      <c r="G29" s="1570"/>
      <c r="H29" s="1570"/>
      <c r="I29" s="1570"/>
      <c r="J29" s="1570"/>
      <c r="K29" s="1570"/>
      <c r="L29" s="1570"/>
      <c r="M29" s="1570"/>
      <c r="N29" s="1570"/>
      <c r="O29" s="1570"/>
      <c r="P29" s="1570"/>
      <c r="Q29" s="1570"/>
    </row>
    <row r="30" spans="2:17" s="1567" customFormat="1">
      <c r="B30" s="1570"/>
      <c r="C30" s="1570"/>
      <c r="D30" s="1570"/>
      <c r="E30" s="1570"/>
      <c r="F30" s="1570"/>
      <c r="G30" s="1570"/>
      <c r="H30" s="1570"/>
      <c r="I30" s="1570"/>
      <c r="J30" s="1570"/>
      <c r="K30" s="1570"/>
      <c r="L30" s="1570"/>
      <c r="M30" s="1570"/>
      <c r="N30" s="1570"/>
      <c r="O30" s="1570"/>
      <c r="P30" s="1570"/>
      <c r="Q30" s="1570"/>
    </row>
    <row r="31" spans="2:17" s="1567" customFormat="1">
      <c r="B31" s="1570"/>
      <c r="C31" s="1570"/>
      <c r="D31" s="1570"/>
      <c r="E31" s="1570"/>
      <c r="F31" s="1570"/>
      <c r="G31" s="1570"/>
      <c r="H31" s="1570"/>
      <c r="I31" s="1570"/>
      <c r="J31" s="1570"/>
      <c r="K31" s="1570"/>
      <c r="L31" s="1570"/>
      <c r="M31" s="1570"/>
      <c r="N31" s="1570"/>
      <c r="O31" s="1570"/>
      <c r="P31" s="1570"/>
      <c r="Q31" s="1570"/>
    </row>
    <row r="32" spans="2:17" s="1567" customFormat="1">
      <c r="B32" s="1570"/>
      <c r="C32" s="1570"/>
      <c r="D32" s="1570"/>
      <c r="E32" s="1570"/>
      <c r="F32" s="1570"/>
      <c r="G32" s="1570"/>
      <c r="H32" s="1570"/>
      <c r="I32" s="1570"/>
      <c r="J32" s="1570"/>
      <c r="K32" s="1570"/>
      <c r="L32" s="1570"/>
      <c r="M32" s="1570"/>
      <c r="N32" s="1570"/>
      <c r="O32" s="1570"/>
      <c r="P32" s="1570"/>
      <c r="Q32" s="1570"/>
    </row>
    <row r="33" spans="2:17" s="1567" customFormat="1">
      <c r="B33" s="1570"/>
      <c r="C33" s="1570"/>
      <c r="D33" s="1570"/>
      <c r="E33" s="1570"/>
      <c r="F33" s="1570"/>
      <c r="G33" s="1570"/>
      <c r="H33" s="1570"/>
      <c r="I33" s="1570"/>
      <c r="J33" s="1570"/>
      <c r="K33" s="1570"/>
      <c r="L33" s="1570"/>
      <c r="M33" s="1570"/>
      <c r="N33" s="1570"/>
      <c r="O33" s="1570"/>
      <c r="P33" s="1570"/>
      <c r="Q33" s="1570"/>
    </row>
    <row r="34" spans="2:17" s="1567" customFormat="1">
      <c r="B34" s="1570"/>
      <c r="C34" s="1570"/>
      <c r="D34" s="1570"/>
      <c r="E34" s="1570"/>
      <c r="F34" s="1570"/>
      <c r="G34" s="1570"/>
      <c r="H34" s="1570"/>
      <c r="I34" s="1570"/>
      <c r="J34" s="1570"/>
      <c r="K34" s="1570"/>
      <c r="L34" s="1570"/>
      <c r="M34" s="1570"/>
      <c r="N34" s="1570"/>
      <c r="O34" s="1570"/>
      <c r="P34" s="1570"/>
      <c r="Q34" s="1570"/>
    </row>
    <row r="35" spans="2:17" s="1567" customFormat="1">
      <c r="B35" s="1570"/>
      <c r="C35" s="1570"/>
      <c r="D35" s="1570"/>
      <c r="E35" s="1570"/>
      <c r="F35" s="1570"/>
      <c r="G35" s="1570"/>
      <c r="H35" s="1570"/>
      <c r="I35" s="1570"/>
      <c r="J35" s="1570"/>
      <c r="K35" s="1570"/>
      <c r="L35" s="1570"/>
      <c r="M35" s="1570"/>
      <c r="N35" s="1570"/>
      <c r="O35" s="1570"/>
      <c r="P35" s="1570"/>
      <c r="Q35" s="1570"/>
    </row>
    <row r="36" spans="2:17" s="1567" customFormat="1">
      <c r="B36" s="1570"/>
      <c r="C36" s="1570"/>
      <c r="D36" s="1570"/>
      <c r="E36" s="1570"/>
      <c r="F36" s="1570"/>
      <c r="G36" s="1570"/>
      <c r="H36" s="1570"/>
      <c r="I36" s="1570"/>
      <c r="J36" s="1570"/>
      <c r="K36" s="1570"/>
      <c r="L36" s="1570"/>
      <c r="M36" s="1570"/>
      <c r="N36" s="1570"/>
      <c r="O36" s="1570"/>
      <c r="P36" s="1570"/>
      <c r="Q36" s="1570"/>
    </row>
    <row r="37" spans="2:17" s="1567" customFormat="1">
      <c r="B37" s="1570"/>
      <c r="C37" s="1570"/>
      <c r="D37" s="1570"/>
      <c r="E37" s="1570"/>
      <c r="F37" s="1570"/>
      <c r="G37" s="1570"/>
      <c r="H37" s="1570"/>
      <c r="I37" s="1570"/>
      <c r="J37" s="1570"/>
      <c r="K37" s="1570"/>
      <c r="L37" s="1570"/>
      <c r="M37" s="1570"/>
      <c r="N37" s="1570"/>
      <c r="O37" s="1570"/>
      <c r="P37" s="1570"/>
      <c r="Q37" s="1570"/>
    </row>
    <row r="38" spans="2:17" s="1567" customFormat="1">
      <c r="B38" s="1570"/>
      <c r="C38" s="1570"/>
      <c r="D38" s="1570"/>
      <c r="E38" s="1570"/>
      <c r="F38" s="1570"/>
      <c r="G38" s="1570"/>
      <c r="H38" s="1570"/>
      <c r="I38" s="1570"/>
      <c r="J38" s="1570"/>
      <c r="K38" s="1570"/>
      <c r="L38" s="1570"/>
      <c r="M38" s="1570"/>
      <c r="N38" s="1570"/>
      <c r="O38" s="1570"/>
      <c r="P38" s="1570"/>
      <c r="Q38" s="1570"/>
    </row>
    <row r="39" spans="2:17" s="1567" customFormat="1">
      <c r="B39" s="1570"/>
      <c r="C39" s="1570"/>
      <c r="D39" s="1570"/>
      <c r="E39" s="1570"/>
      <c r="F39" s="1570"/>
      <c r="G39" s="1570"/>
      <c r="H39" s="1570"/>
      <c r="I39" s="1570"/>
      <c r="J39" s="1570"/>
      <c r="K39" s="1570"/>
      <c r="L39" s="1570"/>
      <c r="M39" s="1570"/>
      <c r="N39" s="1570"/>
      <c r="O39" s="1570"/>
      <c r="P39" s="1570"/>
      <c r="Q39" s="1570"/>
    </row>
    <row r="40" spans="2:17" s="1567" customFormat="1">
      <c r="B40" s="1570"/>
      <c r="C40" s="1570"/>
      <c r="D40" s="1570"/>
      <c r="E40" s="1570"/>
      <c r="F40" s="1570"/>
      <c r="G40" s="1570"/>
      <c r="H40" s="1570"/>
      <c r="I40" s="1570"/>
      <c r="J40" s="1570"/>
      <c r="K40" s="1570"/>
      <c r="L40" s="1570"/>
      <c r="M40" s="1570"/>
      <c r="N40" s="1570"/>
      <c r="O40" s="1570"/>
      <c r="P40" s="1570"/>
      <c r="Q40" s="1570"/>
    </row>
    <row r="41" spans="2:17" s="1567" customFormat="1">
      <c r="B41" s="1570"/>
      <c r="C41" s="1570"/>
      <c r="D41" s="1570"/>
      <c r="E41" s="1570"/>
      <c r="F41" s="1570"/>
      <c r="G41" s="1570"/>
      <c r="H41" s="1570"/>
      <c r="I41" s="1570"/>
      <c r="J41" s="1570"/>
      <c r="K41" s="1570"/>
      <c r="L41" s="1570"/>
      <c r="M41" s="1570"/>
      <c r="N41" s="1570"/>
      <c r="O41" s="1570"/>
      <c r="P41" s="1570"/>
      <c r="Q41" s="1570"/>
    </row>
    <row r="42" spans="2:17" s="1567" customFormat="1">
      <c r="B42" s="1570"/>
      <c r="C42" s="1570"/>
      <c r="D42" s="1570"/>
      <c r="E42" s="1570"/>
      <c r="F42" s="1570"/>
      <c r="G42" s="1570"/>
      <c r="H42" s="1570"/>
      <c r="I42" s="1570"/>
      <c r="J42" s="1570"/>
      <c r="K42" s="1570"/>
      <c r="L42" s="1570"/>
      <c r="M42" s="1570"/>
      <c r="N42" s="1570"/>
      <c r="O42" s="1570"/>
      <c r="P42" s="1570"/>
      <c r="Q42" s="1570"/>
    </row>
    <row r="43" spans="2:17" s="1567" customFormat="1">
      <c r="B43" s="1570"/>
      <c r="C43" s="1570"/>
      <c r="D43" s="1570"/>
      <c r="E43" s="1570"/>
      <c r="F43" s="1570"/>
      <c r="G43" s="1570"/>
      <c r="H43" s="1570"/>
      <c r="I43" s="1570"/>
      <c r="J43" s="1570"/>
      <c r="K43" s="1570"/>
      <c r="L43" s="1570"/>
      <c r="M43" s="1570"/>
      <c r="N43" s="1570"/>
      <c r="O43" s="1570"/>
      <c r="P43" s="1570"/>
      <c r="Q43" s="1570"/>
    </row>
    <row r="44" spans="2:17" s="1567" customFormat="1">
      <c r="B44" s="1570"/>
      <c r="C44" s="1570"/>
      <c r="D44" s="1570"/>
      <c r="E44" s="1570"/>
      <c r="F44" s="1570"/>
      <c r="G44" s="1570"/>
      <c r="H44" s="1570"/>
      <c r="I44" s="1570"/>
      <c r="J44" s="1570"/>
      <c r="K44" s="1570"/>
      <c r="L44" s="1570"/>
      <c r="M44" s="1570"/>
      <c r="N44" s="1570"/>
      <c r="O44" s="1570"/>
      <c r="P44" s="1570"/>
      <c r="Q44" s="1570"/>
    </row>
    <row r="45" spans="2:17" s="1567" customFormat="1">
      <c r="B45" s="1570"/>
      <c r="C45" s="1570"/>
      <c r="D45" s="1570"/>
      <c r="E45" s="1570"/>
      <c r="F45" s="1570"/>
      <c r="G45" s="1570"/>
      <c r="H45" s="1570"/>
      <c r="I45" s="1570"/>
      <c r="J45" s="1570"/>
      <c r="K45" s="1570"/>
      <c r="L45" s="1570"/>
      <c r="M45" s="1570"/>
      <c r="N45" s="1570"/>
      <c r="O45" s="1570"/>
      <c r="P45" s="1570"/>
      <c r="Q45" s="1570"/>
    </row>
    <row r="46" spans="2:17" s="1567" customFormat="1">
      <c r="B46" s="1570"/>
      <c r="C46" s="1570"/>
      <c r="D46" s="1570"/>
      <c r="E46" s="1570"/>
      <c r="F46" s="1570"/>
      <c r="G46" s="1570"/>
      <c r="H46" s="1570"/>
      <c r="I46" s="1570"/>
      <c r="J46" s="1570"/>
      <c r="K46" s="1570"/>
      <c r="L46" s="1570"/>
      <c r="M46" s="1570"/>
      <c r="N46" s="1570"/>
      <c r="O46" s="1570"/>
      <c r="P46" s="1570"/>
      <c r="Q46" s="1570"/>
    </row>
    <row r="47" spans="2:17" s="1567" customFormat="1">
      <c r="B47" s="1570"/>
      <c r="C47" s="1570"/>
      <c r="D47" s="1570"/>
      <c r="E47" s="1570"/>
      <c r="F47" s="1570"/>
      <c r="G47" s="1570"/>
      <c r="H47" s="1570"/>
      <c r="I47" s="1570"/>
      <c r="J47" s="1570"/>
      <c r="K47" s="1570"/>
      <c r="L47" s="1570"/>
      <c r="M47" s="1570"/>
      <c r="N47" s="1570"/>
      <c r="O47" s="1570"/>
      <c r="P47" s="1570"/>
      <c r="Q47" s="1570"/>
    </row>
    <row r="48" spans="2:17" s="1567" customFormat="1">
      <c r="B48" s="1570"/>
      <c r="C48" s="1570"/>
      <c r="D48" s="1570"/>
      <c r="E48" s="1570"/>
      <c r="F48" s="1570"/>
      <c r="G48" s="1570"/>
      <c r="H48" s="1570"/>
      <c r="I48" s="1570"/>
      <c r="J48" s="1570"/>
      <c r="K48" s="1570"/>
      <c r="L48" s="1570"/>
      <c r="M48" s="1570"/>
      <c r="N48" s="1570"/>
      <c r="O48" s="1570"/>
      <c r="P48" s="1570"/>
      <c r="Q48" s="1570"/>
    </row>
    <row r="49" spans="2:17" s="1567" customFormat="1">
      <c r="B49" s="1570"/>
      <c r="C49" s="1570"/>
      <c r="D49" s="1570"/>
      <c r="E49" s="1570"/>
      <c r="F49" s="1570"/>
      <c r="G49" s="1570"/>
      <c r="H49" s="1570"/>
      <c r="I49" s="1570"/>
      <c r="J49" s="1570"/>
      <c r="K49" s="1570"/>
      <c r="L49" s="1570"/>
      <c r="M49" s="1570"/>
      <c r="N49" s="1570"/>
      <c r="O49" s="1570"/>
      <c r="P49" s="1570"/>
      <c r="Q49" s="1570"/>
    </row>
    <row r="50" spans="2:17" s="1567" customFormat="1">
      <c r="B50" s="1570"/>
      <c r="C50" s="1570"/>
      <c r="D50" s="1570"/>
      <c r="E50" s="1570"/>
      <c r="F50" s="1570"/>
      <c r="G50" s="1570"/>
      <c r="H50" s="1570"/>
      <c r="I50" s="1570"/>
      <c r="J50" s="1570"/>
      <c r="K50" s="1570"/>
      <c r="L50" s="1570"/>
      <c r="M50" s="1570"/>
      <c r="N50" s="1570"/>
      <c r="O50" s="1570"/>
      <c r="P50" s="1570"/>
      <c r="Q50" s="1570"/>
    </row>
    <row r="51" spans="2:17" s="1567" customFormat="1">
      <c r="B51" s="1570"/>
      <c r="C51" s="1570"/>
      <c r="D51" s="1570"/>
      <c r="E51" s="1570"/>
      <c r="F51" s="1570"/>
      <c r="G51" s="1570"/>
      <c r="H51" s="1570"/>
      <c r="I51" s="1570"/>
      <c r="J51" s="1570"/>
      <c r="K51" s="1570"/>
      <c r="L51" s="1570"/>
      <c r="M51" s="1570"/>
      <c r="N51" s="1570"/>
      <c r="O51" s="1570"/>
      <c r="P51" s="1570"/>
      <c r="Q51" s="1570"/>
    </row>
    <row r="52" spans="2:17" s="1567" customFormat="1">
      <c r="B52" s="1570"/>
      <c r="C52" s="1570"/>
      <c r="D52" s="1570"/>
      <c r="E52" s="1570"/>
      <c r="F52" s="1570"/>
      <c r="G52" s="1570"/>
      <c r="H52" s="1570"/>
      <c r="I52" s="1570"/>
      <c r="J52" s="1570"/>
      <c r="K52" s="1570"/>
      <c r="L52" s="1570"/>
      <c r="M52" s="1570"/>
      <c r="N52" s="1570"/>
      <c r="O52" s="1570"/>
      <c r="P52" s="1570"/>
      <c r="Q52" s="1570"/>
    </row>
    <row r="53" spans="2:17" s="1567" customFormat="1">
      <c r="B53" s="1570"/>
      <c r="C53" s="1570"/>
      <c r="D53" s="1570"/>
      <c r="E53" s="1570"/>
      <c r="F53" s="1570"/>
      <c r="G53" s="1570"/>
      <c r="H53" s="1570"/>
      <c r="I53" s="1570"/>
      <c r="J53" s="1570"/>
      <c r="K53" s="1570"/>
      <c r="L53" s="1570"/>
      <c r="M53" s="1570"/>
      <c r="N53" s="1570"/>
      <c r="O53" s="1570"/>
      <c r="P53" s="1570"/>
      <c r="Q53" s="1570"/>
    </row>
    <row r="54" spans="2:17" s="1567" customFormat="1">
      <c r="B54" s="1570"/>
      <c r="C54" s="1570"/>
      <c r="D54" s="1570"/>
      <c r="E54" s="1570"/>
      <c r="F54" s="1570"/>
      <c r="G54" s="1570"/>
      <c r="H54" s="1570"/>
      <c r="I54" s="1570"/>
      <c r="J54" s="1570"/>
      <c r="K54" s="1570"/>
      <c r="L54" s="1570"/>
      <c r="M54" s="1570"/>
      <c r="N54" s="1570"/>
      <c r="O54" s="1570"/>
      <c r="P54" s="1570"/>
      <c r="Q54" s="1570"/>
    </row>
    <row r="55" spans="2:17" s="1567" customFormat="1">
      <c r="B55" s="1570"/>
      <c r="C55" s="1570"/>
      <c r="D55" s="1570"/>
      <c r="E55" s="1570"/>
      <c r="F55" s="1570"/>
      <c r="G55" s="1570"/>
      <c r="H55" s="1570"/>
      <c r="I55" s="1570"/>
      <c r="J55" s="1570"/>
      <c r="K55" s="1570"/>
      <c r="L55" s="1570"/>
      <c r="M55" s="1570"/>
      <c r="N55" s="1570"/>
      <c r="O55" s="1570"/>
      <c r="P55" s="1570"/>
      <c r="Q55" s="1570"/>
    </row>
    <row r="56" spans="2:17" s="1567" customFormat="1">
      <c r="B56" s="1570"/>
      <c r="C56" s="1570"/>
      <c r="D56" s="1570"/>
      <c r="E56" s="1570"/>
      <c r="F56" s="1570"/>
      <c r="G56" s="1570"/>
      <c r="H56" s="1570"/>
      <c r="I56" s="1570"/>
      <c r="J56" s="1570"/>
      <c r="K56" s="1570"/>
      <c r="L56" s="1570"/>
      <c r="M56" s="1570"/>
      <c r="N56" s="1570"/>
      <c r="O56" s="1570"/>
      <c r="P56" s="1570"/>
      <c r="Q56" s="1570"/>
    </row>
    <row r="57" spans="2:17" s="1567" customFormat="1">
      <c r="B57" s="1570"/>
      <c r="C57" s="1570"/>
      <c r="D57" s="1570"/>
      <c r="E57" s="1570"/>
      <c r="F57" s="1570"/>
      <c r="G57" s="1570"/>
      <c r="H57" s="1570"/>
      <c r="I57" s="1570"/>
      <c r="J57" s="1570"/>
      <c r="K57" s="1570"/>
      <c r="L57" s="1570"/>
      <c r="M57" s="1570"/>
      <c r="N57" s="1570"/>
      <c r="O57" s="1570"/>
      <c r="P57" s="1570"/>
      <c r="Q57" s="1570"/>
    </row>
    <row r="58" spans="2:17" s="1567" customFormat="1">
      <c r="B58" s="1570"/>
      <c r="C58" s="1570"/>
      <c r="D58" s="1570"/>
      <c r="E58" s="1570"/>
      <c r="F58" s="1570"/>
      <c r="G58" s="1570"/>
      <c r="H58" s="1570"/>
      <c r="I58" s="1570"/>
      <c r="J58" s="1570"/>
      <c r="K58" s="1570"/>
      <c r="L58" s="1570"/>
      <c r="M58" s="1570"/>
      <c r="N58" s="1570"/>
      <c r="O58" s="1570"/>
      <c r="P58" s="1570"/>
      <c r="Q58" s="1570"/>
    </row>
    <row r="59" spans="2:17" s="1567" customFormat="1">
      <c r="B59" s="1570"/>
      <c r="C59" s="1570"/>
      <c r="D59" s="1570"/>
      <c r="E59" s="1570"/>
      <c r="F59" s="1570"/>
      <c r="G59" s="1570"/>
      <c r="H59" s="1570"/>
      <c r="I59" s="1570"/>
      <c r="J59" s="1570"/>
      <c r="K59" s="1570"/>
      <c r="L59" s="1570"/>
      <c r="M59" s="1570"/>
      <c r="N59" s="1570"/>
      <c r="O59" s="1570"/>
      <c r="P59" s="1570"/>
      <c r="Q59" s="1570"/>
    </row>
    <row r="60" spans="2:17" s="1567" customFormat="1">
      <c r="B60" s="1570"/>
      <c r="C60" s="1570"/>
      <c r="D60" s="1570"/>
      <c r="E60" s="1570"/>
      <c r="F60" s="1570"/>
      <c r="G60" s="1570"/>
      <c r="H60" s="1570"/>
      <c r="I60" s="1570"/>
      <c r="J60" s="1570"/>
      <c r="K60" s="1570"/>
      <c r="L60" s="1570"/>
      <c r="M60" s="1570"/>
      <c r="N60" s="1570"/>
      <c r="O60" s="1570"/>
      <c r="P60" s="1570"/>
      <c r="Q60" s="1570"/>
    </row>
    <row r="61" spans="2:17" s="1567" customFormat="1">
      <c r="B61" s="1570"/>
      <c r="C61" s="1570"/>
      <c r="D61" s="1570"/>
      <c r="E61" s="1570"/>
      <c r="F61" s="1570"/>
      <c r="G61" s="1570"/>
      <c r="H61" s="1570"/>
      <c r="I61" s="1570"/>
      <c r="J61" s="1570"/>
      <c r="K61" s="1570"/>
      <c r="L61" s="1570"/>
      <c r="M61" s="1570"/>
      <c r="N61" s="1570"/>
      <c r="O61" s="1570"/>
      <c r="P61" s="1570"/>
      <c r="Q61" s="1570"/>
    </row>
    <row r="62" spans="2:17" s="1567" customFormat="1">
      <c r="B62" s="1570"/>
      <c r="C62" s="1570"/>
      <c r="D62" s="1570"/>
      <c r="E62" s="1570"/>
      <c r="F62" s="1570"/>
      <c r="G62" s="1570"/>
      <c r="H62" s="1570"/>
      <c r="I62" s="1570"/>
      <c r="J62" s="1570"/>
      <c r="K62" s="1570"/>
      <c r="L62" s="1570"/>
      <c r="M62" s="1570"/>
      <c r="N62" s="1570"/>
      <c r="O62" s="1570"/>
      <c r="P62" s="1570"/>
      <c r="Q62" s="1570"/>
    </row>
    <row r="63" spans="2:17" s="1567" customFormat="1">
      <c r="B63" s="1570"/>
      <c r="C63" s="1570"/>
      <c r="D63" s="1570"/>
      <c r="E63" s="1570"/>
      <c r="F63" s="1570"/>
      <c r="G63" s="1570"/>
      <c r="H63" s="1570"/>
      <c r="I63" s="1570"/>
      <c r="J63" s="1570"/>
      <c r="K63" s="1570"/>
      <c r="L63" s="1570"/>
      <c r="M63" s="1570"/>
      <c r="N63" s="1570"/>
      <c r="O63" s="1570"/>
      <c r="P63" s="1570"/>
      <c r="Q63" s="1570"/>
    </row>
    <row r="64" spans="2:17" s="1567" customFormat="1">
      <c r="B64" s="1570"/>
      <c r="C64" s="1570"/>
      <c r="D64" s="1570"/>
      <c r="E64" s="1570"/>
      <c r="F64" s="1570"/>
      <c r="G64" s="1570"/>
      <c r="H64" s="1570"/>
      <c r="I64" s="1570"/>
      <c r="J64" s="1570"/>
      <c r="K64" s="1570"/>
      <c r="L64" s="1570"/>
      <c r="M64" s="1570"/>
      <c r="N64" s="1570"/>
      <c r="O64" s="1570"/>
      <c r="P64" s="1570"/>
      <c r="Q64" s="1570"/>
    </row>
    <row r="65" spans="2:17" s="1567" customFormat="1">
      <c r="B65" s="1570"/>
      <c r="C65" s="1570"/>
      <c r="D65" s="1570"/>
      <c r="E65" s="1570"/>
      <c r="F65" s="1570"/>
      <c r="G65" s="1570"/>
      <c r="H65" s="1570"/>
      <c r="I65" s="1570"/>
      <c r="J65" s="1570"/>
      <c r="K65" s="1570"/>
      <c r="L65" s="1570"/>
      <c r="M65" s="1570"/>
      <c r="N65" s="1570"/>
      <c r="O65" s="1570"/>
      <c r="P65" s="1570"/>
      <c r="Q65" s="1570"/>
    </row>
    <row r="66" spans="2:17" s="1567" customFormat="1">
      <c r="B66" s="1570"/>
      <c r="C66" s="1570"/>
      <c r="D66" s="1570"/>
      <c r="E66" s="1570"/>
      <c r="F66" s="1570"/>
      <c r="G66" s="1570"/>
      <c r="H66" s="1570"/>
      <c r="I66" s="1570"/>
      <c r="J66" s="1570"/>
      <c r="K66" s="1570"/>
      <c r="L66" s="1570"/>
      <c r="M66" s="1570"/>
      <c r="N66" s="1570"/>
      <c r="O66" s="1570"/>
      <c r="P66" s="1570"/>
      <c r="Q66" s="1570"/>
    </row>
    <row r="67" spans="2:17" s="1567" customFormat="1">
      <c r="B67" s="1570"/>
      <c r="C67" s="1570"/>
      <c r="D67" s="1570"/>
      <c r="E67" s="1570"/>
      <c r="F67" s="1570"/>
      <c r="G67" s="1570"/>
      <c r="H67" s="1570"/>
      <c r="I67" s="1570"/>
      <c r="J67" s="1570"/>
      <c r="K67" s="1570"/>
      <c r="L67" s="1570"/>
      <c r="M67" s="1570"/>
      <c r="N67" s="1570"/>
      <c r="O67" s="1570"/>
      <c r="P67" s="1570"/>
      <c r="Q67" s="1570"/>
    </row>
    <row r="68" spans="2:17" s="1567" customFormat="1">
      <c r="B68" s="1570"/>
      <c r="C68" s="1570"/>
      <c r="D68" s="1570"/>
      <c r="E68" s="1570"/>
      <c r="F68" s="1570"/>
      <c r="G68" s="1570"/>
      <c r="H68" s="1570"/>
      <c r="I68" s="1570"/>
      <c r="J68" s="1570"/>
      <c r="K68" s="1570"/>
      <c r="L68" s="1570"/>
      <c r="M68" s="1570"/>
      <c r="N68" s="1570"/>
      <c r="O68" s="1570"/>
      <c r="P68" s="1570"/>
      <c r="Q68" s="1570"/>
    </row>
    <row r="69" spans="2:17" s="1567" customFormat="1">
      <c r="B69" s="1570"/>
      <c r="C69" s="1570"/>
      <c r="D69" s="1570"/>
      <c r="E69" s="1570"/>
      <c r="F69" s="1570"/>
      <c r="G69" s="1570"/>
      <c r="H69" s="1570"/>
      <c r="I69" s="1570"/>
      <c r="J69" s="1570"/>
      <c r="K69" s="1570"/>
      <c r="L69" s="1570"/>
      <c r="M69" s="1570"/>
      <c r="N69" s="1570"/>
      <c r="O69" s="1570"/>
      <c r="P69" s="1570"/>
      <c r="Q69" s="1570"/>
    </row>
    <row r="70" spans="2:17" s="1567" customFormat="1">
      <c r="B70" s="1570"/>
      <c r="C70" s="1570"/>
      <c r="D70" s="1570"/>
      <c r="E70" s="1570"/>
      <c r="F70" s="1570"/>
      <c r="G70" s="1570"/>
      <c r="H70" s="1570"/>
      <c r="I70" s="1570"/>
      <c r="J70" s="1570"/>
      <c r="K70" s="1570"/>
      <c r="L70" s="1570"/>
      <c r="M70" s="1570"/>
      <c r="N70" s="1570"/>
      <c r="O70" s="1570"/>
      <c r="P70" s="1570"/>
      <c r="Q70" s="1570"/>
    </row>
    <row r="71" spans="2:17" s="1567" customFormat="1">
      <c r="B71" s="1570"/>
      <c r="C71" s="1570"/>
      <c r="D71" s="1570"/>
      <c r="E71" s="1570"/>
      <c r="F71" s="1570"/>
      <c r="G71" s="1570"/>
      <c r="H71" s="1570"/>
      <c r="I71" s="1570"/>
      <c r="J71" s="1570"/>
      <c r="K71" s="1570"/>
      <c r="L71" s="1570"/>
      <c r="M71" s="1570"/>
      <c r="N71" s="1570"/>
      <c r="O71" s="1570"/>
      <c r="P71" s="1570"/>
      <c r="Q71" s="1570"/>
    </row>
    <row r="72" spans="2:17" s="1567" customFormat="1">
      <c r="B72" s="1570"/>
      <c r="C72" s="1570"/>
      <c r="D72" s="1570"/>
      <c r="E72" s="1570"/>
      <c r="F72" s="1570"/>
      <c r="G72" s="1570"/>
      <c r="H72" s="1570"/>
      <c r="I72" s="1570"/>
      <c r="J72" s="1570"/>
      <c r="K72" s="1570"/>
      <c r="L72" s="1570"/>
      <c r="M72" s="1570"/>
      <c r="N72" s="1570"/>
      <c r="O72" s="1570"/>
      <c r="P72" s="1570"/>
      <c r="Q72" s="1570"/>
    </row>
    <row r="73" spans="2:17" s="1567" customFormat="1">
      <c r="B73" s="1570"/>
      <c r="C73" s="1570"/>
      <c r="D73" s="1570"/>
      <c r="E73" s="1570"/>
      <c r="F73" s="1570"/>
      <c r="G73" s="1570"/>
      <c r="H73" s="1570"/>
      <c r="I73" s="1570"/>
      <c r="J73" s="1570"/>
      <c r="K73" s="1570"/>
      <c r="L73" s="1570"/>
      <c r="M73" s="1570"/>
      <c r="N73" s="1570"/>
      <c r="O73" s="1570"/>
      <c r="P73" s="1570"/>
      <c r="Q73" s="1570"/>
    </row>
    <row r="74" spans="2:17" s="1567" customFormat="1">
      <c r="B74" s="1570"/>
      <c r="C74" s="1570"/>
      <c r="D74" s="1570"/>
      <c r="E74" s="1570"/>
      <c r="F74" s="1570"/>
      <c r="G74" s="1570"/>
      <c r="H74" s="1570"/>
      <c r="I74" s="1570"/>
      <c r="J74" s="1570"/>
      <c r="K74" s="1570"/>
      <c r="L74" s="1570"/>
      <c r="M74" s="1570"/>
      <c r="N74" s="1570"/>
      <c r="O74" s="1570"/>
      <c r="P74" s="1570"/>
      <c r="Q74" s="1570"/>
    </row>
    <row r="75" spans="2:17" s="1567" customFormat="1">
      <c r="B75" s="1570"/>
      <c r="C75" s="1570"/>
      <c r="D75" s="1570"/>
      <c r="E75" s="1570"/>
      <c r="F75" s="1570"/>
      <c r="G75" s="1570"/>
      <c r="H75" s="1570"/>
      <c r="I75" s="1570"/>
      <c r="J75" s="1570"/>
      <c r="K75" s="1570"/>
      <c r="L75" s="1570"/>
      <c r="M75" s="1570"/>
      <c r="N75" s="1570"/>
      <c r="O75" s="1570"/>
      <c r="P75" s="1570"/>
      <c r="Q75" s="1570"/>
    </row>
    <row r="76" spans="2:17" s="1567" customFormat="1">
      <c r="B76" s="1570"/>
      <c r="C76" s="1570"/>
      <c r="D76" s="1570"/>
      <c r="E76" s="1570"/>
      <c r="F76" s="1570"/>
      <c r="G76" s="1570"/>
      <c r="H76" s="1570"/>
      <c r="I76" s="1570"/>
      <c r="J76" s="1570"/>
      <c r="K76" s="1570"/>
      <c r="L76" s="1570"/>
      <c r="M76" s="1570"/>
      <c r="N76" s="1570"/>
      <c r="O76" s="1570"/>
      <c r="P76" s="1570"/>
      <c r="Q76" s="1570"/>
    </row>
    <row r="77" spans="2:17" s="1567" customFormat="1">
      <c r="B77" s="1570"/>
      <c r="C77" s="1570"/>
      <c r="D77" s="1570"/>
      <c r="E77" s="1570"/>
      <c r="F77" s="1570"/>
      <c r="G77" s="1570"/>
      <c r="H77" s="1570"/>
      <c r="I77" s="1570"/>
      <c r="J77" s="1570"/>
      <c r="K77" s="1570"/>
      <c r="L77" s="1570"/>
      <c r="M77" s="1570"/>
      <c r="N77" s="1570"/>
      <c r="O77" s="1570"/>
      <c r="P77" s="1570"/>
      <c r="Q77" s="1570"/>
    </row>
    <row r="78" spans="2:17" s="1567" customFormat="1">
      <c r="B78" s="1570"/>
      <c r="C78" s="1570"/>
      <c r="D78" s="1570"/>
      <c r="E78" s="1570"/>
      <c r="F78" s="1570"/>
      <c r="G78" s="1570"/>
      <c r="H78" s="1570"/>
      <c r="I78" s="1570"/>
      <c r="J78" s="1570"/>
      <c r="K78" s="1570"/>
      <c r="L78" s="1570"/>
      <c r="M78" s="1570"/>
      <c r="N78" s="1570"/>
      <c r="O78" s="1570"/>
      <c r="P78" s="1570"/>
      <c r="Q78" s="1570"/>
    </row>
    <row r="79" spans="2:17" s="1567" customFormat="1">
      <c r="B79" s="1570"/>
      <c r="C79" s="1570"/>
      <c r="D79" s="1570"/>
      <c r="E79" s="1570"/>
      <c r="F79" s="1570"/>
      <c r="G79" s="1570"/>
      <c r="H79" s="1570"/>
      <c r="I79" s="1570"/>
      <c r="J79" s="1570"/>
      <c r="K79" s="1570"/>
      <c r="L79" s="1570"/>
      <c r="M79" s="1570"/>
      <c r="N79" s="1570"/>
      <c r="O79" s="1570"/>
      <c r="P79" s="1570"/>
      <c r="Q79" s="1570"/>
    </row>
    <row r="80" spans="2:17" s="1567" customFormat="1">
      <c r="B80" s="1570"/>
      <c r="C80" s="1570"/>
      <c r="D80" s="1570"/>
      <c r="E80" s="1570"/>
      <c r="F80" s="1570"/>
      <c r="G80" s="1570"/>
      <c r="H80" s="1570"/>
      <c r="I80" s="1570"/>
      <c r="J80" s="1570"/>
      <c r="K80" s="1570"/>
      <c r="L80" s="1570"/>
      <c r="M80" s="1570"/>
      <c r="N80" s="1570"/>
      <c r="O80" s="1570"/>
      <c r="P80" s="1570"/>
      <c r="Q80" s="1570"/>
    </row>
    <row r="81" spans="2:17" s="1567" customFormat="1">
      <c r="B81" s="1570"/>
      <c r="C81" s="1570"/>
      <c r="D81" s="1570"/>
      <c r="E81" s="1570"/>
      <c r="F81" s="1570"/>
      <c r="G81" s="1570"/>
      <c r="H81" s="1570"/>
      <c r="I81" s="1570"/>
      <c r="J81" s="1570"/>
      <c r="K81" s="1570"/>
      <c r="L81" s="1570"/>
      <c r="M81" s="1570"/>
      <c r="N81" s="1570"/>
      <c r="O81" s="1570"/>
      <c r="P81" s="1570"/>
      <c r="Q81" s="1570"/>
    </row>
    <row r="82" spans="2:17" s="1567" customFormat="1">
      <c r="B82" s="1570"/>
      <c r="C82" s="1570"/>
      <c r="D82" s="1570"/>
      <c r="E82" s="1570"/>
      <c r="F82" s="1570"/>
      <c r="G82" s="1570"/>
      <c r="H82" s="1570"/>
      <c r="I82" s="1570"/>
      <c r="J82" s="1570"/>
      <c r="K82" s="1570"/>
      <c r="L82" s="1570"/>
      <c r="M82" s="1570"/>
      <c r="N82" s="1570"/>
      <c r="O82" s="1570"/>
      <c r="P82" s="1570"/>
      <c r="Q82" s="1570"/>
    </row>
    <row r="83" spans="2:17" s="1567" customFormat="1">
      <c r="B83" s="1570"/>
      <c r="C83" s="1570"/>
      <c r="D83" s="1570"/>
      <c r="E83" s="1570"/>
      <c r="F83" s="1570"/>
      <c r="G83" s="1570"/>
      <c r="H83" s="1570"/>
      <c r="I83" s="1570"/>
      <c r="J83" s="1570"/>
      <c r="K83" s="1570"/>
      <c r="L83" s="1570"/>
      <c r="M83" s="1570"/>
      <c r="N83" s="1570"/>
      <c r="O83" s="1570"/>
      <c r="P83" s="1570"/>
      <c r="Q83" s="1570"/>
    </row>
    <row r="84" spans="2:17" s="1567" customFormat="1">
      <c r="B84" s="1570"/>
      <c r="C84" s="1570"/>
      <c r="D84" s="1570"/>
      <c r="E84" s="1570"/>
      <c r="F84" s="1570"/>
      <c r="G84" s="1570"/>
      <c r="H84" s="1570"/>
      <c r="I84" s="1570"/>
      <c r="J84" s="1570"/>
      <c r="K84" s="1570"/>
      <c r="L84" s="1570"/>
      <c r="M84" s="1570"/>
      <c r="N84" s="1570"/>
      <c r="O84" s="1570"/>
      <c r="P84" s="1570"/>
      <c r="Q84" s="1570"/>
    </row>
    <row r="85" spans="2:17" s="1567" customFormat="1">
      <c r="B85" s="1570"/>
      <c r="C85" s="1570"/>
      <c r="D85" s="1570"/>
      <c r="E85" s="1570"/>
      <c r="F85" s="1570"/>
      <c r="G85" s="1570"/>
      <c r="H85" s="1570"/>
      <c r="I85" s="1570"/>
      <c r="J85" s="1570"/>
      <c r="K85" s="1570"/>
      <c r="L85" s="1570"/>
      <c r="M85" s="1570"/>
      <c r="N85" s="1570"/>
      <c r="O85" s="1570"/>
      <c r="P85" s="1570"/>
      <c r="Q85" s="1570"/>
    </row>
    <row r="86" spans="2:17" s="1567" customFormat="1">
      <c r="B86" s="1570"/>
      <c r="C86" s="1570"/>
      <c r="D86" s="1570"/>
      <c r="E86" s="1570"/>
      <c r="F86" s="1570"/>
      <c r="G86" s="1570"/>
      <c r="H86" s="1570"/>
      <c r="I86" s="1570"/>
      <c r="J86" s="1570"/>
      <c r="K86" s="1570"/>
      <c r="L86" s="1570"/>
      <c r="M86" s="1570"/>
      <c r="N86" s="1570"/>
      <c r="O86" s="1570"/>
      <c r="P86" s="1570"/>
      <c r="Q86" s="1570"/>
    </row>
    <row r="87" spans="2:17" s="1567" customFormat="1">
      <c r="B87" s="1570"/>
      <c r="C87" s="1570"/>
      <c r="D87" s="1570"/>
      <c r="E87" s="1570"/>
      <c r="F87" s="1570"/>
      <c r="G87" s="1570"/>
      <c r="H87" s="1570"/>
      <c r="I87" s="1570"/>
      <c r="J87" s="1570"/>
      <c r="K87" s="1570"/>
      <c r="L87" s="1570"/>
      <c r="M87" s="1570"/>
      <c r="N87" s="1570"/>
      <c r="O87" s="1570"/>
      <c r="P87" s="1570"/>
      <c r="Q87" s="1570"/>
    </row>
    <row r="88" spans="2:17" s="1567" customFormat="1">
      <c r="B88" s="1570"/>
      <c r="C88" s="1570"/>
      <c r="D88" s="1570"/>
      <c r="E88" s="1570"/>
      <c r="F88" s="1570"/>
      <c r="G88" s="1570"/>
      <c r="H88" s="1570"/>
      <c r="I88" s="1570"/>
      <c r="J88" s="1570"/>
      <c r="K88" s="1570"/>
      <c r="L88" s="1570"/>
      <c r="M88" s="1570"/>
      <c r="N88" s="1570"/>
      <c r="O88" s="1570"/>
      <c r="P88" s="1570"/>
      <c r="Q88" s="1570"/>
    </row>
    <row r="89" spans="2:17" s="1567" customFormat="1">
      <c r="B89" s="1570"/>
      <c r="C89" s="1570"/>
      <c r="D89" s="1570"/>
      <c r="E89" s="1570"/>
      <c r="F89" s="1570"/>
      <c r="G89" s="1570"/>
      <c r="H89" s="1570"/>
      <c r="I89" s="1570"/>
      <c r="J89" s="1570"/>
      <c r="K89" s="1570"/>
      <c r="L89" s="1570"/>
      <c r="M89" s="1570"/>
      <c r="N89" s="1570"/>
      <c r="O89" s="1570"/>
      <c r="P89" s="1570"/>
      <c r="Q89" s="1570"/>
    </row>
    <row r="90" spans="2:17" s="1567" customFormat="1">
      <c r="B90" s="1570"/>
      <c r="C90" s="1570"/>
      <c r="D90" s="1570"/>
      <c r="E90" s="1570"/>
      <c r="F90" s="1570"/>
      <c r="G90" s="1570"/>
      <c r="H90" s="1570"/>
      <c r="I90" s="1570"/>
      <c r="J90" s="1570"/>
      <c r="K90" s="1570"/>
      <c r="L90" s="1570"/>
      <c r="M90" s="1570"/>
      <c r="N90" s="1570"/>
      <c r="O90" s="1570"/>
      <c r="P90" s="1570"/>
      <c r="Q90" s="1570"/>
    </row>
    <row r="91" spans="2:17" s="1567" customFormat="1">
      <c r="B91" s="1570"/>
      <c r="C91" s="1570"/>
      <c r="D91" s="1570"/>
      <c r="E91" s="1570"/>
      <c r="F91" s="1570"/>
      <c r="G91" s="1570"/>
      <c r="H91" s="1570"/>
      <c r="I91" s="1570"/>
      <c r="J91" s="1570"/>
      <c r="K91" s="1570"/>
      <c r="L91" s="1570"/>
      <c r="M91" s="1570"/>
      <c r="N91" s="1570"/>
      <c r="O91" s="1570"/>
      <c r="P91" s="1570"/>
      <c r="Q91" s="1570"/>
    </row>
    <row r="92" spans="2:17" s="1567" customFormat="1">
      <c r="B92" s="1570"/>
      <c r="C92" s="1570"/>
      <c r="D92" s="1570"/>
      <c r="E92" s="1570"/>
      <c r="F92" s="1570"/>
      <c r="G92" s="1570"/>
      <c r="H92" s="1570"/>
      <c r="I92" s="1570"/>
      <c r="J92" s="1570"/>
      <c r="K92" s="1570"/>
      <c r="L92" s="1570"/>
      <c r="M92" s="1570"/>
      <c r="N92" s="1570"/>
      <c r="O92" s="1570"/>
      <c r="P92" s="1570"/>
      <c r="Q92" s="1570"/>
    </row>
    <row r="93" spans="2:17" s="1567" customFormat="1">
      <c r="B93" s="1570"/>
      <c r="C93" s="1570"/>
      <c r="D93" s="1570"/>
      <c r="E93" s="1570"/>
      <c r="F93" s="1570"/>
      <c r="G93" s="1570"/>
      <c r="H93" s="1570"/>
      <c r="I93" s="1570"/>
      <c r="J93" s="1570"/>
      <c r="K93" s="1570"/>
      <c r="L93" s="1570"/>
      <c r="M93" s="1570"/>
      <c r="N93" s="1570"/>
      <c r="O93" s="1570"/>
      <c r="P93" s="1570"/>
      <c r="Q93" s="1570"/>
    </row>
    <row r="94" spans="2:17" s="1567" customFormat="1">
      <c r="B94" s="1570"/>
      <c r="C94" s="1570"/>
      <c r="D94" s="1570"/>
      <c r="E94" s="1570"/>
      <c r="F94" s="1570"/>
      <c r="G94" s="1570"/>
      <c r="H94" s="1570"/>
      <c r="I94" s="1570"/>
      <c r="J94" s="1570"/>
      <c r="K94" s="1570"/>
      <c r="L94" s="1570"/>
      <c r="M94" s="1570"/>
      <c r="N94" s="1570"/>
      <c r="O94" s="1570"/>
      <c r="P94" s="1570"/>
      <c r="Q94" s="1570"/>
    </row>
    <row r="95" spans="2:17" s="1567" customFormat="1">
      <c r="B95" s="1570"/>
      <c r="C95" s="1570"/>
      <c r="D95" s="1570"/>
      <c r="E95" s="1570"/>
      <c r="F95" s="1570"/>
      <c r="G95" s="1570"/>
      <c r="H95" s="1570"/>
      <c r="I95" s="1570"/>
      <c r="J95" s="1570"/>
      <c r="K95" s="1570"/>
      <c r="L95" s="1570"/>
      <c r="M95" s="1570"/>
      <c r="N95" s="1570"/>
      <c r="O95" s="1570"/>
      <c r="P95" s="1570"/>
      <c r="Q95" s="1570"/>
    </row>
    <row r="96" spans="2:17" s="1567" customFormat="1">
      <c r="B96" s="1570"/>
      <c r="C96" s="1570"/>
      <c r="D96" s="1570"/>
      <c r="E96" s="1570"/>
      <c r="F96" s="1570"/>
      <c r="G96" s="1570"/>
      <c r="H96" s="1570"/>
      <c r="I96" s="1570"/>
      <c r="J96" s="1570"/>
      <c r="K96" s="1570"/>
      <c r="L96" s="1570"/>
      <c r="M96" s="1570"/>
      <c r="N96" s="1570"/>
      <c r="O96" s="1570"/>
      <c r="P96" s="1570"/>
      <c r="Q96" s="1570"/>
    </row>
    <row r="97" spans="2:17" s="1567" customFormat="1">
      <c r="B97" s="1570"/>
      <c r="C97" s="1570"/>
      <c r="D97" s="1570"/>
      <c r="E97" s="1570"/>
      <c r="F97" s="1570"/>
      <c r="G97" s="1570"/>
      <c r="H97" s="1570"/>
      <c r="I97" s="1570"/>
      <c r="J97" s="1570"/>
      <c r="K97" s="1570"/>
      <c r="L97" s="1570"/>
      <c r="M97" s="1570"/>
      <c r="N97" s="1570"/>
      <c r="O97" s="1570"/>
      <c r="P97" s="1570"/>
      <c r="Q97" s="1570"/>
    </row>
    <row r="98" spans="2:17" s="1567" customFormat="1">
      <c r="B98" s="1570"/>
      <c r="C98" s="1570"/>
      <c r="D98" s="1570"/>
      <c r="E98" s="1570"/>
      <c r="F98" s="1570"/>
      <c r="G98" s="1570"/>
      <c r="H98" s="1570"/>
      <c r="I98" s="1570"/>
      <c r="J98" s="1570"/>
      <c r="K98" s="1570"/>
      <c r="L98" s="1570"/>
      <c r="M98" s="1570"/>
      <c r="N98" s="1570"/>
      <c r="O98" s="1570"/>
      <c r="P98" s="1570"/>
      <c r="Q98" s="1570"/>
    </row>
    <row r="99" spans="2:17" s="1567" customFormat="1">
      <c r="B99" s="1570"/>
      <c r="C99" s="1570"/>
      <c r="D99" s="1570"/>
      <c r="E99" s="1570"/>
      <c r="F99" s="1570"/>
      <c r="G99" s="1570"/>
      <c r="H99" s="1570"/>
      <c r="I99" s="1570"/>
      <c r="J99" s="1570"/>
      <c r="K99" s="1570"/>
      <c r="L99" s="1570"/>
      <c r="M99" s="1570"/>
      <c r="N99" s="1570"/>
      <c r="O99" s="1570"/>
      <c r="P99" s="1570"/>
      <c r="Q99" s="1570"/>
    </row>
    <row r="100" spans="2:17" s="1567" customFormat="1">
      <c r="B100" s="1570"/>
      <c r="C100" s="1570"/>
      <c r="D100" s="1570"/>
      <c r="E100" s="1570"/>
      <c r="F100" s="1570"/>
      <c r="G100" s="1570"/>
      <c r="H100" s="1570"/>
      <c r="I100" s="1570"/>
      <c r="J100" s="1570"/>
      <c r="K100" s="1570"/>
      <c r="L100" s="1570"/>
      <c r="M100" s="1570"/>
      <c r="N100" s="1570"/>
      <c r="O100" s="1570"/>
      <c r="P100" s="1570"/>
      <c r="Q100" s="1570"/>
    </row>
    <row r="101" spans="2:17" s="1567" customFormat="1">
      <c r="B101" s="1570"/>
      <c r="C101" s="1570"/>
      <c r="D101" s="1570"/>
      <c r="E101" s="1570"/>
      <c r="F101" s="1570"/>
      <c r="G101" s="1570"/>
      <c r="H101" s="1570"/>
      <c r="I101" s="1570"/>
      <c r="J101" s="1570"/>
      <c r="K101" s="1570"/>
      <c r="L101" s="1570"/>
      <c r="M101" s="1570"/>
      <c r="N101" s="1570"/>
      <c r="O101" s="1570"/>
      <c r="P101" s="1570"/>
      <c r="Q101" s="1570"/>
    </row>
    <row r="102" spans="2:17" s="1567" customFormat="1">
      <c r="B102" s="1570"/>
      <c r="C102" s="1570"/>
      <c r="D102" s="1570"/>
      <c r="E102" s="1570"/>
      <c r="F102" s="1570"/>
      <c r="G102" s="1570"/>
      <c r="H102" s="1570"/>
      <c r="I102" s="1570"/>
      <c r="J102" s="1570"/>
      <c r="K102" s="1570"/>
      <c r="L102" s="1570"/>
      <c r="M102" s="1570"/>
      <c r="N102" s="1570"/>
      <c r="O102" s="1570"/>
      <c r="P102" s="1570"/>
      <c r="Q102" s="1570"/>
    </row>
    <row r="103" spans="2:17" s="1567" customFormat="1">
      <c r="B103" s="1570"/>
      <c r="C103" s="1570"/>
      <c r="D103" s="1570"/>
      <c r="E103" s="1570"/>
      <c r="F103" s="1570"/>
      <c r="G103" s="1570"/>
      <c r="H103" s="1570"/>
      <c r="I103" s="1570"/>
      <c r="J103" s="1570"/>
      <c r="K103" s="1570"/>
      <c r="L103" s="1570"/>
      <c r="M103" s="1570"/>
      <c r="N103" s="1570"/>
      <c r="O103" s="1570"/>
      <c r="P103" s="1570"/>
      <c r="Q103" s="1570"/>
    </row>
    <row r="104" spans="2:17" s="1567" customFormat="1">
      <c r="B104" s="1570"/>
      <c r="C104" s="1570"/>
      <c r="D104" s="1570"/>
      <c r="E104" s="1570"/>
      <c r="F104" s="1570"/>
      <c r="G104" s="1570"/>
      <c r="H104" s="1570"/>
      <c r="I104" s="1570"/>
      <c r="J104" s="1570"/>
      <c r="K104" s="1570"/>
      <c r="L104" s="1570"/>
      <c r="M104" s="1570"/>
      <c r="N104" s="1570"/>
      <c r="O104" s="1570"/>
      <c r="P104" s="1570"/>
      <c r="Q104" s="1570"/>
    </row>
    <row r="105" spans="2:17" s="1567" customFormat="1">
      <c r="B105" s="1570"/>
      <c r="C105" s="1570"/>
      <c r="D105" s="1570"/>
      <c r="E105" s="1570"/>
      <c r="F105" s="1570"/>
      <c r="G105" s="1570"/>
      <c r="H105" s="1570"/>
      <c r="I105" s="1570"/>
      <c r="J105" s="1570"/>
      <c r="K105" s="1570"/>
      <c r="L105" s="1570"/>
      <c r="M105" s="1570"/>
      <c r="N105" s="1570"/>
      <c r="O105" s="1570"/>
      <c r="P105" s="1570"/>
      <c r="Q105" s="1570"/>
    </row>
    <row r="106" spans="2:17" s="1567" customFormat="1">
      <c r="B106" s="1570"/>
      <c r="C106" s="1570"/>
      <c r="D106" s="1570"/>
      <c r="E106" s="1570"/>
      <c r="F106" s="1570"/>
      <c r="G106" s="1570"/>
      <c r="H106" s="1570"/>
      <c r="I106" s="1570"/>
      <c r="J106" s="1570"/>
      <c r="K106" s="1570"/>
      <c r="L106" s="1570"/>
      <c r="M106" s="1570"/>
      <c r="N106" s="1570"/>
      <c r="O106" s="1570"/>
      <c r="P106" s="1570"/>
      <c r="Q106" s="1570"/>
    </row>
    <row r="107" spans="2:17" s="1567" customFormat="1">
      <c r="B107" s="1570"/>
      <c r="C107" s="1570"/>
      <c r="D107" s="1570"/>
      <c r="E107" s="1570"/>
      <c r="F107" s="1570"/>
      <c r="G107" s="1570"/>
      <c r="H107" s="1570"/>
      <c r="I107" s="1570"/>
      <c r="J107" s="1570"/>
      <c r="K107" s="1570"/>
      <c r="L107" s="1570"/>
      <c r="M107" s="1570"/>
      <c r="N107" s="1570"/>
      <c r="O107" s="1570"/>
      <c r="P107" s="1570"/>
      <c r="Q107" s="1570"/>
    </row>
    <row r="108" spans="2:17" s="1567" customFormat="1">
      <c r="B108" s="1570"/>
      <c r="C108" s="1570"/>
      <c r="D108" s="1570"/>
      <c r="E108" s="1570"/>
      <c r="F108" s="1570"/>
      <c r="G108" s="1570"/>
      <c r="H108" s="1570"/>
      <c r="I108" s="1570"/>
      <c r="J108" s="1570"/>
      <c r="K108" s="1570"/>
      <c r="L108" s="1570"/>
      <c r="M108" s="1570"/>
      <c r="N108" s="1570"/>
      <c r="O108" s="1570"/>
      <c r="P108" s="1570"/>
      <c r="Q108" s="1570"/>
    </row>
    <row r="109" spans="2:17" s="1567" customFormat="1">
      <c r="B109" s="1570"/>
      <c r="C109" s="1570"/>
      <c r="D109" s="1570"/>
      <c r="E109" s="1570"/>
      <c r="F109" s="1570"/>
      <c r="G109" s="1570"/>
      <c r="H109" s="1570"/>
      <c r="I109" s="1570"/>
      <c r="J109" s="1570"/>
      <c r="K109" s="1570"/>
      <c r="L109" s="1570"/>
      <c r="M109" s="1570"/>
      <c r="N109" s="1570"/>
      <c r="O109" s="1570"/>
      <c r="P109" s="1570"/>
      <c r="Q109" s="1570"/>
    </row>
    <row r="110" spans="2:17" s="1567" customFormat="1">
      <c r="B110" s="1570"/>
      <c r="C110" s="1570"/>
      <c r="D110" s="1570"/>
      <c r="E110" s="1570"/>
      <c r="F110" s="1570"/>
      <c r="G110" s="1570"/>
      <c r="H110" s="1570"/>
      <c r="I110" s="1570"/>
      <c r="J110" s="1570"/>
      <c r="K110" s="1570"/>
      <c r="L110" s="1570"/>
      <c r="M110" s="1570"/>
      <c r="N110" s="1570"/>
      <c r="O110" s="1570"/>
      <c r="P110" s="1570"/>
      <c r="Q110" s="1570"/>
    </row>
    <row r="111" spans="2:17" s="1567" customFormat="1">
      <c r="B111" s="1570"/>
      <c r="C111" s="1570"/>
      <c r="D111" s="1570"/>
      <c r="E111" s="1570"/>
      <c r="F111" s="1570"/>
      <c r="G111" s="1570"/>
      <c r="H111" s="1570"/>
      <c r="I111" s="1570"/>
      <c r="J111" s="1570"/>
      <c r="K111" s="1570"/>
      <c r="L111" s="1570"/>
      <c r="M111" s="1570"/>
      <c r="N111" s="1570"/>
      <c r="O111" s="1570"/>
      <c r="P111" s="1570"/>
      <c r="Q111" s="1570"/>
    </row>
    <row r="112" spans="2:17" s="1567" customFormat="1">
      <c r="B112" s="1570"/>
      <c r="C112" s="1570"/>
      <c r="D112" s="1570"/>
      <c r="E112" s="1570"/>
      <c r="F112" s="1570"/>
      <c r="G112" s="1570"/>
      <c r="H112" s="1570"/>
      <c r="I112" s="1570"/>
      <c r="J112" s="1570"/>
      <c r="K112" s="1570"/>
      <c r="L112" s="1570"/>
      <c r="M112" s="1570"/>
      <c r="N112" s="1570"/>
      <c r="O112" s="1570"/>
      <c r="P112" s="1570"/>
      <c r="Q112" s="1570"/>
    </row>
    <row r="113" spans="2:17" s="1567" customFormat="1">
      <c r="B113" s="1570"/>
      <c r="C113" s="1570"/>
      <c r="D113" s="1570"/>
      <c r="E113" s="1570"/>
      <c r="F113" s="1570"/>
      <c r="G113" s="1570"/>
      <c r="H113" s="1570"/>
      <c r="I113" s="1570"/>
      <c r="J113" s="1570"/>
      <c r="K113" s="1570"/>
      <c r="L113" s="1570"/>
      <c r="M113" s="1570"/>
      <c r="N113" s="1570"/>
      <c r="O113" s="1570"/>
      <c r="P113" s="1570"/>
      <c r="Q113" s="1570"/>
    </row>
    <row r="114" spans="2:17" s="1567" customFormat="1">
      <c r="B114" s="1570"/>
      <c r="C114" s="1570"/>
      <c r="D114" s="1570"/>
      <c r="E114" s="1570"/>
      <c r="F114" s="1570"/>
      <c r="G114" s="1570"/>
      <c r="H114" s="1570"/>
      <c r="I114" s="1570"/>
      <c r="J114" s="1570"/>
      <c r="K114" s="1570"/>
      <c r="L114" s="1570"/>
      <c r="M114" s="1570"/>
      <c r="N114" s="1570"/>
      <c r="O114" s="1570"/>
      <c r="P114" s="1570"/>
      <c r="Q114" s="1570"/>
    </row>
    <row r="115" spans="2:17" s="1567" customFormat="1">
      <c r="B115" s="1570"/>
      <c r="C115" s="1570"/>
      <c r="D115" s="1570"/>
      <c r="E115" s="1570"/>
      <c r="F115" s="1570"/>
      <c r="G115" s="1570"/>
      <c r="H115" s="1570"/>
      <c r="I115" s="1570"/>
      <c r="J115" s="1570"/>
      <c r="K115" s="1570"/>
      <c r="L115" s="1570"/>
      <c r="M115" s="1570"/>
      <c r="N115" s="1570"/>
      <c r="O115" s="1570"/>
      <c r="P115" s="1570"/>
      <c r="Q115" s="1570"/>
    </row>
    <row r="116" spans="2:17" s="1567" customFormat="1">
      <c r="B116" s="1570"/>
      <c r="C116" s="1570"/>
      <c r="D116" s="1570"/>
      <c r="E116" s="1570"/>
      <c r="F116" s="1570"/>
      <c r="G116" s="1570"/>
      <c r="H116" s="1570"/>
      <c r="I116" s="1570"/>
      <c r="J116" s="1570"/>
      <c r="K116" s="1570"/>
      <c r="L116" s="1570"/>
      <c r="M116" s="1570"/>
      <c r="N116" s="1570"/>
      <c r="O116" s="1570"/>
      <c r="P116" s="1570"/>
      <c r="Q116" s="1570"/>
    </row>
    <row r="117" spans="2:17" s="1567" customFormat="1">
      <c r="B117" s="1570"/>
      <c r="C117" s="1570"/>
      <c r="D117" s="1570"/>
      <c r="E117" s="1570"/>
      <c r="F117" s="1570"/>
      <c r="G117" s="1570"/>
      <c r="H117" s="1570"/>
      <c r="I117" s="1570"/>
      <c r="J117" s="1570"/>
      <c r="K117" s="1570"/>
      <c r="L117" s="1570"/>
      <c r="M117" s="1570"/>
      <c r="N117" s="1570"/>
      <c r="O117" s="1570"/>
      <c r="P117" s="1570"/>
      <c r="Q117" s="1570"/>
    </row>
    <row r="118" spans="2:17" s="1567" customFormat="1">
      <c r="B118" s="1570"/>
      <c r="C118" s="1570"/>
      <c r="D118" s="1570"/>
      <c r="E118" s="1570"/>
      <c r="F118" s="1570"/>
      <c r="G118" s="1570"/>
      <c r="H118" s="1570"/>
      <c r="I118" s="1570"/>
      <c r="J118" s="1570"/>
      <c r="K118" s="1570"/>
      <c r="L118" s="1570"/>
      <c r="M118" s="1570"/>
      <c r="N118" s="1570"/>
      <c r="O118" s="1570"/>
      <c r="P118" s="1570"/>
      <c r="Q118" s="1570"/>
    </row>
    <row r="119" spans="2:17" s="1567" customFormat="1">
      <c r="B119" s="1570"/>
      <c r="C119" s="1570"/>
      <c r="D119" s="1570"/>
      <c r="E119" s="1570"/>
      <c r="F119" s="1570"/>
      <c r="G119" s="1570"/>
      <c r="H119" s="1570"/>
      <c r="I119" s="1570"/>
      <c r="J119" s="1570"/>
      <c r="K119" s="1570"/>
      <c r="L119" s="1570"/>
      <c r="M119" s="1570"/>
      <c r="N119" s="1570"/>
      <c r="O119" s="1570"/>
      <c r="P119" s="1570"/>
      <c r="Q119" s="1570"/>
    </row>
    <row r="120" spans="2:17" s="1567" customFormat="1">
      <c r="B120" s="1570"/>
      <c r="C120" s="1570"/>
      <c r="D120" s="1570"/>
      <c r="E120" s="1570"/>
      <c r="F120" s="1570"/>
      <c r="G120" s="1570"/>
      <c r="H120" s="1570"/>
      <c r="I120" s="1570"/>
      <c r="J120" s="1570"/>
      <c r="K120" s="1570"/>
      <c r="L120" s="1570"/>
      <c r="M120" s="1570"/>
      <c r="N120" s="1570"/>
      <c r="O120" s="1570"/>
      <c r="P120" s="1570"/>
      <c r="Q120" s="1570"/>
    </row>
    <row r="121" spans="2:17" s="1567" customFormat="1">
      <c r="B121" s="1570"/>
      <c r="C121" s="1570"/>
      <c r="D121" s="1570"/>
      <c r="E121" s="1570"/>
      <c r="F121" s="1570"/>
      <c r="G121" s="1570"/>
      <c r="H121" s="1570"/>
      <c r="I121" s="1570"/>
      <c r="J121" s="1570"/>
      <c r="K121" s="1570"/>
      <c r="L121" s="1570"/>
      <c r="M121" s="1570"/>
      <c r="N121" s="1570"/>
      <c r="O121" s="1570"/>
      <c r="P121" s="1570"/>
      <c r="Q121" s="1570"/>
    </row>
    <row r="122" spans="2:17" s="1567" customFormat="1">
      <c r="B122" s="1570"/>
      <c r="C122" s="1570"/>
      <c r="D122" s="1570"/>
      <c r="E122" s="1570"/>
      <c r="F122" s="1570"/>
      <c r="G122" s="1570"/>
      <c r="H122" s="1570"/>
      <c r="I122" s="1570"/>
      <c r="J122" s="1570"/>
      <c r="K122" s="1570"/>
      <c r="L122" s="1570"/>
      <c r="M122" s="1570"/>
      <c r="N122" s="1570"/>
      <c r="O122" s="1570"/>
      <c r="P122" s="1570"/>
      <c r="Q122" s="1570"/>
    </row>
    <row r="123" spans="2:17" s="1567" customFormat="1">
      <c r="B123" s="1570"/>
      <c r="C123" s="1570"/>
      <c r="D123" s="1570"/>
      <c r="E123" s="1570"/>
      <c r="F123" s="1570"/>
      <c r="G123" s="1570"/>
      <c r="H123" s="1570"/>
      <c r="I123" s="1570"/>
      <c r="J123" s="1570"/>
      <c r="K123" s="1570"/>
      <c r="L123" s="1570"/>
      <c r="M123" s="1570"/>
      <c r="N123" s="1570"/>
      <c r="O123" s="1570"/>
      <c r="P123" s="1570"/>
      <c r="Q123" s="1570"/>
    </row>
    <row r="124" spans="2:17" s="1567" customFormat="1">
      <c r="B124" s="1570"/>
      <c r="C124" s="1570"/>
      <c r="D124" s="1570"/>
      <c r="E124" s="1570"/>
      <c r="F124" s="1570"/>
      <c r="G124" s="1570"/>
      <c r="H124" s="1570"/>
      <c r="I124" s="1570"/>
      <c r="J124" s="1570"/>
      <c r="K124" s="1570"/>
      <c r="L124" s="1570"/>
      <c r="M124" s="1570"/>
      <c r="N124" s="1570"/>
      <c r="O124" s="1570"/>
      <c r="P124" s="1570"/>
      <c r="Q124" s="1570"/>
    </row>
    <row r="125" spans="2:17" s="1567" customFormat="1">
      <c r="B125" s="1570"/>
      <c r="C125" s="1570"/>
      <c r="D125" s="1570"/>
      <c r="E125" s="1570"/>
      <c r="F125" s="1570"/>
      <c r="G125" s="1570"/>
      <c r="H125" s="1570"/>
      <c r="I125" s="1570"/>
      <c r="J125" s="1570"/>
      <c r="K125" s="1570"/>
      <c r="L125" s="1570"/>
      <c r="M125" s="1570"/>
      <c r="N125" s="1570"/>
      <c r="O125" s="1570"/>
      <c r="P125" s="1570"/>
      <c r="Q125" s="1570"/>
    </row>
    <row r="126" spans="2:17" s="1567" customFormat="1">
      <c r="B126" s="1570"/>
      <c r="C126" s="1570"/>
      <c r="D126" s="1570"/>
      <c r="E126" s="1570"/>
      <c r="F126" s="1570"/>
      <c r="G126" s="1570"/>
      <c r="H126" s="1570"/>
      <c r="I126" s="1570"/>
      <c r="J126" s="1570"/>
      <c r="K126" s="1570"/>
      <c r="L126" s="1570"/>
      <c r="M126" s="1570"/>
      <c r="N126" s="1570"/>
      <c r="O126" s="1570"/>
      <c r="P126" s="1570"/>
      <c r="Q126" s="1570"/>
    </row>
    <row r="127" spans="2:17" s="1567" customFormat="1">
      <c r="B127" s="1570"/>
      <c r="C127" s="1570"/>
      <c r="D127" s="1570"/>
      <c r="E127" s="1570"/>
      <c r="F127" s="1570"/>
      <c r="G127" s="1570"/>
      <c r="H127" s="1570"/>
      <c r="I127" s="1570"/>
      <c r="J127" s="1570"/>
      <c r="K127" s="1570"/>
      <c r="L127" s="1570"/>
      <c r="M127" s="1570"/>
      <c r="N127" s="1570"/>
      <c r="O127" s="1570"/>
      <c r="P127" s="1570"/>
      <c r="Q127" s="1570"/>
    </row>
    <row r="128" spans="2:17" s="1567" customFormat="1">
      <c r="B128" s="1570"/>
      <c r="C128" s="1570"/>
      <c r="D128" s="1570"/>
      <c r="E128" s="1570"/>
      <c r="F128" s="1570"/>
      <c r="G128" s="1570"/>
      <c r="H128" s="1570"/>
      <c r="I128" s="1570"/>
      <c r="J128" s="1570"/>
      <c r="K128" s="1570"/>
      <c r="L128" s="1570"/>
      <c r="M128" s="1570"/>
      <c r="N128" s="1570"/>
      <c r="O128" s="1570"/>
      <c r="P128" s="1570"/>
      <c r="Q128" s="1570"/>
    </row>
    <row r="129" spans="2:17" s="1567" customFormat="1">
      <c r="B129" s="1570"/>
      <c r="C129" s="1570"/>
      <c r="D129" s="1570"/>
      <c r="E129" s="1570"/>
      <c r="F129" s="1570"/>
      <c r="G129" s="1570"/>
      <c r="H129" s="1570"/>
      <c r="I129" s="1570"/>
      <c r="J129" s="1570"/>
      <c r="K129" s="1570"/>
      <c r="L129" s="1570"/>
      <c r="M129" s="1570"/>
      <c r="N129" s="1570"/>
      <c r="O129" s="1570"/>
      <c r="P129" s="1570"/>
      <c r="Q129" s="1570"/>
    </row>
    <row r="130" spans="2:17" s="1567" customFormat="1">
      <c r="B130" s="1570"/>
      <c r="C130" s="1570"/>
      <c r="D130" s="1570"/>
      <c r="E130" s="1570"/>
      <c r="F130" s="1570"/>
      <c r="G130" s="1570"/>
      <c r="H130" s="1570"/>
      <c r="I130" s="1570"/>
      <c r="J130" s="1570"/>
      <c r="K130" s="1570"/>
      <c r="L130" s="1570"/>
      <c r="M130" s="1570"/>
      <c r="N130" s="1570"/>
      <c r="O130" s="1570"/>
      <c r="P130" s="1570"/>
      <c r="Q130" s="1570"/>
    </row>
    <row r="131" spans="2:17" s="1567" customFormat="1">
      <c r="B131" s="1570"/>
      <c r="C131" s="1570"/>
      <c r="D131" s="1570"/>
      <c r="E131" s="1570"/>
      <c r="F131" s="1570"/>
      <c r="G131" s="1570"/>
      <c r="H131" s="1570"/>
      <c r="I131" s="1570"/>
      <c r="J131" s="1570"/>
      <c r="K131" s="1570"/>
      <c r="L131" s="1570"/>
      <c r="M131" s="1570"/>
      <c r="N131" s="1570"/>
      <c r="O131" s="1570"/>
      <c r="P131" s="1570"/>
      <c r="Q131" s="1570"/>
    </row>
    <row r="132" spans="2:17" s="1567" customFormat="1">
      <c r="B132" s="1570"/>
      <c r="C132" s="1570"/>
      <c r="D132" s="1570"/>
      <c r="E132" s="1570"/>
      <c r="F132" s="1570"/>
      <c r="G132" s="1570"/>
      <c r="H132" s="1570"/>
      <c r="I132" s="1570"/>
      <c r="J132" s="1570"/>
      <c r="K132" s="1570"/>
      <c r="L132" s="1570"/>
      <c r="M132" s="1570"/>
      <c r="N132" s="1570"/>
      <c r="O132" s="1570"/>
      <c r="P132" s="1570"/>
      <c r="Q132" s="1570"/>
    </row>
    <row r="133" spans="2:17" s="1567" customFormat="1">
      <c r="B133" s="1570"/>
      <c r="C133" s="1570"/>
      <c r="D133" s="1570"/>
      <c r="E133" s="1570"/>
      <c r="F133" s="1570"/>
      <c r="G133" s="1570"/>
      <c r="H133" s="1570"/>
      <c r="I133" s="1570"/>
      <c r="J133" s="1570"/>
      <c r="K133" s="1570"/>
      <c r="L133" s="1570"/>
      <c r="M133" s="1570"/>
      <c r="N133" s="1570"/>
      <c r="O133" s="1570"/>
      <c r="P133" s="1570"/>
      <c r="Q133" s="1570"/>
    </row>
    <row r="134" spans="2:17" s="1567" customFormat="1">
      <c r="B134" s="1570"/>
      <c r="C134" s="1570"/>
      <c r="D134" s="1570"/>
      <c r="E134" s="1570"/>
      <c r="F134" s="1570"/>
      <c r="G134" s="1570"/>
      <c r="H134" s="1570"/>
      <c r="I134" s="1570"/>
      <c r="J134" s="1570"/>
      <c r="K134" s="1570"/>
      <c r="L134" s="1570"/>
      <c r="M134" s="1570"/>
      <c r="N134" s="1570"/>
      <c r="O134" s="1570"/>
      <c r="P134" s="1570"/>
      <c r="Q134" s="1570"/>
    </row>
    <row r="135" spans="2:17" s="1567" customFormat="1">
      <c r="B135" s="1570"/>
      <c r="C135" s="1570"/>
      <c r="D135" s="1570"/>
      <c r="E135" s="1570"/>
      <c r="F135" s="1570"/>
      <c r="G135" s="1570"/>
      <c r="H135" s="1570"/>
      <c r="I135" s="1570"/>
      <c r="J135" s="1570"/>
      <c r="K135" s="1570"/>
      <c r="L135" s="1570"/>
      <c r="M135" s="1570"/>
      <c r="N135" s="1570"/>
      <c r="O135" s="1570"/>
      <c r="P135" s="1570"/>
      <c r="Q135" s="1570"/>
    </row>
    <row r="136" spans="2:17" s="1567" customFormat="1">
      <c r="B136" s="1570"/>
      <c r="C136" s="1570"/>
      <c r="D136" s="1570"/>
      <c r="E136" s="1570"/>
      <c r="F136" s="1570"/>
      <c r="G136" s="1570"/>
      <c r="H136" s="1570"/>
      <c r="I136" s="1570"/>
      <c r="J136" s="1570"/>
      <c r="K136" s="1570"/>
      <c r="L136" s="1570"/>
      <c r="M136" s="1570"/>
      <c r="N136" s="1570"/>
      <c r="O136" s="1570"/>
      <c r="P136" s="1570"/>
      <c r="Q136" s="1570"/>
    </row>
    <row r="137" spans="2:17" s="1567" customFormat="1">
      <c r="B137" s="1570"/>
      <c r="C137" s="1570"/>
      <c r="D137" s="1570"/>
      <c r="E137" s="1570"/>
      <c r="F137" s="1570"/>
      <c r="G137" s="1570"/>
      <c r="H137" s="1570"/>
      <c r="I137" s="1570"/>
      <c r="J137" s="1570"/>
      <c r="K137" s="1570"/>
      <c r="L137" s="1570"/>
      <c r="M137" s="1570"/>
      <c r="N137" s="1570"/>
      <c r="O137" s="1570"/>
      <c r="P137" s="1570"/>
      <c r="Q137" s="1570"/>
    </row>
    <row r="138" spans="2:17" s="1567" customFormat="1">
      <c r="B138" s="1570"/>
      <c r="C138" s="1570"/>
      <c r="D138" s="1570"/>
      <c r="E138" s="1570"/>
      <c r="F138" s="1570"/>
      <c r="G138" s="1570"/>
      <c r="H138" s="1570"/>
      <c r="I138" s="1570"/>
      <c r="J138" s="1570"/>
      <c r="K138" s="1570"/>
      <c r="L138" s="1570"/>
      <c r="M138" s="1570"/>
      <c r="N138" s="1570"/>
      <c r="O138" s="1570"/>
      <c r="P138" s="1570"/>
      <c r="Q138" s="1570"/>
    </row>
    <row r="139" spans="2:17" s="1567" customFormat="1">
      <c r="B139" s="1570"/>
      <c r="C139" s="1570"/>
      <c r="D139" s="1570"/>
      <c r="E139" s="1570"/>
      <c r="F139" s="1570"/>
      <c r="G139" s="1570"/>
      <c r="H139" s="1570"/>
      <c r="I139" s="1570"/>
      <c r="J139" s="1570"/>
      <c r="K139" s="1570"/>
      <c r="L139" s="1570"/>
      <c r="M139" s="1570"/>
      <c r="N139" s="1570"/>
      <c r="O139" s="1570"/>
      <c r="P139" s="1570"/>
      <c r="Q139" s="1570"/>
    </row>
    <row r="140" spans="2:17" s="1567" customFormat="1">
      <c r="B140" s="1570"/>
      <c r="C140" s="1570"/>
      <c r="D140" s="1570"/>
      <c r="E140" s="1570"/>
      <c r="F140" s="1570"/>
      <c r="G140" s="1570"/>
      <c r="H140" s="1570"/>
      <c r="I140" s="1570"/>
      <c r="J140" s="1570"/>
      <c r="K140" s="1570"/>
      <c r="L140" s="1570"/>
      <c r="M140" s="1570"/>
      <c r="N140" s="1570"/>
      <c r="O140" s="1570"/>
      <c r="P140" s="1570"/>
      <c r="Q140" s="1570"/>
    </row>
    <row r="141" spans="2:17" s="1567" customFormat="1">
      <c r="B141" s="1570"/>
      <c r="C141" s="1570"/>
      <c r="D141" s="1570"/>
      <c r="E141" s="1570"/>
      <c r="F141" s="1570"/>
      <c r="G141" s="1570"/>
      <c r="H141" s="1570"/>
      <c r="I141" s="1570"/>
      <c r="J141" s="1570"/>
      <c r="K141" s="1570"/>
      <c r="L141" s="1570"/>
      <c r="M141" s="1570"/>
      <c r="N141" s="1570"/>
      <c r="O141" s="1570"/>
      <c r="P141" s="1570"/>
      <c r="Q141" s="1570"/>
    </row>
    <row r="142" spans="2:17" s="1567" customFormat="1">
      <c r="B142" s="1570"/>
      <c r="C142" s="1570"/>
      <c r="D142" s="1570"/>
      <c r="E142" s="1570"/>
      <c r="F142" s="1570"/>
      <c r="G142" s="1570"/>
      <c r="H142" s="1570"/>
      <c r="I142" s="1570"/>
      <c r="J142" s="1570"/>
      <c r="K142" s="1570"/>
      <c r="L142" s="1570"/>
      <c r="M142" s="1570"/>
      <c r="N142" s="1570"/>
      <c r="O142" s="1570"/>
      <c r="P142" s="1570"/>
      <c r="Q142" s="1570"/>
    </row>
    <row r="143" spans="2:17" s="1567" customFormat="1">
      <c r="B143" s="1570"/>
      <c r="C143" s="1570"/>
      <c r="D143" s="1570"/>
      <c r="E143" s="1570"/>
      <c r="F143" s="1570"/>
      <c r="G143" s="1570"/>
      <c r="H143" s="1570"/>
      <c r="I143" s="1570"/>
      <c r="J143" s="1570"/>
      <c r="K143" s="1570"/>
      <c r="L143" s="1570"/>
      <c r="M143" s="1570"/>
      <c r="N143" s="1570"/>
      <c r="O143" s="1570"/>
      <c r="P143" s="1570"/>
      <c r="Q143" s="1570"/>
    </row>
    <row r="144" spans="2:17" s="1567" customFormat="1">
      <c r="B144" s="1570"/>
      <c r="C144" s="1570"/>
      <c r="D144" s="1570"/>
      <c r="E144" s="1570"/>
      <c r="F144" s="1570"/>
      <c r="G144" s="1570"/>
      <c r="H144" s="1570"/>
      <c r="I144" s="1570"/>
      <c r="J144" s="1570"/>
      <c r="K144" s="1570"/>
      <c r="L144" s="1570"/>
      <c r="M144" s="1570"/>
      <c r="N144" s="1570"/>
      <c r="O144" s="1570"/>
      <c r="P144" s="1570"/>
      <c r="Q144" s="1570"/>
    </row>
    <row r="145" spans="2:17" s="1567" customFormat="1">
      <c r="B145" s="1570"/>
      <c r="C145" s="1570"/>
      <c r="D145" s="1570"/>
      <c r="E145" s="1570"/>
      <c r="F145" s="1570"/>
      <c r="G145" s="1570"/>
      <c r="H145" s="1570"/>
      <c r="I145" s="1570"/>
      <c r="J145" s="1570"/>
      <c r="K145" s="1570"/>
      <c r="L145" s="1570"/>
      <c r="M145" s="1570"/>
      <c r="N145" s="1570"/>
      <c r="O145" s="1570"/>
      <c r="P145" s="1570"/>
      <c r="Q145" s="1570"/>
    </row>
    <row r="146" spans="2:17" s="1567" customFormat="1">
      <c r="B146" s="1570"/>
      <c r="C146" s="1570"/>
      <c r="D146" s="1570"/>
      <c r="E146" s="1570"/>
      <c r="F146" s="1570"/>
      <c r="G146" s="1570"/>
      <c r="H146" s="1570"/>
      <c r="I146" s="1570"/>
      <c r="J146" s="1570"/>
      <c r="K146" s="1570"/>
      <c r="L146" s="1570"/>
      <c r="M146" s="1570"/>
      <c r="N146" s="1570"/>
      <c r="O146" s="1570"/>
      <c r="P146" s="1570"/>
      <c r="Q146" s="1570"/>
    </row>
    <row r="147" spans="2:17" s="1567" customFormat="1">
      <c r="B147" s="1570"/>
      <c r="C147" s="1570"/>
      <c r="D147" s="1570"/>
      <c r="E147" s="1570"/>
      <c r="F147" s="1570"/>
      <c r="G147" s="1570"/>
      <c r="H147" s="1570"/>
      <c r="I147" s="1570"/>
      <c r="J147" s="1570"/>
      <c r="K147" s="1570"/>
      <c r="L147" s="1570"/>
      <c r="M147" s="1570"/>
      <c r="N147" s="1570"/>
      <c r="O147" s="1570"/>
      <c r="P147" s="1570"/>
      <c r="Q147" s="1570"/>
    </row>
    <row r="148" spans="2:17" s="1567" customFormat="1">
      <c r="B148" s="1570"/>
      <c r="C148" s="1570"/>
      <c r="D148" s="1570"/>
      <c r="E148" s="1570"/>
      <c r="F148" s="1570"/>
      <c r="G148" s="1570"/>
      <c r="H148" s="1570"/>
      <c r="I148" s="1570"/>
      <c r="J148" s="1570"/>
      <c r="K148" s="1570"/>
      <c r="L148" s="1570"/>
      <c r="M148" s="1570"/>
      <c r="N148" s="1570"/>
      <c r="O148" s="1570"/>
      <c r="P148" s="1570"/>
      <c r="Q148" s="1570"/>
    </row>
    <row r="149" spans="2:17" s="1567" customFormat="1">
      <c r="B149" s="1570"/>
      <c r="C149" s="1570"/>
      <c r="D149" s="1570"/>
      <c r="E149" s="1570"/>
      <c r="F149" s="1570"/>
      <c r="G149" s="1570"/>
      <c r="H149" s="1570"/>
      <c r="I149" s="1570"/>
      <c r="J149" s="1570"/>
      <c r="K149" s="1570"/>
      <c r="L149" s="1570"/>
      <c r="M149" s="1570"/>
      <c r="N149" s="1570"/>
      <c r="O149" s="1570"/>
      <c r="P149" s="1570"/>
      <c r="Q149" s="1570"/>
    </row>
    <row r="150" spans="2:17" s="1567" customFormat="1">
      <c r="B150" s="1570"/>
      <c r="C150" s="1570"/>
      <c r="D150" s="1570"/>
      <c r="E150" s="1570"/>
      <c r="F150" s="1570"/>
      <c r="G150" s="1570"/>
      <c r="H150" s="1570"/>
      <c r="I150" s="1570"/>
      <c r="J150" s="1570"/>
      <c r="K150" s="1570"/>
      <c r="L150" s="1570"/>
      <c r="M150" s="1570"/>
      <c r="N150" s="1570"/>
      <c r="O150" s="1570"/>
      <c r="P150" s="1570"/>
      <c r="Q150" s="1570"/>
    </row>
    <row r="151" spans="2:17" s="1567" customFormat="1">
      <c r="B151" s="1570"/>
      <c r="C151" s="1570"/>
      <c r="D151" s="1570"/>
      <c r="E151" s="1570"/>
      <c r="F151" s="1570"/>
      <c r="G151" s="1570"/>
      <c r="H151" s="1570"/>
      <c r="I151" s="1570"/>
      <c r="J151" s="1570"/>
      <c r="K151" s="1570"/>
      <c r="L151" s="1570"/>
      <c r="M151" s="1570"/>
      <c r="N151" s="1570"/>
      <c r="O151" s="1570"/>
      <c r="P151" s="1570"/>
      <c r="Q151" s="1570"/>
    </row>
    <row r="152" spans="2:17" s="1567" customFormat="1">
      <c r="B152" s="1570"/>
      <c r="C152" s="1570"/>
      <c r="D152" s="1570"/>
      <c r="E152" s="1570"/>
      <c r="F152" s="1570"/>
      <c r="G152" s="1570"/>
      <c r="H152" s="1570"/>
      <c r="I152" s="1570"/>
      <c r="J152" s="1570"/>
      <c r="K152" s="1570"/>
      <c r="L152" s="1570"/>
      <c r="M152" s="1570"/>
      <c r="N152" s="1570"/>
      <c r="O152" s="1570"/>
      <c r="P152" s="1570"/>
      <c r="Q152" s="1570"/>
    </row>
    <row r="153" spans="2:17" s="1567" customFormat="1">
      <c r="B153" s="1570"/>
      <c r="C153" s="1570"/>
      <c r="D153" s="1570"/>
      <c r="E153" s="1570"/>
      <c r="F153" s="1570"/>
      <c r="G153" s="1570"/>
      <c r="H153" s="1570"/>
      <c r="I153" s="1570"/>
      <c r="J153" s="1570"/>
      <c r="K153" s="1570"/>
      <c r="L153" s="1570"/>
      <c r="M153" s="1570"/>
      <c r="N153" s="1570"/>
      <c r="O153" s="1570"/>
      <c r="P153" s="1570"/>
      <c r="Q153" s="1570"/>
    </row>
    <row r="154" spans="2:17" s="1567" customFormat="1">
      <c r="B154" s="1570"/>
      <c r="C154" s="1570"/>
      <c r="D154" s="1570"/>
      <c r="E154" s="1570"/>
      <c r="F154" s="1570"/>
      <c r="G154" s="1570"/>
      <c r="H154" s="1570"/>
      <c r="I154" s="1570"/>
      <c r="J154" s="1570"/>
      <c r="K154" s="1570"/>
      <c r="L154" s="1570"/>
      <c r="M154" s="1570"/>
      <c r="N154" s="1570"/>
      <c r="O154" s="1570"/>
      <c r="P154" s="1570"/>
      <c r="Q154" s="1570"/>
    </row>
    <row r="155" spans="2:17" s="1567" customFormat="1">
      <c r="B155" s="1570"/>
      <c r="C155" s="1570"/>
      <c r="D155" s="1570"/>
      <c r="E155" s="1570"/>
      <c r="F155" s="1570"/>
      <c r="G155" s="1570"/>
      <c r="H155" s="1570"/>
      <c r="I155" s="1570"/>
      <c r="J155" s="1570"/>
      <c r="K155" s="1570"/>
      <c r="L155" s="1570"/>
      <c r="M155" s="1570"/>
      <c r="N155" s="1570"/>
      <c r="O155" s="1570"/>
      <c r="P155" s="1570"/>
      <c r="Q155" s="1570"/>
    </row>
    <row r="156" spans="2:17" s="1567" customFormat="1">
      <c r="B156" s="1570"/>
      <c r="C156" s="1570"/>
      <c r="D156" s="1570"/>
      <c r="E156" s="1570"/>
      <c r="F156" s="1570"/>
      <c r="G156" s="1570"/>
      <c r="H156" s="1570"/>
      <c r="I156" s="1570"/>
      <c r="J156" s="1570"/>
      <c r="K156" s="1570"/>
      <c r="L156" s="1570"/>
      <c r="M156" s="1570"/>
      <c r="N156" s="1570"/>
      <c r="O156" s="1570"/>
      <c r="P156" s="1570"/>
      <c r="Q156" s="1570"/>
    </row>
    <row r="157" spans="2:17" s="1567" customFormat="1">
      <c r="B157" s="1570"/>
      <c r="C157" s="1570"/>
      <c r="D157" s="1570"/>
      <c r="E157" s="1570"/>
      <c r="F157" s="1570"/>
      <c r="G157" s="1570"/>
      <c r="H157" s="1570"/>
      <c r="I157" s="1570"/>
      <c r="J157" s="1570"/>
      <c r="K157" s="1570"/>
      <c r="L157" s="1570"/>
      <c r="M157" s="1570"/>
      <c r="N157" s="1570"/>
      <c r="O157" s="1570"/>
      <c r="P157" s="1570"/>
      <c r="Q157" s="1570"/>
    </row>
    <row r="158" spans="2:17" s="1567" customFormat="1">
      <c r="B158" s="1570"/>
      <c r="C158" s="1570"/>
      <c r="D158" s="1570"/>
      <c r="E158" s="1570"/>
      <c r="F158" s="1570"/>
      <c r="G158" s="1570"/>
      <c r="H158" s="1570"/>
      <c r="I158" s="1570"/>
      <c r="J158" s="1570"/>
      <c r="K158" s="1570"/>
      <c r="L158" s="1570"/>
      <c r="M158" s="1570"/>
      <c r="N158" s="1570"/>
      <c r="O158" s="1570"/>
      <c r="P158" s="1570"/>
      <c r="Q158" s="1570"/>
    </row>
    <row r="159" spans="2:17" s="1567" customFormat="1">
      <c r="B159" s="1570"/>
      <c r="C159" s="1570"/>
      <c r="D159" s="1570"/>
      <c r="E159" s="1570"/>
      <c r="F159" s="1570"/>
      <c r="G159" s="1570"/>
      <c r="H159" s="1570"/>
      <c r="I159" s="1570"/>
      <c r="J159" s="1570"/>
      <c r="K159" s="1570"/>
      <c r="L159" s="1570"/>
      <c r="M159" s="1570"/>
      <c r="N159" s="1570"/>
      <c r="O159" s="1570"/>
      <c r="P159" s="1570"/>
      <c r="Q159" s="1570"/>
    </row>
    <row r="160" spans="2:17" s="1567" customFormat="1">
      <c r="B160" s="1570"/>
      <c r="C160" s="1570"/>
      <c r="D160" s="1570"/>
      <c r="E160" s="1570"/>
      <c r="F160" s="1570"/>
      <c r="G160" s="1570"/>
      <c r="H160" s="1570"/>
      <c r="I160" s="1570"/>
      <c r="J160" s="1570"/>
      <c r="K160" s="1570"/>
      <c r="L160" s="1570"/>
      <c r="M160" s="1570"/>
      <c r="N160" s="1570"/>
      <c r="O160" s="1570"/>
      <c r="P160" s="1570"/>
      <c r="Q160" s="1570"/>
    </row>
    <row r="161" spans="1:17" s="1567" customFormat="1">
      <c r="B161" s="1570"/>
      <c r="C161" s="1570"/>
      <c r="D161" s="1570"/>
      <c r="E161" s="1570"/>
      <c r="F161" s="1570"/>
      <c r="G161" s="1570"/>
      <c r="H161" s="1570"/>
      <c r="I161" s="1570"/>
      <c r="J161" s="1570"/>
      <c r="K161" s="1570"/>
      <c r="L161" s="1570"/>
      <c r="M161" s="1570"/>
      <c r="N161" s="1570"/>
      <c r="O161" s="1570"/>
      <c r="P161" s="1570"/>
      <c r="Q161" s="1570"/>
    </row>
    <row r="162" spans="1:17" s="1567" customFormat="1">
      <c r="B162" s="1570"/>
      <c r="C162" s="1570"/>
      <c r="D162" s="1570"/>
      <c r="E162" s="1570"/>
      <c r="F162" s="1570"/>
      <c r="G162" s="1570"/>
      <c r="H162" s="1570"/>
      <c r="I162" s="1570"/>
      <c r="J162" s="1570"/>
      <c r="K162" s="1570"/>
      <c r="L162" s="1570"/>
      <c r="M162" s="1570"/>
      <c r="N162" s="1570"/>
      <c r="O162" s="1570"/>
      <c r="P162" s="1570"/>
      <c r="Q162" s="1570"/>
    </row>
    <row r="163" spans="1:17" s="1567" customFormat="1">
      <c r="B163" s="1570"/>
      <c r="C163" s="1570"/>
      <c r="D163" s="1570"/>
      <c r="E163" s="1570"/>
      <c r="F163" s="1570"/>
      <c r="G163" s="1570"/>
      <c r="H163" s="1570"/>
      <c r="I163" s="1570"/>
      <c r="J163" s="1570"/>
      <c r="K163" s="1570"/>
      <c r="L163" s="1570"/>
      <c r="M163" s="1570"/>
      <c r="N163" s="1570"/>
      <c r="O163" s="1570"/>
      <c r="P163" s="1570"/>
      <c r="Q163" s="1570"/>
    </row>
    <row r="164" spans="1:17" s="1567" customFormat="1">
      <c r="B164" s="1570"/>
      <c r="C164" s="1570"/>
      <c r="D164" s="1570"/>
      <c r="E164" s="1570"/>
      <c r="F164" s="1570"/>
      <c r="G164" s="1570"/>
      <c r="H164" s="1570"/>
      <c r="I164" s="1570"/>
      <c r="J164" s="1570"/>
      <c r="K164" s="1570"/>
      <c r="L164" s="1570"/>
      <c r="M164" s="1570"/>
      <c r="N164" s="1570"/>
      <c r="O164" s="1570"/>
      <c r="P164" s="1570"/>
      <c r="Q164" s="1570"/>
    </row>
    <row r="165" spans="1:17" s="1567" customFormat="1">
      <c r="B165" s="1570"/>
      <c r="C165" s="1570"/>
      <c r="D165" s="1570"/>
      <c r="E165" s="1570"/>
      <c r="F165" s="1570"/>
      <c r="G165" s="1570"/>
      <c r="H165" s="1570"/>
      <c r="I165" s="1570"/>
      <c r="J165" s="1570"/>
      <c r="K165" s="1570"/>
      <c r="L165" s="1570"/>
      <c r="M165" s="1570"/>
      <c r="N165" s="1570"/>
      <c r="O165" s="1570"/>
      <c r="P165" s="1570"/>
      <c r="Q165" s="1570"/>
    </row>
    <row r="166" spans="1:17" s="1567" customFormat="1">
      <c r="B166" s="1570"/>
      <c r="C166" s="1570"/>
      <c r="D166" s="1570"/>
      <c r="E166" s="1570"/>
      <c r="F166" s="1570"/>
      <c r="G166" s="1570"/>
      <c r="H166" s="1570"/>
      <c r="I166" s="1570"/>
      <c r="J166" s="1570"/>
      <c r="K166" s="1570"/>
      <c r="L166" s="1570"/>
      <c r="M166" s="1570"/>
      <c r="N166" s="1570"/>
      <c r="O166" s="1570"/>
      <c r="P166" s="1570"/>
      <c r="Q166" s="1570"/>
    </row>
    <row r="167" spans="1:17" s="1567" customFormat="1">
      <c r="B167" s="1570"/>
      <c r="C167" s="1570"/>
      <c r="D167" s="1570"/>
      <c r="E167" s="1570"/>
      <c r="F167" s="1570"/>
      <c r="G167" s="1570"/>
      <c r="H167" s="1570"/>
      <c r="I167" s="1570"/>
      <c r="J167" s="1570"/>
      <c r="K167" s="1570"/>
      <c r="L167" s="1570"/>
      <c r="M167" s="1570"/>
      <c r="N167" s="1570"/>
      <c r="O167" s="1570"/>
      <c r="P167" s="1570"/>
      <c r="Q167" s="1570"/>
    </row>
    <row r="168" spans="1:17" s="1567" customFormat="1">
      <c r="B168" s="1570"/>
      <c r="C168" s="1570"/>
      <c r="D168" s="1570"/>
      <c r="E168" s="1570"/>
      <c r="F168" s="1570"/>
      <c r="G168" s="1570"/>
      <c r="H168" s="1570"/>
      <c r="I168" s="1570"/>
      <c r="J168" s="1570"/>
      <c r="K168" s="1570"/>
      <c r="L168" s="1570"/>
      <c r="M168" s="1570"/>
      <c r="N168" s="1570"/>
      <c r="O168" s="1570"/>
      <c r="P168" s="1570"/>
      <c r="Q168" s="1570"/>
    </row>
    <row r="169" spans="1:17" s="1567" customFormat="1">
      <c r="B169" s="1570"/>
      <c r="C169" s="1570"/>
      <c r="D169" s="1570"/>
      <c r="E169" s="1570"/>
      <c r="F169" s="1570"/>
      <c r="G169" s="1570"/>
      <c r="H169" s="1570"/>
      <c r="I169" s="1570"/>
      <c r="J169" s="1570"/>
      <c r="K169" s="1570"/>
      <c r="L169" s="1570"/>
      <c r="M169" s="1570"/>
      <c r="N169" s="1570"/>
      <c r="O169" s="1570"/>
      <c r="P169" s="1570"/>
      <c r="Q169" s="1570"/>
    </row>
    <row r="170" spans="1:17" s="1567" customFormat="1">
      <c r="B170" s="1570"/>
      <c r="C170" s="1570"/>
      <c r="D170" s="1570"/>
      <c r="E170" s="1570"/>
      <c r="F170" s="1570"/>
      <c r="G170" s="1570"/>
      <c r="H170" s="1570"/>
      <c r="I170" s="1570"/>
      <c r="J170" s="1570"/>
      <c r="K170" s="1570"/>
      <c r="L170" s="1570"/>
      <c r="M170" s="1570"/>
      <c r="N170" s="1570"/>
      <c r="O170" s="1570"/>
      <c r="P170" s="1570"/>
      <c r="Q170" s="1570"/>
    </row>
    <row r="171" spans="1:17" s="1567" customFormat="1">
      <c r="B171" s="1570"/>
      <c r="C171" s="1570"/>
      <c r="D171" s="1570"/>
      <c r="E171" s="1570"/>
      <c r="F171" s="1570"/>
      <c r="G171" s="1570"/>
      <c r="H171" s="1570"/>
      <c r="I171" s="1570"/>
      <c r="J171" s="1570"/>
      <c r="K171" s="1570"/>
      <c r="L171" s="1570"/>
      <c r="M171" s="1570"/>
      <c r="N171" s="1570"/>
      <c r="O171" s="1570"/>
      <c r="P171" s="1570"/>
      <c r="Q171" s="1570"/>
    </row>
    <row r="172" spans="1:17" s="1567" customFormat="1">
      <c r="B172" s="1570"/>
      <c r="C172" s="1570"/>
      <c r="D172" s="1570"/>
      <c r="E172" s="1570"/>
      <c r="F172" s="1570"/>
      <c r="G172" s="1570"/>
      <c r="H172" s="1570"/>
      <c r="I172" s="1570"/>
      <c r="J172" s="1570"/>
      <c r="K172" s="1570"/>
      <c r="L172" s="1570"/>
      <c r="M172" s="1570"/>
      <c r="N172" s="1570"/>
      <c r="O172" s="1570"/>
      <c r="P172" s="1570"/>
      <c r="Q172" s="1570"/>
    </row>
    <row r="173" spans="1:17" s="1567" customFormat="1">
      <c r="B173" s="1570"/>
      <c r="C173" s="1570"/>
      <c r="D173" s="1570"/>
      <c r="E173" s="1570"/>
      <c r="F173" s="1570"/>
      <c r="G173" s="1570"/>
      <c r="H173" s="1570"/>
      <c r="I173" s="1570"/>
      <c r="J173" s="1570"/>
      <c r="K173" s="1570"/>
      <c r="L173" s="1570"/>
      <c r="M173" s="1570"/>
      <c r="N173" s="1570"/>
      <c r="O173" s="1570"/>
      <c r="P173" s="1570"/>
      <c r="Q173" s="1570"/>
    </row>
    <row r="174" spans="1:17">
      <c r="A174" s="1567"/>
      <c r="B174" s="1570"/>
      <c r="C174" s="1570"/>
      <c r="E174" s="1570"/>
      <c r="F174" s="1570"/>
      <c r="G174" s="1570"/>
    </row>
    <row r="175" spans="1:17">
      <c r="A175" s="1567"/>
      <c r="B175" s="1570"/>
      <c r="C175" s="1570"/>
      <c r="E175" s="1570"/>
      <c r="F175" s="1570"/>
      <c r="G175" s="1570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6" customWidth="1"/>
    <col min="2" max="9" width="15.75" style="1556" customWidth="1"/>
    <col min="10" max="16384" width="9" style="1556"/>
  </cols>
  <sheetData>
    <row r="1" spans="1:9" ht="16.5">
      <c r="A1" s="1557" t="s">
        <v>158</v>
      </c>
      <c r="B1" s="1558">
        <f>SUM(B14:B23)</f>
        <v>260.94</v>
      </c>
      <c r="C1" s="1559"/>
      <c r="D1" s="1559"/>
      <c r="E1" s="1559"/>
      <c r="F1" s="1559"/>
      <c r="G1" s="1560"/>
      <c r="H1" s="1560"/>
      <c r="I1" s="1560"/>
    </row>
    <row r="2" spans="1:9" ht="16.5">
      <c r="A2" s="1557" t="s">
        <v>159</v>
      </c>
      <c r="B2" s="1558">
        <f>SUM(C14:C23)</f>
        <v>0</v>
      </c>
      <c r="C2" s="1559"/>
      <c r="D2" s="1559"/>
      <c r="E2" s="1559"/>
      <c r="F2" s="1559"/>
      <c r="G2" s="1560"/>
      <c r="H2" s="1560"/>
      <c r="I2" s="1560"/>
    </row>
    <row r="3" spans="1:9" ht="16.5">
      <c r="A3" s="1558" t="s">
        <v>160</v>
      </c>
      <c r="B3" s="1561">
        <f>主表!B3</f>
        <v>37194</v>
      </c>
      <c r="C3" s="1559"/>
      <c r="D3" s="1559"/>
      <c r="E3" s="1559"/>
      <c r="F3" s="1559"/>
      <c r="G3" s="1560"/>
      <c r="H3" s="1560"/>
      <c r="I3" s="1560"/>
    </row>
    <row r="4" spans="1:9" ht="33">
      <c r="A4" s="1558" t="s">
        <v>161</v>
      </c>
      <c r="B4" s="1558" t="s">
        <v>162</v>
      </c>
      <c r="C4" s="1558" t="s">
        <v>163</v>
      </c>
      <c r="D4" s="1558" t="s">
        <v>164</v>
      </c>
      <c r="E4" s="1559"/>
      <c r="F4" s="1560"/>
      <c r="G4" s="1560"/>
      <c r="H4" s="1560"/>
      <c r="I4" s="1560"/>
    </row>
    <row r="5" spans="1:9" ht="16.5">
      <c r="A5" s="1558" t="s">
        <v>165</v>
      </c>
      <c r="B5" s="1558">
        <f>SUM(D14:D23)</f>
        <v>0</v>
      </c>
      <c r="C5" s="1558">
        <f>ROUND(B5*10000/$B$1,0)</f>
        <v>0</v>
      </c>
      <c r="D5" s="1558" t="e">
        <f>ROUND(B5*10000/$B$2,0)</f>
        <v>#DIV/0!</v>
      </c>
      <c r="E5" s="1559"/>
      <c r="F5" s="1560"/>
      <c r="G5" s="1560"/>
      <c r="H5" s="1560"/>
      <c r="I5" s="1560"/>
    </row>
    <row r="6" spans="1:9" ht="16.5">
      <c r="A6" s="1558" t="s">
        <v>166</v>
      </c>
      <c r="B6" s="1558">
        <f>SUM(G14:G23)</f>
        <v>0</v>
      </c>
      <c r="C6" s="1558">
        <f>ROUND(B6*10000/$B$1,0)</f>
        <v>0</v>
      </c>
      <c r="D6" s="1558" t="e">
        <f>ROUND(B6*10000/$B$2,0)</f>
        <v>#DIV/0!</v>
      </c>
      <c r="E6" s="1559"/>
      <c r="F6" s="1560"/>
      <c r="G6" s="1560"/>
      <c r="H6" s="1560"/>
      <c r="I6" s="1560"/>
    </row>
    <row r="7" spans="1:9" ht="16.5">
      <c r="A7" s="1558" t="s">
        <v>167</v>
      </c>
      <c r="B7" s="1558">
        <f>SUM(H14:H23)</f>
        <v>0</v>
      </c>
      <c r="C7" s="1558">
        <f>ROUND(B7*10000/$B$1,0)</f>
        <v>0</v>
      </c>
      <c r="D7" s="1558" t="e">
        <f>ROUND(B7*10000/$B$2,0)</f>
        <v>#DIV/0!</v>
      </c>
      <c r="E7" s="1559"/>
      <c r="F7" s="1560"/>
      <c r="G7" s="1560"/>
      <c r="H7" s="1560"/>
      <c r="I7" s="1560"/>
    </row>
    <row r="8" spans="1:9" ht="16.5">
      <c r="A8" s="1558" t="s">
        <v>168</v>
      </c>
      <c r="B8" s="1558">
        <f>SUM(I14:I23)</f>
        <v>0</v>
      </c>
      <c r="C8" s="1558">
        <f>ROUND(B8*10000/$B$1,0)</f>
        <v>0</v>
      </c>
      <c r="D8" s="1558" t="e">
        <f>ROUND(B8*10000/$B$2,0)</f>
        <v>#DIV/0!</v>
      </c>
      <c r="E8" s="1559"/>
      <c r="F8" s="1560"/>
      <c r="G8" s="1560"/>
      <c r="H8" s="1560"/>
      <c r="I8" s="1560"/>
    </row>
    <row r="9" spans="1:9" ht="16.5">
      <c r="A9" s="1558" t="s">
        <v>169</v>
      </c>
      <c r="B9" s="1562"/>
      <c r="C9" s="1559"/>
      <c r="D9" s="1559"/>
      <c r="E9" s="1559"/>
      <c r="F9" s="1560"/>
      <c r="G9" s="1560"/>
      <c r="H9" s="1560"/>
      <c r="I9" s="1560"/>
    </row>
    <row r="10" spans="1:9" ht="16.5">
      <c r="A10" s="1558" t="s">
        <v>170</v>
      </c>
      <c r="B10" s="1562"/>
      <c r="C10" s="1559"/>
      <c r="D10" s="1559"/>
      <c r="E10" s="1559"/>
      <c r="F10" s="1560"/>
      <c r="G10" s="1560"/>
      <c r="H10" s="1560"/>
      <c r="I10" s="1560"/>
    </row>
    <row r="11" spans="1:9" ht="16.5">
      <c r="A11" s="1557" t="s">
        <v>171</v>
      </c>
      <c r="B11" s="1557">
        <f ca="1">结果表!B19</f>
        <v>58.7898</v>
      </c>
      <c r="C11" s="1557">
        <f ca="1">结果表!B18</f>
        <v>2253</v>
      </c>
      <c r="D11" s="1559"/>
      <c r="E11" s="1559"/>
      <c r="F11" s="1560"/>
      <c r="G11" s="1560"/>
      <c r="H11" s="1560"/>
      <c r="I11" s="1560"/>
    </row>
    <row r="12" spans="1:9" ht="16.5">
      <c r="A12" s="1559"/>
      <c r="B12" s="1559"/>
      <c r="C12" s="1559"/>
      <c r="D12" s="1559"/>
      <c r="E12" s="1559"/>
      <c r="F12" s="1560"/>
      <c r="G12" s="1560"/>
      <c r="H12" s="1560"/>
      <c r="I12" s="1560"/>
    </row>
    <row r="13" spans="1:9" ht="33">
      <c r="A13" s="1563" t="s">
        <v>172</v>
      </c>
      <c r="B13" s="1564" t="s">
        <v>173</v>
      </c>
      <c r="C13" s="1564" t="s">
        <v>174</v>
      </c>
      <c r="D13" s="1564" t="s">
        <v>175</v>
      </c>
      <c r="E13" s="1558" t="s">
        <v>163</v>
      </c>
      <c r="F13" s="1558" t="s">
        <v>164</v>
      </c>
      <c r="G13" s="1564" t="s">
        <v>176</v>
      </c>
      <c r="H13" s="1564" t="s">
        <v>177</v>
      </c>
      <c r="I13" s="1564" t="s">
        <v>178</v>
      </c>
    </row>
    <row r="14" spans="1:9" ht="16.5">
      <c r="A14" s="1565" t="s">
        <v>179</v>
      </c>
      <c r="B14" s="1566">
        <f>主表!B7</f>
        <v>260.94</v>
      </c>
      <c r="C14" s="1566">
        <f>主表!B6</f>
        <v>0</v>
      </c>
      <c r="D14" s="1566"/>
      <c r="E14" s="1566">
        <f>ROUND(D14*10000/B14,0)</f>
        <v>0</v>
      </c>
      <c r="F14" s="1566" t="e">
        <f>ROUND(D14*10000/C14,0)</f>
        <v>#DIV/0!</v>
      </c>
      <c r="G14" s="1566"/>
      <c r="H14" s="1566"/>
      <c r="I14" s="1566"/>
    </row>
    <row r="15" spans="1:9" ht="16.5">
      <c r="A15" s="1565" t="s">
        <v>180</v>
      </c>
      <c r="B15" s="1565"/>
      <c r="C15" s="1565"/>
      <c r="D15" s="1565"/>
      <c r="E15" s="1566" t="e">
        <f t="shared" ref="E15:E23" si="0">ROUND(D15*10000/B15,0)</f>
        <v>#DIV/0!</v>
      </c>
      <c r="F15" s="1566" t="e">
        <f t="shared" ref="F15:F23" si="1">ROUND(D15*10000/C15,0)</f>
        <v>#DIV/0!</v>
      </c>
      <c r="G15" s="1562"/>
      <c r="H15" s="1562"/>
      <c r="I15" s="1565"/>
    </row>
    <row r="16" spans="1:9" ht="16.5">
      <c r="A16" s="1565" t="s">
        <v>181</v>
      </c>
      <c r="B16" s="1565"/>
      <c r="C16" s="1565"/>
      <c r="D16" s="1565"/>
      <c r="E16" s="1566" t="e">
        <f t="shared" si="0"/>
        <v>#DIV/0!</v>
      </c>
      <c r="F16" s="1566" t="e">
        <f t="shared" si="1"/>
        <v>#DIV/0!</v>
      </c>
      <c r="G16" s="1562"/>
      <c r="H16" s="1562"/>
      <c r="I16" s="1565"/>
    </row>
    <row r="17" spans="1:9" ht="16.5">
      <c r="A17" s="1565" t="s">
        <v>182</v>
      </c>
      <c r="B17" s="1565"/>
      <c r="C17" s="1565"/>
      <c r="D17" s="1565"/>
      <c r="E17" s="1566" t="e">
        <f t="shared" si="0"/>
        <v>#DIV/0!</v>
      </c>
      <c r="F17" s="1566" t="e">
        <f t="shared" si="1"/>
        <v>#DIV/0!</v>
      </c>
      <c r="G17" s="1562"/>
      <c r="H17" s="1562"/>
      <c r="I17" s="1565"/>
    </row>
    <row r="18" spans="1:9" ht="16.5">
      <c r="A18" s="1565" t="s">
        <v>183</v>
      </c>
      <c r="B18" s="1565"/>
      <c r="C18" s="1565"/>
      <c r="D18" s="1565"/>
      <c r="E18" s="1566" t="e">
        <f t="shared" si="0"/>
        <v>#DIV/0!</v>
      </c>
      <c r="F18" s="1566" t="e">
        <f t="shared" si="1"/>
        <v>#DIV/0!</v>
      </c>
      <c r="G18" s="1565"/>
      <c r="H18" s="1565"/>
      <c r="I18" s="1565"/>
    </row>
    <row r="19" spans="1:9" ht="16.5">
      <c r="A19" s="1565" t="s">
        <v>184</v>
      </c>
      <c r="B19" s="1565"/>
      <c r="C19" s="1565"/>
      <c r="D19" s="1565"/>
      <c r="E19" s="1566" t="e">
        <f t="shared" si="0"/>
        <v>#DIV/0!</v>
      </c>
      <c r="F19" s="1566" t="e">
        <f t="shared" si="1"/>
        <v>#DIV/0!</v>
      </c>
      <c r="G19" s="1565"/>
      <c r="H19" s="1565"/>
      <c r="I19" s="1565"/>
    </row>
    <row r="20" spans="1:9" ht="16.5">
      <c r="A20" s="1565" t="s">
        <v>185</v>
      </c>
      <c r="B20" s="1565"/>
      <c r="C20" s="1565"/>
      <c r="D20" s="1565"/>
      <c r="E20" s="1566" t="e">
        <f t="shared" si="0"/>
        <v>#DIV/0!</v>
      </c>
      <c r="F20" s="1566" t="e">
        <f t="shared" si="1"/>
        <v>#DIV/0!</v>
      </c>
      <c r="G20" s="1565"/>
      <c r="H20" s="1565"/>
      <c r="I20" s="1565"/>
    </row>
    <row r="21" spans="1:9" ht="16.5">
      <c r="A21" s="1565" t="s">
        <v>186</v>
      </c>
      <c r="B21" s="1565"/>
      <c r="C21" s="1565"/>
      <c r="D21" s="1565"/>
      <c r="E21" s="1566" t="e">
        <f t="shared" si="0"/>
        <v>#DIV/0!</v>
      </c>
      <c r="F21" s="1566" t="e">
        <f t="shared" si="1"/>
        <v>#DIV/0!</v>
      </c>
      <c r="G21" s="1565"/>
      <c r="H21" s="1565"/>
      <c r="I21" s="1565"/>
    </row>
    <row r="22" spans="1:9" ht="16.5">
      <c r="A22" s="1565" t="s">
        <v>187</v>
      </c>
      <c r="B22" s="1565"/>
      <c r="C22" s="1565"/>
      <c r="D22" s="1565"/>
      <c r="E22" s="1566" t="e">
        <f t="shared" si="0"/>
        <v>#DIV/0!</v>
      </c>
      <c r="F22" s="1566" t="e">
        <f t="shared" si="1"/>
        <v>#DIV/0!</v>
      </c>
      <c r="G22" s="1565"/>
      <c r="H22" s="1565"/>
      <c r="I22" s="1565"/>
    </row>
    <row r="23" spans="1:9" ht="16.5">
      <c r="A23" s="1565" t="s">
        <v>188</v>
      </c>
      <c r="B23" s="1565"/>
      <c r="C23" s="1565"/>
      <c r="D23" s="1565"/>
      <c r="E23" s="1562" t="e">
        <f t="shared" si="0"/>
        <v>#DIV/0!</v>
      </c>
      <c r="F23" s="1562" t="e">
        <f t="shared" si="1"/>
        <v>#DIV/0!</v>
      </c>
      <c r="G23" s="1565"/>
      <c r="H23" s="1565"/>
      <c r="I23" s="1565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8" customWidth="1"/>
    <col min="2" max="2" width="12.625" style="1518"/>
    <col min="3" max="3" width="26.75" style="1518" customWidth="1"/>
    <col min="4" max="4" width="10.75" style="1518" customWidth="1"/>
    <col min="5" max="6" width="12.625" style="1518"/>
    <col min="7" max="7" width="25.625" style="1518" customWidth="1"/>
    <col min="8" max="8" width="9.625" style="1518" customWidth="1"/>
    <col min="9" max="9" width="28" style="1518" customWidth="1"/>
    <col min="10" max="10" width="12.625" style="1516"/>
    <col min="11" max="11" width="14.125" style="1516" customWidth="1"/>
    <col min="12" max="24" width="12.625" style="1516"/>
    <col min="25" max="33" width="12.625" style="1517"/>
    <col min="34" max="16384" width="12.625" style="1518"/>
  </cols>
  <sheetData>
    <row r="1" spans="1:33" ht="18.75">
      <c r="A1" s="1519" t="s">
        <v>189</v>
      </c>
      <c r="B1" s="1520"/>
      <c r="C1" s="1520"/>
      <c r="D1" s="1520"/>
      <c r="E1" s="1520"/>
      <c r="F1" s="1520"/>
      <c r="G1" s="1520"/>
      <c r="H1" s="1521"/>
      <c r="I1" s="1521"/>
      <c r="X1" s="1517"/>
      <c r="AG1" s="1518"/>
    </row>
    <row r="2" spans="1:33" ht="18.75">
      <c r="A2" s="1651" t="s">
        <v>190</v>
      </c>
      <c r="B2" s="1651"/>
      <c r="C2" s="1651"/>
      <c r="D2" s="1651"/>
      <c r="E2" s="1651"/>
      <c r="F2" s="1651"/>
      <c r="G2" s="1651"/>
      <c r="H2" s="1522"/>
      <c r="I2" s="1521"/>
      <c r="X2" s="1517"/>
      <c r="AG2" s="1518"/>
    </row>
    <row r="3" spans="1:33" ht="13.5">
      <c r="A3" s="1652" t="s">
        <v>191</v>
      </c>
      <c r="B3" s="1653"/>
      <c r="C3" s="1654"/>
      <c r="D3" s="1655" t="s">
        <v>192</v>
      </c>
      <c r="E3" s="1653"/>
      <c r="F3" s="1653"/>
      <c r="G3" s="1656"/>
      <c r="H3" s="1522"/>
      <c r="I3" s="1521"/>
      <c r="X3" s="1517"/>
      <c r="AG3" s="1518"/>
    </row>
    <row r="4" spans="1:33" ht="27">
      <c r="A4" s="1523" t="s">
        <v>193</v>
      </c>
      <c r="B4" s="1524" t="s">
        <v>194</v>
      </c>
      <c r="C4" s="1525" t="s">
        <v>195</v>
      </c>
      <c r="D4" s="1657" t="s">
        <v>193</v>
      </c>
      <c r="E4" s="1658"/>
      <c r="F4" s="1524" t="s">
        <v>194</v>
      </c>
      <c r="G4" s="1526" t="s">
        <v>195</v>
      </c>
      <c r="H4" s="1522"/>
      <c r="I4" s="1521"/>
      <c r="X4" s="1517"/>
      <c r="AG4" s="1518"/>
    </row>
    <row r="5" spans="1:33" ht="13.5">
      <c r="A5" s="1660" t="s">
        <v>196</v>
      </c>
      <c r="B5" s="1661">
        <f ca="1">主表!F5</f>
        <v>710</v>
      </c>
      <c r="C5" s="1662" t="s">
        <v>197</v>
      </c>
      <c r="D5" s="1658" t="s">
        <v>198</v>
      </c>
      <c r="E5" s="1659"/>
      <c r="F5" s="1527">
        <f>SUM(F6:F10)</f>
        <v>1500</v>
      </c>
      <c r="G5" s="1529" t="s">
        <v>199</v>
      </c>
      <c r="H5" s="1522"/>
      <c r="I5" s="1521"/>
      <c r="X5" s="1517"/>
      <c r="AG5" s="1518"/>
    </row>
    <row r="6" spans="1:33" ht="27">
      <c r="A6" s="1660"/>
      <c r="B6" s="1661"/>
      <c r="C6" s="1662"/>
      <c r="D6" s="1663" t="s">
        <v>200</v>
      </c>
      <c r="E6" s="1527" t="s">
        <v>201</v>
      </c>
      <c r="F6" s="1527">
        <f>主表!F14</f>
        <v>1500</v>
      </c>
      <c r="G6" s="1529" t="s">
        <v>202</v>
      </c>
      <c r="H6" s="1522"/>
      <c r="I6" s="1521"/>
      <c r="X6" s="1517"/>
      <c r="AG6" s="1518"/>
    </row>
    <row r="7" spans="1:33" ht="13.5">
      <c r="A7" s="1660"/>
      <c r="B7" s="1661"/>
      <c r="C7" s="1662"/>
      <c r="D7" s="1663"/>
      <c r="E7" s="1527" t="s">
        <v>203</v>
      </c>
      <c r="F7" s="1527">
        <f>主表!F15</f>
        <v>0</v>
      </c>
      <c r="G7" s="1529"/>
      <c r="H7" s="1522"/>
      <c r="I7" s="1521"/>
      <c r="X7" s="1517"/>
      <c r="AG7" s="1518"/>
    </row>
    <row r="8" spans="1:33" ht="13.5">
      <c r="A8" s="1660"/>
      <c r="B8" s="1661"/>
      <c r="C8" s="1662"/>
      <c r="D8" s="1664" t="s">
        <v>204</v>
      </c>
      <c r="E8" s="1665"/>
      <c r="F8" s="1527">
        <f>主表!F16</f>
        <v>0</v>
      </c>
      <c r="G8" s="1529" t="str">
        <f>"按建安工程费的"&amp;TEXT(主表!G16,"0.0%")&amp;"计取"</f>
        <v>按建安工程费的0.0%计取</v>
      </c>
      <c r="H8" s="1522"/>
      <c r="I8" s="1521"/>
      <c r="X8" s="1517"/>
      <c r="AG8" s="1518"/>
    </row>
    <row r="9" spans="1:33" ht="13.5">
      <c r="A9" s="1660"/>
      <c r="B9" s="1661"/>
      <c r="C9" s="1662"/>
      <c r="D9" s="1664" t="s">
        <v>205</v>
      </c>
      <c r="E9" s="1665"/>
      <c r="F9" s="1527">
        <f>主表!F18</f>
        <v>0</v>
      </c>
      <c r="G9" s="1529" t="str">
        <f>"按建安工程费的"&amp;TEXT(主表!G18,"0.0%")&amp;"计取"</f>
        <v>按建安工程费的0.0%计取</v>
      </c>
      <c r="H9" s="1522"/>
      <c r="I9" s="1521"/>
      <c r="X9" s="1517"/>
      <c r="AG9" s="1518"/>
    </row>
    <row r="10" spans="1:33" ht="13.5">
      <c r="A10" s="1660"/>
      <c r="B10" s="1661"/>
      <c r="C10" s="1662"/>
      <c r="D10" s="1664" t="s">
        <v>206</v>
      </c>
      <c r="E10" s="1665"/>
      <c r="F10" s="1527">
        <f>主表!F19</f>
        <v>0</v>
      </c>
      <c r="G10" s="1529" t="str">
        <f>"按建安工程费的"&amp;TEXT(主表!G19,"0.0%")&amp;"计取"</f>
        <v>按建安工程费的0.0%计取</v>
      </c>
      <c r="H10" s="1522"/>
      <c r="I10" s="1521"/>
      <c r="X10" s="1517"/>
      <c r="AG10" s="1518"/>
    </row>
    <row r="11" spans="1:33" ht="13.5">
      <c r="A11" s="1523" t="s">
        <v>207</v>
      </c>
      <c r="B11" s="1527">
        <f ca="1">主表!F8</f>
        <v>0</v>
      </c>
      <c r="C11" s="1530" t="str">
        <f>"按前期开发成本的"&amp;TEXT(主表!G8,"0.0%")&amp;"计取"</f>
        <v>按前期开发成本的0.0%计取</v>
      </c>
      <c r="D11" s="1658" t="s">
        <v>207</v>
      </c>
      <c r="E11" s="1659"/>
      <c r="F11" s="1527">
        <f>主表!F20</f>
        <v>0</v>
      </c>
      <c r="G11" s="1529" t="str">
        <f>"按房屋建设成本的"&amp;主表!G20&amp;"计取"</f>
        <v>按房屋建设成本的计取</v>
      </c>
      <c r="H11" s="1522"/>
      <c r="I11" s="1521"/>
      <c r="X11" s="1517"/>
      <c r="AG11" s="1518"/>
    </row>
    <row r="12" spans="1:33" ht="40.5">
      <c r="A12" s="1523" t="s">
        <v>208</v>
      </c>
      <c r="B12" s="1527">
        <f ca="1">主表!F9</f>
        <v>0</v>
      </c>
      <c r="C12" s="1528" t="str">
        <f ca="1">"前期开发期为"&amp;主表!B24&amp;"年，贷款利率为"&amp;TEXT(主表!G9,"0.00%")&amp;"，"&amp;主表!H9</f>
        <v>前期开发期为0年，贷款利率为3.00%，计息期为0年，复利计息</v>
      </c>
      <c r="D12" s="1658" t="s">
        <v>208</v>
      </c>
      <c r="E12" s="1659"/>
      <c r="F12" s="1527">
        <f ca="1">主表!F21</f>
        <v>43</v>
      </c>
      <c r="G12" s="1529" t="str">
        <f ca="1">"房屋建设期为"&amp;主表!B23&amp;"年，贷款利率为"&amp;TEXT(主表!G21,"0.00%")&amp;"，"&amp;主表!H21</f>
        <v>房屋建设期为1年，贷款利率为5.85%，计息期为1年，复利计息</v>
      </c>
      <c r="H12" s="1522"/>
      <c r="I12" s="1521"/>
      <c r="X12" s="1517"/>
      <c r="AG12" s="1518"/>
    </row>
    <row r="13" spans="1:33" ht="27">
      <c r="A13" s="1523" t="s">
        <v>209</v>
      </c>
      <c r="B13" s="1527">
        <f ca="1">主表!F10</f>
        <v>0</v>
      </c>
      <c r="C13" s="1528" t="str">
        <f>"按前期开发成本及其管理费用的"&amp;TEXT(主表!G10,"0%")&amp;"计取"</f>
        <v>按前期开发成本及其管理费用的0%计取</v>
      </c>
      <c r="D13" s="1658" t="s">
        <v>209</v>
      </c>
      <c r="E13" s="1659"/>
      <c r="F13" s="1527">
        <f>主表!F22</f>
        <v>0</v>
      </c>
      <c r="G13" s="1529" t="str">
        <f>"按房屋建设成本及其管理费用的"&amp;TEXT(主表!G22,"0%")&amp;"计取"</f>
        <v>按房屋建设成本及其管理费用的0%计取</v>
      </c>
      <c r="H13" s="1522"/>
      <c r="I13" s="1521"/>
      <c r="X13" s="1517"/>
      <c r="AG13" s="1518"/>
    </row>
    <row r="14" spans="1:33" ht="13.5">
      <c r="A14" s="1523" t="s">
        <v>210</v>
      </c>
      <c r="B14" s="1527">
        <f ca="1">SUM(B5:B13)</f>
        <v>710</v>
      </c>
      <c r="C14" s="1528" t="s">
        <v>211</v>
      </c>
      <c r="D14" s="1658" t="s">
        <v>210</v>
      </c>
      <c r="E14" s="1659"/>
      <c r="F14" s="1527">
        <f ca="1">F5+F11+F12+F13</f>
        <v>1543</v>
      </c>
      <c r="G14" s="1529" t="s">
        <v>211</v>
      </c>
      <c r="H14" s="1522"/>
      <c r="I14" s="1521"/>
      <c r="X14" s="1517"/>
      <c r="AG14" s="1518"/>
    </row>
    <row r="15" spans="1:33" ht="27">
      <c r="A15" s="1523" t="s">
        <v>212</v>
      </c>
      <c r="B15" s="1661">
        <f ca="1">主表!F24</f>
        <v>2253</v>
      </c>
      <c r="C15" s="1666"/>
      <c r="D15" s="1664" t="s">
        <v>213</v>
      </c>
      <c r="E15" s="1665"/>
      <c r="F15" s="1665"/>
      <c r="G15" s="1667"/>
      <c r="H15" s="1522"/>
      <c r="I15" s="1521"/>
      <c r="X15" s="1517"/>
      <c r="AG15" s="1518"/>
    </row>
    <row r="16" spans="1:33" ht="27">
      <c r="A16" s="1523" t="s">
        <v>214</v>
      </c>
      <c r="B16" s="1661">
        <f ca="1">主表!F25</f>
        <v>58.7898</v>
      </c>
      <c r="C16" s="1666"/>
      <c r="D16" s="1664" t="s">
        <v>215</v>
      </c>
      <c r="E16" s="1665"/>
      <c r="F16" s="1665"/>
      <c r="G16" s="1667"/>
      <c r="H16" s="1531" t="str">
        <f ca="1">NUMBERSTRING(INT(B16*10000),2)&amp;"元整"</f>
        <v>伍拾捌万柒仟捌佰玖拾捌元整</v>
      </c>
      <c r="I16" s="1554"/>
      <c r="X16" s="1517"/>
      <c r="AG16" s="1518"/>
    </row>
    <row r="17" spans="1:33" ht="13.5">
      <c r="A17" s="1523" t="s">
        <v>216</v>
      </c>
      <c r="B17" s="1673">
        <f>主表!F33</f>
        <v>1</v>
      </c>
      <c r="C17" s="1666"/>
      <c r="D17" s="1664" t="s">
        <v>217</v>
      </c>
      <c r="E17" s="1665"/>
      <c r="F17" s="1665"/>
      <c r="G17" s="1667"/>
      <c r="H17" s="1522"/>
      <c r="I17" s="1521"/>
      <c r="X17" s="1517"/>
      <c r="AG17" s="1518"/>
    </row>
    <row r="18" spans="1:33" ht="27">
      <c r="A18" s="1523" t="s">
        <v>218</v>
      </c>
      <c r="B18" s="1661">
        <f ca="1">主表!F35</f>
        <v>2253</v>
      </c>
      <c r="C18" s="1666"/>
      <c r="D18" s="1664" t="s">
        <v>219</v>
      </c>
      <c r="E18" s="1665"/>
      <c r="F18" s="1665"/>
      <c r="G18" s="1667"/>
      <c r="H18" s="1522"/>
      <c r="I18" s="1521"/>
      <c r="X18" s="1517"/>
      <c r="AG18" s="1518"/>
    </row>
    <row r="19" spans="1:33" ht="27">
      <c r="A19" s="1532" t="s">
        <v>220</v>
      </c>
      <c r="B19" s="1668">
        <f ca="1">主表!F36</f>
        <v>58.7898</v>
      </c>
      <c r="C19" s="1669"/>
      <c r="D19" s="1670" t="s">
        <v>221</v>
      </c>
      <c r="E19" s="1671"/>
      <c r="F19" s="1671"/>
      <c r="G19" s="1672"/>
      <c r="H19" s="1531" t="str">
        <f ca="1">NUMBERSTRING(INT(B19*10000),2)&amp;"元整"</f>
        <v>伍拾捌万柒仟捌佰玖拾捌元整</v>
      </c>
      <c r="I19" s="1554"/>
      <c r="X19" s="1517"/>
      <c r="AG19" s="1518"/>
    </row>
    <row r="20" spans="1:33" ht="20.25">
      <c r="A20" s="1533" t="s">
        <v>222</v>
      </c>
      <c r="B20" s="1534"/>
      <c r="C20" s="1535" t="s">
        <v>223</v>
      </c>
      <c r="D20" s="1536"/>
      <c r="E20" s="1536"/>
      <c r="F20" s="1536"/>
      <c r="G20" s="1537"/>
      <c r="H20" s="1538"/>
      <c r="I20" s="1555"/>
    </row>
    <row r="21" spans="1:33">
      <c r="A21" s="1539">
        <v>1</v>
      </c>
      <c r="B21" s="1540"/>
      <c r="C21" s="1540"/>
      <c r="D21" s="1541"/>
      <c r="E21" s="1541"/>
      <c r="F21" s="1542"/>
      <c r="G21" s="1543"/>
      <c r="H21" s="1516"/>
      <c r="I21" s="1516"/>
      <c r="W21" s="1517"/>
      <c r="X21" s="1517"/>
      <c r="AF21" s="1518"/>
      <c r="AG21" s="1518"/>
    </row>
    <row r="22" spans="1:33">
      <c r="A22" s="1539">
        <v>2</v>
      </c>
      <c r="B22" s="1540"/>
      <c r="C22" s="1540"/>
      <c r="D22" s="1541"/>
      <c r="E22" s="1541"/>
      <c r="F22" s="1542"/>
      <c r="G22" s="1543"/>
      <c r="H22" s="1516"/>
      <c r="I22" s="1516"/>
      <c r="W22" s="1517"/>
      <c r="X22" s="1517"/>
      <c r="AF22" s="1518"/>
      <c r="AG22" s="1518"/>
    </row>
    <row r="23" spans="1:33">
      <c r="A23" s="1540">
        <v>3</v>
      </c>
      <c r="B23" s="1540"/>
      <c r="C23" s="1540"/>
      <c r="D23" s="1515"/>
      <c r="E23" s="1515"/>
      <c r="F23" s="1515"/>
      <c r="G23" s="1544"/>
      <c r="H23" s="1516"/>
      <c r="I23" s="1516"/>
      <c r="W23" s="1517"/>
      <c r="X23" s="1517"/>
      <c r="AF23" s="1518"/>
      <c r="AG23" s="1518"/>
    </row>
    <row r="24" spans="1:33">
      <c r="A24" s="1540"/>
      <c r="B24" s="1540"/>
      <c r="C24" s="1540"/>
      <c r="D24" s="1541"/>
      <c r="E24" s="1541"/>
      <c r="F24" s="1542"/>
      <c r="G24" s="1543"/>
      <c r="H24" s="1516"/>
      <c r="I24" s="1516"/>
      <c r="W24" s="1517"/>
      <c r="X24" s="1517"/>
      <c r="AF24" s="1518"/>
      <c r="AG24" s="1518"/>
    </row>
    <row r="25" spans="1:33">
      <c r="A25" s="1540"/>
      <c r="B25" s="1540"/>
      <c r="C25" s="1540"/>
      <c r="D25" s="1541"/>
      <c r="E25" s="1541"/>
      <c r="F25" s="1542"/>
      <c r="G25" s="1543"/>
      <c r="H25" s="1516"/>
      <c r="I25" s="1516"/>
      <c r="W25" s="1517"/>
      <c r="X25" s="1517"/>
      <c r="AF25" s="1518"/>
      <c r="AG25" s="1518"/>
    </row>
    <row r="26" spans="1:33">
      <c r="A26" s="1516"/>
      <c r="B26" s="1516"/>
      <c r="C26" s="1516"/>
      <c r="D26" s="1545" t="s">
        <v>224</v>
      </c>
      <c r="E26" s="1546"/>
      <c r="F26" s="1546"/>
      <c r="G26" s="1547" t="s">
        <v>225</v>
      </c>
      <c r="H26" s="1516"/>
      <c r="I26" s="1516"/>
      <c r="W26" s="1517"/>
      <c r="X26" s="1517"/>
      <c r="AF26" s="1518"/>
      <c r="AG26" s="1518"/>
    </row>
    <row r="27" spans="1:33">
      <c r="A27" s="1548" t="s">
        <v>226</v>
      </c>
      <c r="B27" s="1549"/>
      <c r="C27" s="1549"/>
      <c r="D27" s="1516"/>
      <c r="E27" s="1516"/>
      <c r="F27" s="1516"/>
      <c r="G27" s="1543"/>
      <c r="H27" s="1516"/>
      <c r="I27" s="1516"/>
      <c r="W27" s="1517"/>
      <c r="X27" s="1517"/>
      <c r="AF27" s="1518"/>
      <c r="AG27" s="1518"/>
    </row>
    <row r="28" spans="1:33">
      <c r="A28" s="1516"/>
      <c r="B28" s="1516"/>
      <c r="C28" s="1516"/>
      <c r="D28" s="1516"/>
      <c r="E28" s="1516"/>
      <c r="F28" s="1516"/>
      <c r="G28" s="1543"/>
      <c r="H28" s="1516"/>
      <c r="I28" s="1516"/>
      <c r="W28" s="1517"/>
      <c r="X28" s="1517"/>
      <c r="AF28" s="1518"/>
      <c r="AG28" s="1518"/>
    </row>
    <row r="29" spans="1:33">
      <c r="A29" s="1546"/>
      <c r="B29" s="1546"/>
      <c r="C29" s="1546"/>
      <c r="D29" s="1546"/>
      <c r="E29" s="1546"/>
      <c r="F29" s="1546"/>
      <c r="G29" s="1547" t="s">
        <v>227</v>
      </c>
      <c r="H29" s="1516"/>
      <c r="I29" s="1516"/>
      <c r="W29" s="1517"/>
      <c r="X29" s="1517"/>
      <c r="AF29" s="1518"/>
      <c r="AG29" s="1518"/>
    </row>
    <row r="30" spans="1:33">
      <c r="A30" s="1550" t="s">
        <v>228</v>
      </c>
      <c r="B30" s="1516"/>
      <c r="C30" s="1516"/>
      <c r="D30" s="1516"/>
      <c r="E30" s="1516"/>
      <c r="F30" s="1516"/>
      <c r="G30" s="1543"/>
      <c r="H30" s="1516"/>
      <c r="I30" s="1516"/>
      <c r="W30" s="1517"/>
      <c r="X30" s="1517"/>
      <c r="AF30" s="1518"/>
      <c r="AG30" s="1518"/>
    </row>
    <row r="31" spans="1:33">
      <c r="A31" s="1550"/>
      <c r="B31" s="1516"/>
      <c r="C31" s="1516"/>
      <c r="D31" s="1516"/>
      <c r="E31" s="1516"/>
      <c r="F31" s="1516"/>
      <c r="G31" s="1543"/>
      <c r="H31" s="1516"/>
      <c r="I31" s="1516"/>
      <c r="W31" s="1517"/>
      <c r="X31" s="1517"/>
      <c r="AF31" s="1518"/>
      <c r="AG31" s="1518"/>
    </row>
    <row r="32" spans="1:33">
      <c r="A32" s="1546"/>
      <c r="B32" s="1546"/>
      <c r="C32" s="1546"/>
      <c r="D32" s="1546"/>
      <c r="E32" s="1546"/>
      <c r="F32" s="1546"/>
      <c r="G32" s="1547" t="s">
        <v>227</v>
      </c>
      <c r="H32" s="1516"/>
      <c r="I32" s="1516"/>
      <c r="W32" s="1517"/>
      <c r="X32" s="1517"/>
      <c r="AF32" s="1518"/>
      <c r="AG32" s="1518"/>
    </row>
    <row r="33" spans="1:33">
      <c r="A33" s="1516"/>
      <c r="B33" s="1550"/>
      <c r="C33" s="1551"/>
      <c r="D33" s="1552"/>
      <c r="E33" s="1516"/>
      <c r="F33" s="1516"/>
      <c r="G33" s="1516"/>
      <c r="H33" s="1516"/>
      <c r="I33" s="1516"/>
      <c r="W33" s="1517"/>
      <c r="X33" s="1517"/>
      <c r="AF33" s="1518"/>
      <c r="AG33" s="1518"/>
    </row>
    <row r="34" spans="1:33" s="1515" customFormat="1">
      <c r="A34" s="1516"/>
      <c r="B34" s="1550"/>
      <c r="C34" s="1551"/>
      <c r="D34" s="1553"/>
      <c r="E34" s="1553"/>
      <c r="F34" s="1516"/>
      <c r="G34" s="1516"/>
      <c r="H34" s="1516"/>
      <c r="I34" s="1516"/>
      <c r="J34" s="1516"/>
      <c r="K34" s="1516"/>
      <c r="L34" s="1516"/>
      <c r="M34" s="1516"/>
      <c r="N34" s="1516"/>
      <c r="O34" s="1516"/>
      <c r="P34" s="1516"/>
      <c r="Q34" s="1516"/>
      <c r="R34" s="1516"/>
      <c r="S34" s="1516"/>
      <c r="T34" s="1516"/>
      <c r="U34" s="1516"/>
      <c r="V34" s="1516"/>
      <c r="W34" s="1516"/>
      <c r="X34" s="1516"/>
      <c r="Y34" s="1516"/>
      <c r="Z34" s="1516"/>
      <c r="AA34" s="1516"/>
      <c r="AB34" s="1516"/>
      <c r="AC34" s="1516"/>
      <c r="AD34" s="1516"/>
      <c r="AE34" s="1516"/>
      <c r="AF34" s="1516"/>
      <c r="AG34" s="1516"/>
    </row>
    <row r="35" spans="1:33" s="1515" customFormat="1">
      <c r="A35" s="1516"/>
      <c r="B35" s="1516"/>
      <c r="C35" s="1516"/>
      <c r="D35" s="1516"/>
      <c r="E35" s="1516"/>
      <c r="F35" s="1516"/>
      <c r="G35" s="1516"/>
      <c r="H35" s="1516"/>
      <c r="I35" s="1516"/>
      <c r="J35" s="1516"/>
      <c r="K35" s="1516"/>
      <c r="L35" s="1516"/>
      <c r="M35" s="1516"/>
      <c r="N35" s="1516"/>
      <c r="O35" s="1516"/>
      <c r="P35" s="1516"/>
      <c r="Q35" s="1516"/>
      <c r="R35" s="1516"/>
      <c r="S35" s="1516"/>
      <c r="T35" s="1516"/>
      <c r="U35" s="1516"/>
      <c r="V35" s="1516"/>
      <c r="W35" s="1516"/>
      <c r="X35" s="1516"/>
      <c r="Y35" s="1516"/>
      <c r="Z35" s="1516"/>
      <c r="AA35" s="1516"/>
      <c r="AB35" s="1516"/>
      <c r="AC35" s="1516"/>
      <c r="AD35" s="1516"/>
      <c r="AE35" s="1516"/>
      <c r="AF35" s="1516"/>
      <c r="AG35" s="1516"/>
    </row>
    <row r="36" spans="1:33" s="1515" customFormat="1">
      <c r="A36" s="1516"/>
      <c r="B36" s="1516"/>
      <c r="C36" s="1516"/>
      <c r="D36" s="1516"/>
      <c r="E36" s="1516"/>
      <c r="F36" s="1516"/>
      <c r="G36" s="1516"/>
      <c r="H36" s="1516"/>
      <c r="I36" s="1516"/>
      <c r="J36" s="1516"/>
      <c r="K36" s="1516"/>
      <c r="L36" s="1516"/>
      <c r="M36" s="1516"/>
      <c r="N36" s="1516"/>
      <c r="O36" s="1516"/>
      <c r="P36" s="1516"/>
      <c r="Q36" s="1516"/>
      <c r="R36" s="1516"/>
      <c r="S36" s="1516"/>
      <c r="T36" s="1516"/>
      <c r="U36" s="1516"/>
      <c r="V36" s="1516"/>
      <c r="W36" s="1516"/>
      <c r="X36" s="1516"/>
      <c r="Y36" s="1516"/>
      <c r="Z36" s="1516"/>
      <c r="AA36" s="1516"/>
      <c r="AB36" s="1516"/>
      <c r="AC36" s="1516"/>
      <c r="AD36" s="1516"/>
      <c r="AE36" s="1516"/>
      <c r="AF36" s="1516"/>
      <c r="AG36" s="1516"/>
    </row>
    <row r="37" spans="1:33" s="1516" customFormat="1"/>
    <row r="38" spans="1:33" s="1516" customFormat="1"/>
    <row r="39" spans="1:33" s="1516" customFormat="1"/>
    <row r="40" spans="1:33" s="1516" customFormat="1"/>
    <row r="41" spans="1:33" s="1516" customFormat="1"/>
    <row r="42" spans="1:33" s="1516" customFormat="1"/>
    <row r="43" spans="1:33" s="1516" customFormat="1"/>
    <row r="44" spans="1:33" s="1516" customFormat="1"/>
    <row r="45" spans="1:33" s="1516" customFormat="1"/>
    <row r="46" spans="1:33" s="1516" customFormat="1"/>
    <row r="47" spans="1:33" s="1516" customFormat="1"/>
    <row r="48" spans="1:33" s="1516" customFormat="1"/>
    <row r="49" s="1516" customFormat="1"/>
    <row r="50" s="1516" customFormat="1"/>
    <row r="51" s="1516" customFormat="1"/>
    <row r="52" s="1516" customFormat="1"/>
    <row r="53" s="1516" customFormat="1"/>
    <row r="54" s="1516" customFormat="1"/>
    <row r="55" s="1516" customFormat="1"/>
    <row r="56" s="1516" customFormat="1"/>
    <row r="57" s="1516" customFormat="1"/>
    <row r="58" s="1516" customFormat="1"/>
    <row r="59" s="1516" customFormat="1"/>
    <row r="60" s="1516" customFormat="1"/>
    <row r="61" s="1516" customFormat="1"/>
    <row r="62" s="1516" customFormat="1"/>
    <row r="63" s="1516" customFormat="1"/>
    <row r="64" s="1516" customFormat="1"/>
    <row r="65" s="1516" customFormat="1"/>
    <row r="66" s="1516" customFormat="1"/>
    <row r="67" s="1516" customFormat="1"/>
    <row r="68" s="1516" customFormat="1"/>
    <row r="69" s="1516" customFormat="1"/>
    <row r="70" s="1516" customFormat="1"/>
    <row r="71" s="1516" customFormat="1"/>
    <row r="72" s="1516" customFormat="1"/>
    <row r="73" s="1516" customFormat="1"/>
    <row r="74" s="1516" customFormat="1"/>
    <row r="75" s="1516" customFormat="1"/>
    <row r="76" s="1516" customFormat="1"/>
    <row r="77" s="1516" customFormat="1"/>
    <row r="78" s="1516" customFormat="1"/>
    <row r="79" s="1516" customFormat="1"/>
    <row r="80" s="1516" customFormat="1"/>
    <row r="81" s="1516" customFormat="1"/>
    <row r="82" s="1516" customFormat="1"/>
    <row r="83" s="1516" customFormat="1"/>
    <row r="84" s="1516" customFormat="1"/>
    <row r="85" s="1516" customFormat="1"/>
    <row r="86" s="1516" customFormat="1"/>
    <row r="87" s="1516" customFormat="1"/>
    <row r="88" s="1516" customFormat="1"/>
    <row r="89" s="1516" customFormat="1"/>
    <row r="90" s="1516" customFormat="1"/>
    <row r="91" s="1516" customFormat="1"/>
    <row r="92" s="1516" customFormat="1"/>
    <row r="93" s="1516" customFormat="1"/>
    <row r="94" s="1516" customFormat="1"/>
    <row r="95" s="1516" customFormat="1"/>
    <row r="96" s="1516" customFormat="1"/>
    <row r="97" s="1516" customFormat="1"/>
    <row r="98" s="1516" customFormat="1"/>
    <row r="99" s="1516" customFormat="1"/>
    <row r="100" s="1516" customFormat="1"/>
    <row r="101" s="1516" customFormat="1"/>
    <row r="102" s="1516" customFormat="1"/>
    <row r="103" s="1516" customFormat="1"/>
    <row r="104" s="1516" customFormat="1"/>
    <row r="105" s="1516" customFormat="1"/>
    <row r="106" s="1516" customFormat="1"/>
    <row r="107" s="1516" customFormat="1"/>
    <row r="108" s="1516" customFormat="1"/>
    <row r="109" s="1516" customFormat="1"/>
    <row r="110" s="1516" customFormat="1"/>
    <row r="111" s="1516" customFormat="1"/>
    <row r="112" s="1516" customFormat="1"/>
    <row r="113" s="1516" customFormat="1"/>
    <row r="114" s="1516" customFormat="1"/>
    <row r="115" s="1516" customFormat="1"/>
    <row r="116" s="1516" customFormat="1"/>
    <row r="117" s="1516" customFormat="1"/>
    <row r="118" s="1516" customFormat="1"/>
    <row r="119" s="1516" customFormat="1"/>
    <row r="120" s="1516" customFormat="1"/>
    <row r="121" s="1516" customFormat="1"/>
    <row r="122" s="1516" customFormat="1"/>
    <row r="123" s="1516" customFormat="1"/>
    <row r="124" s="1516" customFormat="1"/>
    <row r="125" s="1516" customFormat="1"/>
    <row r="126" s="1516" customFormat="1"/>
    <row r="127" s="1516" customFormat="1"/>
    <row r="128" s="1516" customFormat="1"/>
    <row r="129" s="1516" customFormat="1"/>
    <row r="130" s="1516" customFormat="1"/>
    <row r="131" s="1516" customFormat="1"/>
    <row r="132" s="1516" customFormat="1"/>
    <row r="133" s="1516" customFormat="1"/>
    <row r="134" s="1516" customFormat="1"/>
    <row r="135" s="1516" customFormat="1"/>
    <row r="136" s="1516" customFormat="1"/>
    <row r="137" s="1516" customFormat="1"/>
    <row r="138" s="1516" customFormat="1"/>
    <row r="139" s="1516" customFormat="1"/>
    <row r="140" s="1516" customFormat="1"/>
    <row r="141" s="1516" customFormat="1"/>
    <row r="142" s="1516" customFormat="1"/>
    <row r="143" s="1516" customFormat="1"/>
    <row r="144" s="1516" customFormat="1"/>
    <row r="145" s="1516" customFormat="1"/>
    <row r="146" s="1516" customFormat="1"/>
    <row r="147" s="1516" customFormat="1"/>
    <row r="148" s="1516" customFormat="1"/>
    <row r="149" s="1516" customFormat="1"/>
    <row r="150" s="1516" customFormat="1"/>
    <row r="151" s="1516" customFormat="1"/>
    <row r="152" s="1516" customFormat="1"/>
    <row r="153" s="1516" customFormat="1"/>
    <row r="154" s="1516" customFormat="1"/>
    <row r="155" s="1516" customFormat="1"/>
    <row r="156" s="1516" customFormat="1"/>
    <row r="157" s="1516" customFormat="1"/>
    <row r="158" s="1516" customFormat="1"/>
    <row r="159" s="1516" customFormat="1"/>
    <row r="160" s="1516" customFormat="1"/>
    <row r="161" s="1516" customFormat="1"/>
    <row r="162" s="1516" customFormat="1"/>
    <row r="163" s="1516" customFormat="1"/>
    <row r="164" s="1516" customFormat="1"/>
    <row r="165" s="1516" customFormat="1"/>
    <row r="166" s="1516" customFormat="1"/>
    <row r="167" s="1516" customFormat="1"/>
    <row r="168" s="1516" customFormat="1"/>
    <row r="169" s="1516" customFormat="1"/>
    <row r="170" s="1516" customFormat="1"/>
    <row r="171" s="1516" customFormat="1"/>
    <row r="172" s="1516" customFormat="1"/>
    <row r="173" s="1516" customFormat="1"/>
    <row r="174" s="1516" customFormat="1"/>
    <row r="175" s="1516" customFormat="1"/>
    <row r="176" s="1516" customFormat="1"/>
    <row r="177" s="1516" customFormat="1"/>
    <row r="178" s="1516" customFormat="1"/>
    <row r="179" s="1516" customFormat="1"/>
    <row r="180" s="1516" customFormat="1"/>
    <row r="181" s="1516" customFormat="1"/>
    <row r="182" s="1516" customFormat="1"/>
    <row r="183" s="1516" customFormat="1"/>
    <row r="184" s="1516" customFormat="1"/>
    <row r="185" s="1516" customFormat="1"/>
    <row r="186" s="1516" customFormat="1"/>
    <row r="187" s="1516" customFormat="1"/>
    <row r="188" s="1516" customFormat="1"/>
    <row r="189" s="1516" customFormat="1"/>
    <row r="190" s="1516" customFormat="1"/>
    <row r="191" s="1516" customFormat="1"/>
    <row r="192" s="1516" customFormat="1"/>
    <row r="193" s="1516" customFormat="1"/>
    <row r="194" s="1516" customFormat="1"/>
    <row r="195" s="1516" customFormat="1"/>
    <row r="196" s="1516" customFormat="1"/>
    <row r="197" s="1516" customFormat="1"/>
    <row r="198" s="1516" customFormat="1"/>
    <row r="199" s="1516" customFormat="1"/>
    <row r="200" s="1516" customFormat="1"/>
    <row r="201" s="1516" customFormat="1"/>
    <row r="202" s="1516" customFormat="1"/>
    <row r="203" s="1516" customFormat="1"/>
    <row r="204" s="1516" customFormat="1"/>
    <row r="205" s="1516" customFormat="1"/>
    <row r="206" s="1516" customFormat="1"/>
    <row r="207" s="1516" customFormat="1"/>
    <row r="208" s="1516" customFormat="1"/>
    <row r="209" s="1516" customFormat="1"/>
    <row r="210" s="1516" customFormat="1"/>
    <row r="211" s="1516" customFormat="1"/>
    <row r="212" s="1516" customFormat="1"/>
    <row r="213" s="1516" customFormat="1"/>
    <row r="214" s="1516" customFormat="1"/>
    <row r="215" s="1516" customFormat="1"/>
    <row r="216" s="1516" customFormat="1"/>
    <row r="217" s="1516" customFormat="1"/>
    <row r="218" s="1516" customFormat="1"/>
    <row r="219" s="1516" customFormat="1"/>
    <row r="220" s="1516" customFormat="1"/>
    <row r="221" s="1516" customFormat="1"/>
    <row r="222" s="1516" customFormat="1"/>
    <row r="223" s="1516" customFormat="1"/>
    <row r="224" s="1516" customFormat="1"/>
    <row r="225" s="1516" customFormat="1"/>
    <row r="226" s="1516" customFormat="1"/>
    <row r="227" s="1516" customFormat="1"/>
    <row r="228" s="1516" customFormat="1"/>
    <row r="229" s="1516" customFormat="1"/>
    <row r="230" s="1516" customFormat="1"/>
    <row r="231" s="1516" customFormat="1"/>
    <row r="232" s="1516" customFormat="1"/>
    <row r="233" s="1516" customFormat="1"/>
    <row r="234" s="1516" customFormat="1"/>
    <row r="235" s="1516" customFormat="1"/>
    <row r="236" s="1516" customFormat="1"/>
    <row r="237" s="1516" customFormat="1"/>
    <row r="238" s="1516" customFormat="1"/>
    <row r="239" s="1516" customFormat="1"/>
    <row r="240" s="1516" customFormat="1"/>
    <row r="241" s="1516" customFormat="1"/>
    <row r="242" s="1516" customFormat="1"/>
    <row r="243" s="1516" customFormat="1"/>
    <row r="244" s="1516" customFormat="1"/>
    <row r="245" s="1516" customFormat="1"/>
    <row r="246" s="1516" customFormat="1"/>
    <row r="247" s="1516" customFormat="1"/>
    <row r="248" s="1516" customFormat="1"/>
    <row r="249" s="1516" customFormat="1"/>
    <row r="250" s="1516" customFormat="1"/>
    <row r="251" s="1516" customFormat="1"/>
    <row r="252" s="1516" customFormat="1"/>
    <row r="253" s="1516" customFormat="1"/>
    <row r="254" s="1516" customFormat="1"/>
    <row r="255" s="1516" customFormat="1"/>
    <row r="256" s="1516" customFormat="1"/>
    <row r="257" s="1516" customFormat="1"/>
    <row r="258" s="1516" customFormat="1"/>
    <row r="259" s="1516" customFormat="1"/>
    <row r="260" s="1516" customFormat="1"/>
    <row r="261" s="1516" customFormat="1"/>
    <row r="262" s="1516" customFormat="1"/>
    <row r="263" s="1516" customFormat="1"/>
    <row r="264" s="1516" customFormat="1"/>
    <row r="265" s="1516" customFormat="1"/>
    <row r="266" s="1516" customFormat="1"/>
    <row r="267" s="1516" customFormat="1"/>
    <row r="268" s="1516" customFormat="1"/>
    <row r="269" s="1516" customFormat="1"/>
    <row r="270" s="1516" customFormat="1"/>
    <row r="271" s="1516" customFormat="1"/>
    <row r="272" s="1516" customFormat="1"/>
    <row r="273" s="1516" customFormat="1"/>
    <row r="274" s="1516" customFormat="1"/>
    <row r="275" s="1516" customFormat="1"/>
    <row r="276" s="1516" customFormat="1"/>
    <row r="277" s="1516" customFormat="1"/>
    <row r="278" s="1516" customFormat="1"/>
    <row r="279" s="1516" customFormat="1"/>
    <row r="280" s="1516" customFormat="1"/>
    <row r="281" s="1516" customFormat="1"/>
    <row r="282" s="1516" customFormat="1"/>
    <row r="283" s="1516" customFormat="1"/>
    <row r="284" s="1516" customFormat="1"/>
    <row r="285" s="1516" customFormat="1"/>
    <row r="286" s="1516" customFormat="1"/>
    <row r="287" s="1516" customFormat="1"/>
    <row r="288" s="1516" customFormat="1"/>
    <row r="289" spans="10:24" s="1516" customFormat="1"/>
    <row r="290" spans="10:24" s="1517" customFormat="1">
      <c r="J290" s="1516"/>
      <c r="K290" s="1516"/>
      <c r="L290" s="1516"/>
      <c r="M290" s="1516"/>
      <c r="N290" s="1516"/>
      <c r="O290" s="1516"/>
      <c r="P290" s="1516"/>
      <c r="Q290" s="1516"/>
      <c r="R290" s="1516"/>
      <c r="S290" s="1516"/>
      <c r="T290" s="1516"/>
      <c r="U290" s="1516"/>
      <c r="V290" s="1516"/>
      <c r="W290" s="1516"/>
      <c r="X290" s="1516"/>
    </row>
    <row r="291" spans="10:24" s="1517" customFormat="1">
      <c r="J291" s="1516"/>
      <c r="K291" s="1516"/>
      <c r="L291" s="1516"/>
      <c r="M291" s="1516"/>
      <c r="N291" s="1516"/>
      <c r="O291" s="1516"/>
      <c r="P291" s="1516"/>
      <c r="Q291" s="1516"/>
      <c r="R291" s="1516"/>
      <c r="S291" s="1516"/>
      <c r="T291" s="1516"/>
      <c r="U291" s="1516"/>
      <c r="V291" s="1516"/>
      <c r="W291" s="1516"/>
      <c r="X291" s="1516"/>
    </row>
    <row r="292" spans="10:24" s="1517" customFormat="1">
      <c r="J292" s="1516"/>
      <c r="K292" s="1516"/>
      <c r="L292" s="1516"/>
      <c r="M292" s="1516"/>
      <c r="N292" s="1516"/>
      <c r="O292" s="1516"/>
      <c r="P292" s="1516"/>
      <c r="Q292" s="1516"/>
      <c r="R292" s="1516"/>
      <c r="S292" s="1516"/>
      <c r="T292" s="1516"/>
      <c r="U292" s="1516"/>
      <c r="V292" s="1516"/>
      <c r="W292" s="1516"/>
      <c r="X292" s="1516"/>
    </row>
    <row r="293" spans="10:24" s="1517" customFormat="1">
      <c r="J293" s="1516"/>
      <c r="K293" s="1516"/>
      <c r="L293" s="1516"/>
      <c r="M293" s="1516"/>
      <c r="N293" s="1516"/>
      <c r="O293" s="1516"/>
      <c r="P293" s="1516"/>
      <c r="Q293" s="1516"/>
      <c r="R293" s="1516"/>
      <c r="S293" s="1516"/>
      <c r="T293" s="1516"/>
      <c r="U293" s="1516"/>
      <c r="V293" s="1516"/>
      <c r="W293" s="1516"/>
      <c r="X293" s="1516"/>
    </row>
    <row r="294" spans="10:24" s="1517" customFormat="1">
      <c r="J294" s="1516"/>
      <c r="K294" s="1516"/>
      <c r="L294" s="1516"/>
      <c r="M294" s="1516"/>
      <c r="N294" s="1516"/>
      <c r="O294" s="1516"/>
      <c r="P294" s="1516"/>
      <c r="Q294" s="1516"/>
      <c r="R294" s="1516"/>
      <c r="S294" s="1516"/>
      <c r="T294" s="1516"/>
      <c r="U294" s="1516"/>
      <c r="V294" s="1516"/>
      <c r="W294" s="1516"/>
      <c r="X294" s="1516"/>
    </row>
    <row r="295" spans="10:24" s="1517" customFormat="1">
      <c r="J295" s="1516"/>
      <c r="K295" s="1516"/>
      <c r="L295" s="1516"/>
      <c r="M295" s="1516"/>
      <c r="N295" s="1516"/>
      <c r="O295" s="1516"/>
      <c r="P295" s="1516"/>
      <c r="Q295" s="1516"/>
      <c r="R295" s="1516"/>
      <c r="S295" s="1516"/>
      <c r="T295" s="1516"/>
      <c r="U295" s="1516"/>
      <c r="V295" s="1516"/>
      <c r="W295" s="1516"/>
      <c r="X295" s="1516"/>
    </row>
    <row r="296" spans="10:24" s="1517" customFormat="1">
      <c r="J296" s="1516"/>
      <c r="K296" s="1516"/>
      <c r="L296" s="1516"/>
      <c r="M296" s="1516"/>
      <c r="N296" s="1516"/>
      <c r="O296" s="1516"/>
      <c r="P296" s="1516"/>
      <c r="Q296" s="1516"/>
      <c r="R296" s="1516"/>
      <c r="S296" s="1516"/>
      <c r="T296" s="1516"/>
      <c r="U296" s="1516"/>
      <c r="V296" s="1516"/>
      <c r="W296" s="1516"/>
      <c r="X296" s="1516"/>
    </row>
    <row r="297" spans="10:24" s="1517" customFormat="1">
      <c r="J297" s="1516"/>
      <c r="K297" s="1516"/>
      <c r="L297" s="1516"/>
      <c r="M297" s="1516"/>
      <c r="N297" s="1516"/>
      <c r="O297" s="1516"/>
      <c r="P297" s="1516"/>
      <c r="Q297" s="1516"/>
      <c r="R297" s="1516"/>
      <c r="S297" s="1516"/>
      <c r="T297" s="1516"/>
      <c r="U297" s="1516"/>
      <c r="V297" s="1516"/>
      <c r="W297" s="1516"/>
      <c r="X297" s="1516"/>
    </row>
    <row r="298" spans="10:24" s="1517" customFormat="1">
      <c r="J298" s="1516"/>
      <c r="K298" s="1516"/>
      <c r="L298" s="1516"/>
      <c r="M298" s="1516"/>
      <c r="N298" s="1516"/>
      <c r="O298" s="1516"/>
      <c r="P298" s="1516"/>
      <c r="Q298" s="1516"/>
      <c r="R298" s="1516"/>
      <c r="S298" s="1516"/>
      <c r="T298" s="1516"/>
      <c r="U298" s="1516"/>
      <c r="V298" s="1516"/>
      <c r="W298" s="1516"/>
      <c r="X298" s="1516"/>
    </row>
    <row r="299" spans="10:24" s="1517" customFormat="1">
      <c r="J299" s="1516"/>
      <c r="K299" s="1516"/>
      <c r="L299" s="1516"/>
      <c r="M299" s="1516"/>
      <c r="N299" s="1516"/>
      <c r="O299" s="1516"/>
      <c r="P299" s="1516"/>
      <c r="Q299" s="1516"/>
      <c r="R299" s="1516"/>
      <c r="S299" s="1516"/>
      <c r="T299" s="1516"/>
      <c r="U299" s="1516"/>
      <c r="V299" s="1516"/>
      <c r="W299" s="1516"/>
      <c r="X299" s="1516"/>
    </row>
    <row r="300" spans="10:24" s="1517" customFormat="1">
      <c r="J300" s="1516"/>
      <c r="K300" s="1516"/>
      <c r="L300" s="1516"/>
      <c r="M300" s="1516"/>
      <c r="N300" s="1516"/>
      <c r="O300" s="1516"/>
      <c r="P300" s="1516"/>
      <c r="Q300" s="1516"/>
      <c r="R300" s="1516"/>
      <c r="S300" s="1516"/>
      <c r="T300" s="1516"/>
      <c r="U300" s="1516"/>
      <c r="V300" s="1516"/>
      <c r="W300" s="1516"/>
      <c r="X300" s="1516"/>
    </row>
    <row r="301" spans="10:24" s="1517" customFormat="1">
      <c r="J301" s="1516"/>
      <c r="K301" s="1516"/>
      <c r="L301" s="1516"/>
      <c r="M301" s="1516"/>
      <c r="N301" s="1516"/>
      <c r="O301" s="1516"/>
      <c r="P301" s="1516"/>
      <c r="Q301" s="1516"/>
      <c r="R301" s="1516"/>
      <c r="S301" s="1516"/>
      <c r="T301" s="1516"/>
      <c r="U301" s="1516"/>
      <c r="V301" s="1516"/>
      <c r="W301" s="1516"/>
      <c r="X301" s="1516"/>
    </row>
    <row r="302" spans="10:24" s="1517" customFormat="1">
      <c r="J302" s="1516"/>
      <c r="K302" s="1516"/>
      <c r="L302" s="1516"/>
      <c r="M302" s="1516"/>
      <c r="N302" s="1516"/>
      <c r="O302" s="1516"/>
      <c r="P302" s="1516"/>
      <c r="Q302" s="1516"/>
      <c r="R302" s="1516"/>
      <c r="S302" s="1516"/>
      <c r="T302" s="1516"/>
      <c r="U302" s="1516"/>
      <c r="V302" s="1516"/>
      <c r="W302" s="1516"/>
      <c r="X302" s="1516"/>
    </row>
    <row r="303" spans="10:24" s="1517" customFormat="1">
      <c r="J303" s="1516"/>
      <c r="K303" s="1516"/>
      <c r="L303" s="1516"/>
      <c r="M303" s="1516"/>
      <c r="N303" s="1516"/>
      <c r="O303" s="1516"/>
      <c r="P303" s="1516"/>
      <c r="Q303" s="1516"/>
      <c r="R303" s="1516"/>
      <c r="S303" s="1516"/>
      <c r="T303" s="1516"/>
      <c r="U303" s="1516"/>
      <c r="V303" s="1516"/>
      <c r="W303" s="1516"/>
      <c r="X303" s="1516"/>
    </row>
    <row r="304" spans="10:24" s="1517" customFormat="1">
      <c r="J304" s="1516"/>
      <c r="K304" s="1516"/>
      <c r="L304" s="1516"/>
      <c r="M304" s="1516"/>
      <c r="N304" s="1516"/>
      <c r="O304" s="1516"/>
      <c r="P304" s="1516"/>
      <c r="Q304" s="1516"/>
      <c r="R304" s="1516"/>
      <c r="S304" s="1516"/>
      <c r="T304" s="1516"/>
      <c r="U304" s="1516"/>
      <c r="V304" s="1516"/>
      <c r="W304" s="1516"/>
      <c r="X304" s="1516"/>
    </row>
    <row r="305" spans="10:24" s="1517" customFormat="1">
      <c r="J305" s="1516"/>
      <c r="K305" s="1516"/>
      <c r="L305" s="1516"/>
      <c r="M305" s="1516"/>
      <c r="N305" s="1516"/>
      <c r="O305" s="1516"/>
      <c r="P305" s="1516"/>
      <c r="Q305" s="1516"/>
      <c r="R305" s="1516"/>
      <c r="S305" s="1516"/>
      <c r="T305" s="1516"/>
      <c r="U305" s="1516"/>
      <c r="V305" s="1516"/>
      <c r="W305" s="1516"/>
      <c r="X305" s="1516"/>
    </row>
    <row r="306" spans="10:24" s="1517" customFormat="1">
      <c r="J306" s="1516"/>
      <c r="K306" s="1516"/>
      <c r="L306" s="1516"/>
      <c r="M306" s="1516"/>
      <c r="N306" s="1516"/>
      <c r="O306" s="1516"/>
      <c r="P306" s="1516"/>
      <c r="Q306" s="1516"/>
      <c r="R306" s="1516"/>
      <c r="S306" s="1516"/>
      <c r="T306" s="1516"/>
      <c r="U306" s="1516"/>
      <c r="V306" s="1516"/>
      <c r="W306" s="1516"/>
      <c r="X306" s="1516"/>
    </row>
    <row r="307" spans="10:24" s="1517" customFormat="1">
      <c r="J307" s="1516"/>
      <c r="K307" s="1516"/>
      <c r="L307" s="1516"/>
      <c r="M307" s="1516"/>
      <c r="N307" s="1516"/>
      <c r="O307" s="1516"/>
      <c r="P307" s="1516"/>
      <c r="Q307" s="1516"/>
      <c r="R307" s="1516"/>
      <c r="S307" s="1516"/>
      <c r="T307" s="1516"/>
      <c r="U307" s="1516"/>
      <c r="V307" s="1516"/>
      <c r="W307" s="1516"/>
      <c r="X307" s="1516"/>
    </row>
    <row r="308" spans="10:24" s="1517" customFormat="1">
      <c r="J308" s="1516"/>
      <c r="K308" s="1516"/>
      <c r="L308" s="1516"/>
      <c r="M308" s="1516"/>
      <c r="N308" s="1516"/>
      <c r="O308" s="1516"/>
      <c r="P308" s="1516"/>
      <c r="Q308" s="1516"/>
      <c r="R308" s="1516"/>
      <c r="S308" s="1516"/>
      <c r="T308" s="1516"/>
      <c r="U308" s="1516"/>
      <c r="V308" s="1516"/>
      <c r="W308" s="1516"/>
      <c r="X308" s="1516"/>
    </row>
    <row r="309" spans="10:24" s="1517" customFormat="1">
      <c r="J309" s="1516"/>
      <c r="K309" s="1516"/>
      <c r="L309" s="1516"/>
      <c r="M309" s="1516"/>
      <c r="N309" s="1516"/>
      <c r="O309" s="1516"/>
      <c r="P309" s="1516"/>
      <c r="Q309" s="1516"/>
      <c r="R309" s="1516"/>
      <c r="S309" s="1516"/>
      <c r="T309" s="1516"/>
      <c r="U309" s="1516"/>
      <c r="V309" s="1516"/>
      <c r="W309" s="1516"/>
      <c r="X309" s="1516"/>
    </row>
    <row r="310" spans="10:24" s="1517" customFormat="1">
      <c r="J310" s="1516"/>
      <c r="K310" s="1516"/>
      <c r="L310" s="1516"/>
      <c r="M310" s="1516"/>
      <c r="N310" s="1516"/>
      <c r="O310" s="1516"/>
      <c r="P310" s="1516"/>
      <c r="Q310" s="1516"/>
      <c r="R310" s="1516"/>
      <c r="S310" s="1516"/>
      <c r="T310" s="1516"/>
      <c r="U310" s="1516"/>
      <c r="V310" s="1516"/>
      <c r="W310" s="1516"/>
      <c r="X310" s="1516"/>
    </row>
    <row r="311" spans="10:24" s="1517" customFormat="1">
      <c r="J311" s="1516"/>
      <c r="K311" s="1516"/>
      <c r="L311" s="1516"/>
      <c r="M311" s="1516"/>
      <c r="N311" s="1516"/>
      <c r="O311" s="1516"/>
      <c r="P311" s="1516"/>
      <c r="Q311" s="1516"/>
      <c r="R311" s="1516"/>
      <c r="S311" s="1516"/>
      <c r="T311" s="1516"/>
      <c r="U311" s="1516"/>
      <c r="V311" s="1516"/>
      <c r="W311" s="1516"/>
      <c r="X311" s="1516"/>
    </row>
    <row r="312" spans="10:24" s="1517" customFormat="1">
      <c r="J312" s="1516"/>
      <c r="K312" s="1516"/>
      <c r="L312" s="1516"/>
      <c r="M312" s="1516"/>
      <c r="N312" s="1516"/>
      <c r="O312" s="1516"/>
      <c r="P312" s="1516"/>
      <c r="Q312" s="1516"/>
      <c r="R312" s="1516"/>
      <c r="S312" s="1516"/>
      <c r="T312" s="1516"/>
      <c r="U312" s="1516"/>
      <c r="V312" s="1516"/>
      <c r="W312" s="1516"/>
      <c r="X312" s="1516"/>
    </row>
    <row r="313" spans="10:24" s="1517" customFormat="1">
      <c r="J313" s="1516"/>
      <c r="K313" s="1516"/>
      <c r="L313" s="1516"/>
      <c r="M313" s="1516"/>
      <c r="N313" s="1516"/>
      <c r="O313" s="1516"/>
      <c r="P313" s="1516"/>
      <c r="Q313" s="1516"/>
      <c r="R313" s="1516"/>
      <c r="S313" s="1516"/>
      <c r="T313" s="1516"/>
      <c r="U313" s="1516"/>
      <c r="V313" s="1516"/>
      <c r="W313" s="1516"/>
      <c r="X313" s="1516"/>
    </row>
    <row r="314" spans="10:24" s="1517" customFormat="1">
      <c r="J314" s="1516"/>
      <c r="K314" s="1516"/>
      <c r="L314" s="1516"/>
      <c r="M314" s="1516"/>
      <c r="N314" s="1516"/>
      <c r="O314" s="1516"/>
      <c r="P314" s="1516"/>
      <c r="Q314" s="1516"/>
      <c r="R314" s="1516"/>
      <c r="S314" s="1516"/>
      <c r="T314" s="1516"/>
      <c r="U314" s="1516"/>
      <c r="V314" s="1516"/>
      <c r="W314" s="1516"/>
      <c r="X314" s="1516"/>
    </row>
    <row r="315" spans="10:24" s="1517" customFormat="1">
      <c r="J315" s="1516"/>
      <c r="K315" s="1516"/>
      <c r="L315" s="1516"/>
      <c r="M315" s="1516"/>
      <c r="N315" s="1516"/>
      <c r="O315" s="1516"/>
      <c r="P315" s="1516"/>
      <c r="Q315" s="1516"/>
      <c r="R315" s="1516"/>
      <c r="S315" s="1516"/>
      <c r="T315" s="1516"/>
      <c r="U315" s="1516"/>
      <c r="V315" s="1516"/>
      <c r="W315" s="1516"/>
      <c r="X315" s="1516"/>
    </row>
    <row r="316" spans="10:24" s="1517" customFormat="1">
      <c r="J316" s="1516"/>
      <c r="K316" s="1516"/>
      <c r="L316" s="1516"/>
      <c r="M316" s="1516"/>
      <c r="N316" s="1516"/>
      <c r="O316" s="1516"/>
      <c r="P316" s="1516"/>
      <c r="Q316" s="1516"/>
      <c r="R316" s="1516"/>
      <c r="S316" s="1516"/>
      <c r="T316" s="1516"/>
      <c r="U316" s="1516"/>
      <c r="V316" s="1516"/>
      <c r="W316" s="1516"/>
      <c r="X316" s="1516"/>
    </row>
    <row r="317" spans="10:24" s="1517" customFormat="1">
      <c r="J317" s="1516"/>
      <c r="K317" s="1516"/>
      <c r="L317" s="1516"/>
      <c r="M317" s="1516"/>
      <c r="N317" s="1516"/>
      <c r="O317" s="1516"/>
      <c r="P317" s="1516"/>
      <c r="Q317" s="1516"/>
      <c r="R317" s="1516"/>
      <c r="S317" s="1516"/>
      <c r="T317" s="1516"/>
      <c r="U317" s="1516"/>
      <c r="V317" s="1516"/>
      <c r="W317" s="1516"/>
      <c r="X317" s="1516"/>
    </row>
    <row r="318" spans="10:24" s="1517" customFormat="1">
      <c r="J318" s="1516"/>
      <c r="K318" s="1516"/>
      <c r="L318" s="1516"/>
      <c r="M318" s="1516"/>
      <c r="N318" s="1516"/>
      <c r="O318" s="1516"/>
      <c r="P318" s="1516"/>
      <c r="Q318" s="1516"/>
      <c r="R318" s="1516"/>
      <c r="S318" s="1516"/>
      <c r="T318" s="1516"/>
      <c r="U318" s="1516"/>
      <c r="V318" s="1516"/>
      <c r="W318" s="1516"/>
      <c r="X318" s="1516"/>
    </row>
    <row r="319" spans="10:24" s="1517" customFormat="1">
      <c r="J319" s="1516"/>
      <c r="K319" s="1516"/>
      <c r="L319" s="1516"/>
      <c r="M319" s="1516"/>
      <c r="N319" s="1516"/>
      <c r="O319" s="1516"/>
      <c r="P319" s="1516"/>
      <c r="Q319" s="1516"/>
      <c r="R319" s="1516"/>
      <c r="S319" s="1516"/>
      <c r="T319" s="1516"/>
      <c r="U319" s="1516"/>
      <c r="V319" s="1516"/>
      <c r="W319" s="1516"/>
      <c r="X319" s="1516"/>
    </row>
    <row r="320" spans="10:24" s="1517" customFormat="1">
      <c r="J320" s="1516"/>
      <c r="K320" s="1516"/>
      <c r="L320" s="1516"/>
      <c r="M320" s="1516"/>
      <c r="N320" s="1516"/>
      <c r="O320" s="1516"/>
      <c r="P320" s="1516"/>
      <c r="Q320" s="1516"/>
      <c r="R320" s="1516"/>
      <c r="S320" s="1516"/>
      <c r="T320" s="1516"/>
      <c r="U320" s="1516"/>
      <c r="V320" s="1516"/>
      <c r="W320" s="1516"/>
      <c r="X320" s="1516"/>
    </row>
    <row r="321" spans="10:24" s="1517" customFormat="1">
      <c r="J321" s="1516"/>
      <c r="K321" s="1516"/>
      <c r="L321" s="1516"/>
      <c r="M321" s="1516"/>
      <c r="N321" s="1516"/>
      <c r="O321" s="1516"/>
      <c r="P321" s="1516"/>
      <c r="Q321" s="1516"/>
      <c r="R321" s="1516"/>
      <c r="S321" s="1516"/>
      <c r="T321" s="1516"/>
      <c r="U321" s="1516"/>
      <c r="V321" s="1516"/>
      <c r="W321" s="1516"/>
      <c r="X321" s="1516"/>
    </row>
    <row r="322" spans="10:24" s="1517" customFormat="1">
      <c r="J322" s="1516"/>
      <c r="K322" s="1516"/>
      <c r="L322" s="1516"/>
      <c r="M322" s="1516"/>
      <c r="N322" s="1516"/>
      <c r="O322" s="1516"/>
      <c r="P322" s="1516"/>
      <c r="Q322" s="1516"/>
      <c r="R322" s="1516"/>
      <c r="S322" s="1516"/>
      <c r="T322" s="1516"/>
      <c r="U322" s="1516"/>
      <c r="V322" s="1516"/>
      <c r="W322" s="1516"/>
      <c r="X322" s="1516"/>
    </row>
    <row r="323" spans="10:24" s="1517" customFormat="1">
      <c r="J323" s="1516"/>
      <c r="K323" s="1516"/>
      <c r="L323" s="1516"/>
      <c r="M323" s="1516"/>
      <c r="N323" s="1516"/>
      <c r="O323" s="1516"/>
      <c r="P323" s="1516"/>
      <c r="Q323" s="1516"/>
      <c r="R323" s="1516"/>
      <c r="S323" s="1516"/>
      <c r="T323" s="1516"/>
      <c r="U323" s="1516"/>
      <c r="V323" s="1516"/>
      <c r="W323" s="1516"/>
      <c r="X323" s="1516"/>
    </row>
    <row r="324" spans="10:24" s="1517" customFormat="1">
      <c r="J324" s="1516"/>
      <c r="K324" s="1516"/>
      <c r="L324" s="1516"/>
      <c r="M324" s="1516"/>
      <c r="N324" s="1516"/>
      <c r="O324" s="1516"/>
      <c r="P324" s="1516"/>
      <c r="Q324" s="1516"/>
      <c r="R324" s="1516"/>
      <c r="S324" s="1516"/>
      <c r="T324" s="1516"/>
      <c r="U324" s="1516"/>
      <c r="V324" s="1516"/>
      <c r="W324" s="1516"/>
      <c r="X324" s="1516"/>
    </row>
    <row r="325" spans="10:24" s="1517" customFormat="1">
      <c r="J325" s="1516"/>
      <c r="K325" s="1516"/>
      <c r="L325" s="1516"/>
      <c r="M325" s="1516"/>
      <c r="N325" s="1516"/>
      <c r="O325" s="1516"/>
      <c r="P325" s="1516"/>
      <c r="Q325" s="1516"/>
      <c r="R325" s="1516"/>
      <c r="S325" s="1516"/>
      <c r="T325" s="1516"/>
      <c r="U325" s="1516"/>
      <c r="V325" s="1516"/>
      <c r="W325" s="1516"/>
      <c r="X325" s="1516"/>
    </row>
    <row r="326" spans="10:24" s="1517" customFormat="1">
      <c r="J326" s="1516"/>
      <c r="K326" s="1516"/>
      <c r="L326" s="1516"/>
      <c r="M326" s="1516"/>
      <c r="N326" s="1516"/>
      <c r="O326" s="1516"/>
      <c r="P326" s="1516"/>
      <c r="Q326" s="1516"/>
      <c r="R326" s="1516"/>
      <c r="S326" s="1516"/>
      <c r="T326" s="1516"/>
      <c r="U326" s="1516"/>
      <c r="V326" s="1516"/>
      <c r="W326" s="1516"/>
      <c r="X326" s="1516"/>
    </row>
    <row r="327" spans="10:24" s="1517" customFormat="1">
      <c r="J327" s="1516"/>
      <c r="K327" s="1516"/>
      <c r="L327" s="1516"/>
      <c r="M327" s="1516"/>
      <c r="N327" s="1516"/>
      <c r="O327" s="1516"/>
      <c r="P327" s="1516"/>
      <c r="Q327" s="1516"/>
      <c r="R327" s="1516"/>
      <c r="S327" s="1516"/>
      <c r="T327" s="1516"/>
      <c r="U327" s="1516"/>
      <c r="V327" s="1516"/>
      <c r="W327" s="1516"/>
      <c r="X327" s="1516"/>
    </row>
    <row r="328" spans="10:24" s="1517" customFormat="1">
      <c r="J328" s="1516"/>
      <c r="K328" s="1516"/>
      <c r="L328" s="1516"/>
      <c r="M328" s="1516"/>
      <c r="N328" s="1516"/>
      <c r="O328" s="1516"/>
      <c r="P328" s="1516"/>
      <c r="Q328" s="1516"/>
      <c r="R328" s="1516"/>
      <c r="S328" s="1516"/>
      <c r="T328" s="1516"/>
      <c r="U328" s="1516"/>
      <c r="V328" s="1516"/>
      <c r="W328" s="1516"/>
      <c r="X328" s="1516"/>
    </row>
    <row r="329" spans="10:24" s="1517" customFormat="1">
      <c r="J329" s="1516"/>
      <c r="K329" s="1516"/>
      <c r="L329" s="1516"/>
      <c r="M329" s="1516"/>
      <c r="N329" s="1516"/>
      <c r="O329" s="1516"/>
      <c r="P329" s="1516"/>
      <c r="Q329" s="1516"/>
      <c r="R329" s="1516"/>
      <c r="S329" s="1516"/>
      <c r="T329" s="1516"/>
      <c r="U329" s="1516"/>
      <c r="V329" s="1516"/>
      <c r="W329" s="1516"/>
      <c r="X329" s="1516"/>
    </row>
    <row r="330" spans="10:24" s="1517" customFormat="1">
      <c r="J330" s="1516"/>
      <c r="K330" s="1516"/>
      <c r="L330" s="1516"/>
      <c r="M330" s="1516"/>
      <c r="N330" s="1516"/>
      <c r="O330" s="1516"/>
      <c r="P330" s="1516"/>
      <c r="Q330" s="1516"/>
      <c r="R330" s="1516"/>
      <c r="S330" s="1516"/>
      <c r="T330" s="1516"/>
      <c r="U330" s="1516"/>
      <c r="V330" s="1516"/>
      <c r="W330" s="1516"/>
      <c r="X330" s="1516"/>
    </row>
    <row r="331" spans="10:24" s="1517" customFormat="1">
      <c r="J331" s="1516"/>
      <c r="K331" s="1516"/>
      <c r="L331" s="1516"/>
      <c r="M331" s="1516"/>
      <c r="N331" s="1516"/>
      <c r="O331" s="1516"/>
      <c r="P331" s="1516"/>
      <c r="Q331" s="1516"/>
      <c r="R331" s="1516"/>
      <c r="S331" s="1516"/>
      <c r="T331" s="1516"/>
      <c r="U331" s="1516"/>
      <c r="V331" s="1516"/>
      <c r="W331" s="1516"/>
      <c r="X331" s="1516"/>
    </row>
    <row r="332" spans="10:24" s="1517" customFormat="1">
      <c r="J332" s="1516"/>
      <c r="K332" s="1516"/>
      <c r="L332" s="1516"/>
      <c r="M332" s="1516"/>
      <c r="N332" s="1516"/>
      <c r="O332" s="1516"/>
      <c r="P332" s="1516"/>
      <c r="Q332" s="1516"/>
      <c r="R332" s="1516"/>
      <c r="S332" s="1516"/>
      <c r="T332" s="1516"/>
      <c r="U332" s="1516"/>
      <c r="V332" s="1516"/>
      <c r="W332" s="1516"/>
      <c r="X332" s="1516"/>
    </row>
    <row r="333" spans="10:24" s="1517" customFormat="1">
      <c r="J333" s="1516"/>
      <c r="K333" s="1516"/>
      <c r="L333" s="1516"/>
      <c r="M333" s="1516"/>
      <c r="N333" s="1516"/>
      <c r="O333" s="1516"/>
      <c r="P333" s="1516"/>
      <c r="Q333" s="1516"/>
      <c r="R333" s="1516"/>
      <c r="S333" s="1516"/>
      <c r="T333" s="1516"/>
      <c r="U333" s="1516"/>
      <c r="V333" s="1516"/>
      <c r="W333" s="1516"/>
      <c r="X333" s="1516"/>
    </row>
    <row r="334" spans="10:24" s="1517" customFormat="1">
      <c r="J334" s="1516"/>
      <c r="K334" s="1516"/>
      <c r="L334" s="1516"/>
      <c r="M334" s="1516"/>
      <c r="N334" s="1516"/>
      <c r="O334" s="1516"/>
      <c r="P334" s="1516"/>
      <c r="Q334" s="1516"/>
      <c r="R334" s="1516"/>
      <c r="S334" s="1516"/>
      <c r="T334" s="1516"/>
      <c r="U334" s="1516"/>
      <c r="V334" s="1516"/>
      <c r="W334" s="1516"/>
      <c r="X334" s="1516"/>
    </row>
    <row r="335" spans="10:24" s="1517" customFormat="1">
      <c r="J335" s="1516"/>
      <c r="K335" s="1516"/>
      <c r="L335" s="1516"/>
      <c r="M335" s="1516"/>
      <c r="N335" s="1516"/>
      <c r="O335" s="1516"/>
      <c r="P335" s="1516"/>
      <c r="Q335" s="1516"/>
      <c r="R335" s="1516"/>
      <c r="S335" s="1516"/>
      <c r="T335" s="1516"/>
      <c r="U335" s="1516"/>
      <c r="V335" s="1516"/>
      <c r="W335" s="1516"/>
      <c r="X335" s="1516"/>
    </row>
    <row r="336" spans="10:24" s="1517" customFormat="1">
      <c r="J336" s="1516"/>
      <c r="K336" s="1516"/>
      <c r="L336" s="1516"/>
      <c r="M336" s="1516"/>
      <c r="N336" s="1516"/>
      <c r="O336" s="1516"/>
      <c r="P336" s="1516"/>
      <c r="Q336" s="1516"/>
      <c r="R336" s="1516"/>
      <c r="S336" s="1516"/>
      <c r="T336" s="1516"/>
      <c r="U336" s="1516"/>
      <c r="V336" s="1516"/>
      <c r="W336" s="1516"/>
      <c r="X336" s="1516"/>
    </row>
    <row r="337" spans="10:24" s="1517" customFormat="1">
      <c r="J337" s="1516"/>
      <c r="K337" s="1516"/>
      <c r="L337" s="1516"/>
      <c r="M337" s="1516"/>
      <c r="N337" s="1516"/>
      <c r="O337" s="1516"/>
      <c r="P337" s="1516"/>
      <c r="Q337" s="1516"/>
      <c r="R337" s="1516"/>
      <c r="S337" s="1516"/>
      <c r="T337" s="1516"/>
      <c r="U337" s="1516"/>
      <c r="V337" s="1516"/>
      <c r="W337" s="1516"/>
      <c r="X337" s="1516"/>
    </row>
    <row r="338" spans="10:24" s="1517" customFormat="1">
      <c r="J338" s="1516"/>
      <c r="K338" s="1516"/>
      <c r="L338" s="1516"/>
      <c r="M338" s="1516"/>
      <c r="N338" s="1516"/>
      <c r="O338" s="1516"/>
      <c r="P338" s="1516"/>
      <c r="Q338" s="1516"/>
      <c r="R338" s="1516"/>
      <c r="S338" s="1516"/>
      <c r="T338" s="1516"/>
      <c r="U338" s="1516"/>
      <c r="V338" s="1516"/>
      <c r="W338" s="1516"/>
      <c r="X338" s="1516"/>
    </row>
    <row r="339" spans="10:24" s="1517" customFormat="1">
      <c r="J339" s="1516"/>
      <c r="K339" s="1516"/>
      <c r="L339" s="1516"/>
      <c r="M339" s="1516"/>
      <c r="N339" s="1516"/>
      <c r="O339" s="1516"/>
      <c r="P339" s="1516"/>
      <c r="Q339" s="1516"/>
      <c r="R339" s="1516"/>
      <c r="S339" s="1516"/>
      <c r="T339" s="1516"/>
      <c r="U339" s="1516"/>
      <c r="V339" s="1516"/>
      <c r="W339" s="1516"/>
      <c r="X339" s="1516"/>
    </row>
    <row r="340" spans="10:24" s="1517" customFormat="1">
      <c r="J340" s="1516"/>
      <c r="K340" s="1516"/>
      <c r="L340" s="1516"/>
      <c r="M340" s="1516"/>
      <c r="N340" s="1516"/>
      <c r="O340" s="1516"/>
      <c r="P340" s="1516"/>
      <c r="Q340" s="1516"/>
      <c r="R340" s="1516"/>
      <c r="S340" s="1516"/>
      <c r="T340" s="1516"/>
      <c r="U340" s="1516"/>
      <c r="V340" s="1516"/>
      <c r="W340" s="1516"/>
      <c r="X340" s="1516"/>
    </row>
    <row r="341" spans="10:24" s="1517" customFormat="1">
      <c r="J341" s="1516"/>
      <c r="K341" s="1516"/>
      <c r="L341" s="1516"/>
      <c r="M341" s="1516"/>
      <c r="N341" s="1516"/>
      <c r="O341" s="1516"/>
      <c r="P341" s="1516"/>
      <c r="Q341" s="1516"/>
      <c r="R341" s="1516"/>
      <c r="S341" s="1516"/>
      <c r="T341" s="1516"/>
      <c r="U341" s="1516"/>
      <c r="V341" s="1516"/>
      <c r="W341" s="1516"/>
      <c r="X341" s="1516"/>
    </row>
    <row r="342" spans="10:24" s="1517" customFormat="1">
      <c r="J342" s="1516"/>
      <c r="K342" s="1516"/>
      <c r="L342" s="1516"/>
      <c r="M342" s="1516"/>
      <c r="N342" s="1516"/>
      <c r="O342" s="1516"/>
      <c r="P342" s="1516"/>
      <c r="Q342" s="1516"/>
      <c r="R342" s="1516"/>
      <c r="S342" s="1516"/>
      <c r="T342" s="1516"/>
      <c r="U342" s="1516"/>
      <c r="V342" s="1516"/>
      <c r="W342" s="1516"/>
      <c r="X342" s="1516"/>
    </row>
    <row r="343" spans="10:24" s="1517" customFormat="1">
      <c r="J343" s="1516"/>
      <c r="K343" s="1516"/>
      <c r="L343" s="1516"/>
      <c r="M343" s="1516"/>
      <c r="N343" s="1516"/>
      <c r="O343" s="1516"/>
      <c r="P343" s="1516"/>
      <c r="Q343" s="1516"/>
      <c r="R343" s="1516"/>
      <c r="S343" s="1516"/>
      <c r="T343" s="1516"/>
      <c r="U343" s="1516"/>
      <c r="V343" s="1516"/>
      <c r="W343" s="1516"/>
      <c r="X343" s="1516"/>
    </row>
    <row r="344" spans="10:24" s="1517" customFormat="1">
      <c r="J344" s="1516"/>
      <c r="K344" s="1516"/>
      <c r="L344" s="1516"/>
      <c r="M344" s="1516"/>
      <c r="N344" s="1516"/>
      <c r="O344" s="1516"/>
      <c r="P344" s="1516"/>
      <c r="Q344" s="1516"/>
      <c r="R344" s="1516"/>
      <c r="S344" s="1516"/>
      <c r="T344" s="1516"/>
      <c r="U344" s="1516"/>
      <c r="V344" s="1516"/>
      <c r="W344" s="1516"/>
      <c r="X344" s="1516"/>
    </row>
    <row r="345" spans="10:24" s="1517" customFormat="1">
      <c r="J345" s="1516"/>
      <c r="K345" s="1516"/>
      <c r="L345" s="1516"/>
      <c r="M345" s="1516"/>
      <c r="N345" s="1516"/>
      <c r="O345" s="1516"/>
      <c r="P345" s="1516"/>
      <c r="Q345" s="1516"/>
      <c r="R345" s="1516"/>
      <c r="S345" s="1516"/>
      <c r="T345" s="1516"/>
      <c r="U345" s="1516"/>
      <c r="V345" s="1516"/>
      <c r="W345" s="1516"/>
      <c r="X345" s="1516"/>
    </row>
    <row r="346" spans="10:24" s="1517" customFormat="1">
      <c r="J346" s="1516"/>
      <c r="K346" s="1516"/>
      <c r="L346" s="1516"/>
      <c r="M346" s="1516"/>
      <c r="N346" s="1516"/>
      <c r="O346" s="1516"/>
      <c r="P346" s="1516"/>
      <c r="Q346" s="1516"/>
      <c r="R346" s="1516"/>
      <c r="S346" s="1516"/>
      <c r="T346" s="1516"/>
      <c r="U346" s="1516"/>
      <c r="V346" s="1516"/>
      <c r="W346" s="1516"/>
      <c r="X346" s="1516"/>
    </row>
    <row r="347" spans="10:24" s="1517" customFormat="1">
      <c r="J347" s="1516"/>
      <c r="K347" s="1516"/>
      <c r="L347" s="1516"/>
      <c r="M347" s="1516"/>
      <c r="N347" s="1516"/>
      <c r="O347" s="1516"/>
      <c r="P347" s="1516"/>
      <c r="Q347" s="1516"/>
      <c r="R347" s="1516"/>
      <c r="S347" s="1516"/>
      <c r="T347" s="1516"/>
      <c r="U347" s="1516"/>
      <c r="V347" s="1516"/>
      <c r="W347" s="1516"/>
      <c r="X347" s="1516"/>
    </row>
    <row r="348" spans="10:24" s="1517" customFormat="1">
      <c r="J348" s="1516"/>
      <c r="K348" s="1516"/>
      <c r="L348" s="1516"/>
      <c r="M348" s="1516"/>
      <c r="N348" s="1516"/>
      <c r="O348" s="1516"/>
      <c r="P348" s="1516"/>
      <c r="Q348" s="1516"/>
      <c r="R348" s="1516"/>
      <c r="S348" s="1516"/>
      <c r="T348" s="1516"/>
      <c r="U348" s="1516"/>
      <c r="V348" s="1516"/>
      <c r="W348" s="1516"/>
      <c r="X348" s="1516"/>
    </row>
    <row r="349" spans="10:24" s="1517" customFormat="1">
      <c r="J349" s="1516"/>
      <c r="K349" s="1516"/>
      <c r="L349" s="1516"/>
      <c r="M349" s="1516"/>
      <c r="N349" s="1516"/>
      <c r="O349" s="1516"/>
      <c r="P349" s="1516"/>
      <c r="Q349" s="1516"/>
      <c r="R349" s="1516"/>
      <c r="S349" s="1516"/>
      <c r="T349" s="1516"/>
      <c r="U349" s="1516"/>
      <c r="V349" s="1516"/>
      <c r="W349" s="1516"/>
      <c r="X349" s="1516"/>
    </row>
    <row r="350" spans="10:24" s="1517" customFormat="1">
      <c r="J350" s="1516"/>
      <c r="K350" s="1516"/>
      <c r="L350" s="1516"/>
      <c r="M350" s="1516"/>
      <c r="N350" s="1516"/>
      <c r="O350" s="1516"/>
      <c r="P350" s="1516"/>
      <c r="Q350" s="1516"/>
      <c r="R350" s="1516"/>
      <c r="S350" s="1516"/>
      <c r="T350" s="1516"/>
      <c r="U350" s="1516"/>
      <c r="V350" s="1516"/>
      <c r="W350" s="1516"/>
      <c r="X350" s="1516"/>
    </row>
    <row r="351" spans="10:24" s="1517" customFormat="1">
      <c r="J351" s="1516"/>
      <c r="K351" s="1516"/>
      <c r="L351" s="1516"/>
      <c r="M351" s="1516"/>
      <c r="N351" s="1516"/>
      <c r="O351" s="1516"/>
      <c r="P351" s="1516"/>
      <c r="Q351" s="1516"/>
      <c r="R351" s="1516"/>
      <c r="S351" s="1516"/>
      <c r="T351" s="1516"/>
      <c r="U351" s="1516"/>
      <c r="V351" s="1516"/>
      <c r="W351" s="1516"/>
      <c r="X351" s="1516"/>
    </row>
    <row r="352" spans="10:24" s="1517" customFormat="1">
      <c r="J352" s="1516"/>
      <c r="K352" s="1516"/>
      <c r="L352" s="1516"/>
      <c r="M352" s="1516"/>
      <c r="N352" s="1516"/>
      <c r="O352" s="1516"/>
      <c r="P352" s="1516"/>
      <c r="Q352" s="1516"/>
      <c r="R352" s="1516"/>
      <c r="S352" s="1516"/>
      <c r="T352" s="1516"/>
      <c r="U352" s="1516"/>
      <c r="V352" s="1516"/>
      <c r="W352" s="1516"/>
      <c r="X352" s="1516"/>
    </row>
    <row r="353" spans="10:24" s="1517" customFormat="1">
      <c r="J353" s="1516"/>
      <c r="K353" s="1516"/>
      <c r="L353" s="1516"/>
      <c r="M353" s="1516"/>
      <c r="N353" s="1516"/>
      <c r="O353" s="1516"/>
      <c r="P353" s="1516"/>
      <c r="Q353" s="1516"/>
      <c r="R353" s="1516"/>
      <c r="S353" s="1516"/>
      <c r="T353" s="1516"/>
      <c r="U353" s="1516"/>
      <c r="V353" s="1516"/>
      <c r="W353" s="1516"/>
      <c r="X353" s="1516"/>
    </row>
    <row r="354" spans="10:24" s="1517" customFormat="1">
      <c r="J354" s="1516"/>
      <c r="K354" s="1516"/>
      <c r="L354" s="1516"/>
      <c r="M354" s="1516"/>
      <c r="N354" s="1516"/>
      <c r="O354" s="1516"/>
      <c r="P354" s="1516"/>
      <c r="Q354" s="1516"/>
      <c r="R354" s="1516"/>
      <c r="S354" s="1516"/>
      <c r="T354" s="1516"/>
      <c r="U354" s="1516"/>
      <c r="V354" s="1516"/>
      <c r="W354" s="1516"/>
      <c r="X354" s="1516"/>
    </row>
    <row r="355" spans="10:24" s="1517" customFormat="1">
      <c r="J355" s="1516"/>
      <c r="K355" s="1516"/>
      <c r="L355" s="1516"/>
      <c r="M355" s="1516"/>
      <c r="N355" s="1516"/>
      <c r="O355" s="1516"/>
      <c r="P355" s="1516"/>
      <c r="Q355" s="1516"/>
      <c r="R355" s="1516"/>
      <c r="S355" s="1516"/>
      <c r="T355" s="1516"/>
      <c r="U355" s="1516"/>
      <c r="V355" s="1516"/>
      <c r="W355" s="1516"/>
      <c r="X355" s="1516"/>
    </row>
    <row r="356" spans="10:24" s="1517" customFormat="1">
      <c r="J356" s="1516"/>
      <c r="K356" s="1516"/>
      <c r="L356" s="1516"/>
      <c r="M356" s="1516"/>
      <c r="N356" s="1516"/>
      <c r="O356" s="1516"/>
      <c r="P356" s="1516"/>
      <c r="Q356" s="1516"/>
      <c r="R356" s="1516"/>
      <c r="S356" s="1516"/>
      <c r="T356" s="1516"/>
      <c r="U356" s="1516"/>
      <c r="V356" s="1516"/>
      <c r="W356" s="1516"/>
      <c r="X356" s="1516"/>
    </row>
    <row r="357" spans="10:24" s="1517" customFormat="1">
      <c r="J357" s="1516"/>
      <c r="K357" s="1516"/>
      <c r="L357" s="1516"/>
      <c r="M357" s="1516"/>
      <c r="N357" s="1516"/>
      <c r="O357" s="1516"/>
      <c r="P357" s="1516"/>
      <c r="Q357" s="1516"/>
      <c r="R357" s="1516"/>
      <c r="S357" s="1516"/>
      <c r="T357" s="1516"/>
      <c r="U357" s="1516"/>
      <c r="V357" s="1516"/>
      <c r="W357" s="1516"/>
      <c r="X357" s="1516"/>
    </row>
    <row r="358" spans="10:24" s="1517" customFormat="1">
      <c r="J358" s="1516"/>
      <c r="K358" s="1516"/>
      <c r="L358" s="1516"/>
      <c r="M358" s="1516"/>
      <c r="N358" s="1516"/>
      <c r="O358" s="1516"/>
      <c r="P358" s="1516"/>
      <c r="Q358" s="1516"/>
      <c r="R358" s="1516"/>
      <c r="S358" s="1516"/>
      <c r="T358" s="1516"/>
      <c r="U358" s="1516"/>
      <c r="V358" s="1516"/>
      <c r="W358" s="1516"/>
      <c r="X358" s="1516"/>
    </row>
    <row r="359" spans="10:24" s="1517" customFormat="1">
      <c r="J359" s="1516"/>
      <c r="K359" s="1516"/>
      <c r="L359" s="1516"/>
      <c r="M359" s="1516"/>
      <c r="N359" s="1516"/>
      <c r="O359" s="1516"/>
      <c r="P359" s="1516"/>
      <c r="Q359" s="1516"/>
      <c r="R359" s="1516"/>
      <c r="S359" s="1516"/>
      <c r="T359" s="1516"/>
      <c r="U359" s="1516"/>
      <c r="V359" s="1516"/>
      <c r="W359" s="1516"/>
      <c r="X359" s="1516"/>
    </row>
    <row r="360" spans="10:24" s="1517" customFormat="1">
      <c r="J360" s="1516"/>
      <c r="K360" s="1516"/>
      <c r="L360" s="1516"/>
      <c r="M360" s="1516"/>
      <c r="N360" s="1516"/>
      <c r="O360" s="1516"/>
      <c r="P360" s="1516"/>
      <c r="Q360" s="1516"/>
      <c r="R360" s="1516"/>
      <c r="S360" s="1516"/>
      <c r="T360" s="1516"/>
      <c r="U360" s="1516"/>
      <c r="V360" s="1516"/>
      <c r="W360" s="1516"/>
      <c r="X360" s="1516"/>
    </row>
    <row r="361" spans="10:24" s="1517" customFormat="1">
      <c r="J361" s="1516"/>
      <c r="K361" s="1516"/>
      <c r="L361" s="1516"/>
      <c r="M361" s="1516"/>
      <c r="N361" s="1516"/>
      <c r="O361" s="1516"/>
      <c r="P361" s="1516"/>
      <c r="Q361" s="1516"/>
      <c r="R361" s="1516"/>
      <c r="S361" s="1516"/>
      <c r="T361" s="1516"/>
      <c r="U361" s="1516"/>
      <c r="V361" s="1516"/>
      <c r="W361" s="1516"/>
      <c r="X361" s="1516"/>
    </row>
    <row r="362" spans="10:24" s="1517" customFormat="1">
      <c r="J362" s="1516"/>
      <c r="K362" s="1516"/>
      <c r="L362" s="1516"/>
      <c r="M362" s="1516"/>
      <c r="N362" s="1516"/>
      <c r="O362" s="1516"/>
      <c r="P362" s="1516"/>
      <c r="Q362" s="1516"/>
      <c r="R362" s="1516"/>
      <c r="S362" s="1516"/>
      <c r="T362" s="1516"/>
      <c r="U362" s="1516"/>
      <c r="V362" s="1516"/>
      <c r="W362" s="1516"/>
      <c r="X362" s="1516"/>
    </row>
    <row r="363" spans="10:24" s="1517" customFormat="1">
      <c r="J363" s="1516"/>
      <c r="K363" s="1516"/>
      <c r="L363" s="1516"/>
      <c r="M363" s="1516"/>
      <c r="N363" s="1516"/>
      <c r="O363" s="1516"/>
      <c r="P363" s="1516"/>
      <c r="Q363" s="1516"/>
      <c r="R363" s="1516"/>
      <c r="S363" s="1516"/>
      <c r="T363" s="1516"/>
      <c r="U363" s="1516"/>
      <c r="V363" s="1516"/>
      <c r="W363" s="1516"/>
      <c r="X363" s="1516"/>
    </row>
    <row r="364" spans="10:24" s="1517" customFormat="1">
      <c r="J364" s="1516"/>
      <c r="K364" s="1516"/>
      <c r="L364" s="1516"/>
      <c r="M364" s="1516"/>
      <c r="N364" s="1516"/>
      <c r="O364" s="1516"/>
      <c r="P364" s="1516"/>
      <c r="Q364" s="1516"/>
      <c r="R364" s="1516"/>
      <c r="S364" s="1516"/>
      <c r="T364" s="1516"/>
      <c r="U364" s="1516"/>
      <c r="V364" s="1516"/>
      <c r="W364" s="1516"/>
      <c r="X364" s="1516"/>
    </row>
    <row r="365" spans="10:24" s="1517" customFormat="1">
      <c r="J365" s="1516"/>
      <c r="K365" s="1516"/>
      <c r="L365" s="1516"/>
      <c r="M365" s="1516"/>
      <c r="N365" s="1516"/>
      <c r="O365" s="1516"/>
      <c r="P365" s="1516"/>
      <c r="Q365" s="1516"/>
      <c r="R365" s="1516"/>
      <c r="S365" s="1516"/>
      <c r="T365" s="1516"/>
      <c r="U365" s="1516"/>
      <c r="V365" s="1516"/>
      <c r="W365" s="1516"/>
      <c r="X365" s="1516"/>
    </row>
    <row r="366" spans="10:24" s="1517" customFormat="1">
      <c r="J366" s="1516"/>
      <c r="K366" s="1516"/>
      <c r="L366" s="1516"/>
      <c r="M366" s="1516"/>
      <c r="N366" s="1516"/>
      <c r="O366" s="1516"/>
      <c r="P366" s="1516"/>
      <c r="Q366" s="1516"/>
      <c r="R366" s="1516"/>
      <c r="S366" s="1516"/>
      <c r="T366" s="1516"/>
      <c r="U366" s="1516"/>
      <c r="V366" s="1516"/>
      <c r="W366" s="1516"/>
      <c r="X366" s="1516"/>
    </row>
    <row r="367" spans="10:24" s="1517" customFormat="1">
      <c r="J367" s="1516"/>
      <c r="K367" s="1516"/>
      <c r="L367" s="1516"/>
      <c r="M367" s="1516"/>
      <c r="N367" s="1516"/>
      <c r="O367" s="1516"/>
      <c r="P367" s="1516"/>
      <c r="Q367" s="1516"/>
      <c r="R367" s="1516"/>
      <c r="S367" s="1516"/>
      <c r="T367" s="1516"/>
      <c r="U367" s="1516"/>
      <c r="V367" s="1516"/>
      <c r="W367" s="1516"/>
      <c r="X367" s="1516"/>
    </row>
    <row r="368" spans="10:24" s="1517" customFormat="1">
      <c r="J368" s="1516"/>
      <c r="K368" s="1516"/>
      <c r="L368" s="1516"/>
      <c r="M368" s="1516"/>
      <c r="N368" s="1516"/>
      <c r="O368" s="1516"/>
      <c r="P368" s="1516"/>
      <c r="Q368" s="1516"/>
      <c r="R368" s="1516"/>
      <c r="S368" s="1516"/>
      <c r="T368" s="1516"/>
      <c r="U368" s="1516"/>
      <c r="V368" s="1516"/>
      <c r="W368" s="1516"/>
      <c r="X368" s="1516"/>
    </row>
    <row r="369" spans="10:24" s="1517" customFormat="1">
      <c r="J369" s="1516"/>
      <c r="K369" s="1516"/>
      <c r="L369" s="1516"/>
      <c r="M369" s="1516"/>
      <c r="N369" s="1516"/>
      <c r="O369" s="1516"/>
      <c r="P369" s="1516"/>
      <c r="Q369" s="1516"/>
      <c r="R369" s="1516"/>
      <c r="S369" s="1516"/>
      <c r="T369" s="1516"/>
      <c r="U369" s="1516"/>
      <c r="V369" s="1516"/>
      <c r="W369" s="1516"/>
      <c r="X369" s="1516"/>
    </row>
    <row r="370" spans="10:24" s="1517" customFormat="1">
      <c r="J370" s="1516"/>
      <c r="K370" s="1516"/>
      <c r="L370" s="1516"/>
      <c r="M370" s="1516"/>
      <c r="N370" s="1516"/>
      <c r="O370" s="1516"/>
      <c r="P370" s="1516"/>
      <c r="Q370" s="1516"/>
      <c r="R370" s="1516"/>
      <c r="S370" s="1516"/>
      <c r="T370" s="1516"/>
      <c r="U370" s="1516"/>
      <c r="V370" s="1516"/>
      <c r="W370" s="1516"/>
      <c r="X370" s="1516"/>
    </row>
    <row r="371" spans="10:24" s="1517" customFormat="1">
      <c r="J371" s="1516"/>
      <c r="K371" s="1516"/>
      <c r="L371" s="1516"/>
      <c r="M371" s="1516"/>
      <c r="N371" s="1516"/>
      <c r="O371" s="1516"/>
      <c r="P371" s="1516"/>
      <c r="Q371" s="1516"/>
      <c r="R371" s="1516"/>
      <c r="S371" s="1516"/>
      <c r="T371" s="1516"/>
      <c r="U371" s="1516"/>
      <c r="V371" s="1516"/>
      <c r="W371" s="1516"/>
      <c r="X371" s="1516"/>
    </row>
    <row r="372" spans="10:24" s="1517" customFormat="1">
      <c r="J372" s="1516"/>
      <c r="K372" s="1516"/>
      <c r="L372" s="1516"/>
      <c r="M372" s="1516"/>
      <c r="N372" s="1516"/>
      <c r="O372" s="1516"/>
      <c r="P372" s="1516"/>
      <c r="Q372" s="1516"/>
      <c r="R372" s="1516"/>
      <c r="S372" s="1516"/>
      <c r="T372" s="1516"/>
      <c r="U372" s="1516"/>
      <c r="V372" s="1516"/>
      <c r="W372" s="1516"/>
      <c r="X372" s="1516"/>
    </row>
    <row r="373" spans="10:24" s="1517" customFormat="1">
      <c r="J373" s="1516"/>
      <c r="K373" s="1516"/>
      <c r="L373" s="1516"/>
      <c r="M373" s="1516"/>
      <c r="N373" s="1516"/>
      <c r="O373" s="1516"/>
      <c r="P373" s="1516"/>
      <c r="Q373" s="1516"/>
      <c r="R373" s="1516"/>
      <c r="S373" s="1516"/>
      <c r="T373" s="1516"/>
      <c r="U373" s="1516"/>
      <c r="V373" s="1516"/>
      <c r="W373" s="1516"/>
      <c r="X373" s="1516"/>
    </row>
    <row r="374" spans="10:24" s="1517" customFormat="1">
      <c r="J374" s="1516"/>
      <c r="K374" s="1516"/>
      <c r="L374" s="1516"/>
      <c r="M374" s="1516"/>
      <c r="N374" s="1516"/>
      <c r="O374" s="1516"/>
      <c r="P374" s="1516"/>
      <c r="Q374" s="1516"/>
      <c r="R374" s="1516"/>
      <c r="S374" s="1516"/>
      <c r="T374" s="1516"/>
      <c r="U374" s="1516"/>
      <c r="V374" s="1516"/>
      <c r="W374" s="1516"/>
      <c r="X374" s="1516"/>
    </row>
    <row r="375" spans="10:24" s="1517" customFormat="1">
      <c r="J375" s="1516"/>
      <c r="K375" s="1516"/>
      <c r="L375" s="1516"/>
      <c r="M375" s="1516"/>
      <c r="N375" s="1516"/>
      <c r="O375" s="1516"/>
      <c r="P375" s="1516"/>
      <c r="Q375" s="1516"/>
      <c r="R375" s="1516"/>
      <c r="S375" s="1516"/>
      <c r="T375" s="1516"/>
      <c r="U375" s="1516"/>
      <c r="V375" s="1516"/>
      <c r="W375" s="1516"/>
      <c r="X375" s="1516"/>
    </row>
    <row r="376" spans="10:24" s="1517" customFormat="1">
      <c r="J376" s="1516"/>
      <c r="K376" s="1516"/>
      <c r="L376" s="1516"/>
      <c r="M376" s="1516"/>
      <c r="N376" s="1516"/>
      <c r="O376" s="1516"/>
      <c r="P376" s="1516"/>
      <c r="Q376" s="1516"/>
      <c r="R376" s="1516"/>
      <c r="S376" s="1516"/>
      <c r="T376" s="1516"/>
      <c r="U376" s="1516"/>
      <c r="V376" s="1516"/>
      <c r="W376" s="1516"/>
      <c r="X376" s="1516"/>
    </row>
    <row r="377" spans="10:24" s="1517" customFormat="1">
      <c r="J377" s="1516"/>
      <c r="K377" s="1516"/>
      <c r="L377" s="1516"/>
      <c r="M377" s="1516"/>
      <c r="N377" s="1516"/>
      <c r="O377" s="1516"/>
      <c r="P377" s="1516"/>
      <c r="Q377" s="1516"/>
      <c r="R377" s="1516"/>
      <c r="S377" s="1516"/>
      <c r="T377" s="1516"/>
      <c r="U377" s="1516"/>
      <c r="V377" s="1516"/>
      <c r="W377" s="1516"/>
      <c r="X377" s="1516"/>
    </row>
    <row r="378" spans="10:24" s="1517" customFormat="1">
      <c r="J378" s="1516"/>
      <c r="K378" s="1516"/>
      <c r="L378" s="1516"/>
      <c r="M378" s="1516"/>
      <c r="N378" s="1516"/>
      <c r="O378" s="1516"/>
      <c r="P378" s="1516"/>
      <c r="Q378" s="1516"/>
      <c r="R378" s="1516"/>
      <c r="S378" s="1516"/>
      <c r="T378" s="1516"/>
      <c r="U378" s="1516"/>
      <c r="V378" s="1516"/>
      <c r="W378" s="1516"/>
      <c r="X378" s="1516"/>
    </row>
    <row r="379" spans="10:24" s="1517" customFormat="1">
      <c r="J379" s="1516"/>
      <c r="K379" s="1516"/>
      <c r="L379" s="1516"/>
      <c r="M379" s="1516"/>
      <c r="N379" s="1516"/>
      <c r="O379" s="1516"/>
      <c r="P379" s="1516"/>
      <c r="Q379" s="1516"/>
      <c r="R379" s="1516"/>
      <c r="S379" s="1516"/>
      <c r="T379" s="1516"/>
      <c r="U379" s="1516"/>
      <c r="V379" s="1516"/>
      <c r="W379" s="1516"/>
      <c r="X379" s="1516"/>
    </row>
    <row r="380" spans="10:24" s="1517" customFormat="1">
      <c r="J380" s="1516"/>
      <c r="K380" s="1516"/>
      <c r="L380" s="1516"/>
      <c r="M380" s="1516"/>
      <c r="N380" s="1516"/>
      <c r="O380" s="1516"/>
      <c r="P380" s="1516"/>
      <c r="Q380" s="1516"/>
      <c r="R380" s="1516"/>
      <c r="S380" s="1516"/>
      <c r="T380" s="1516"/>
      <c r="U380" s="1516"/>
      <c r="V380" s="1516"/>
      <c r="W380" s="1516"/>
      <c r="X380" s="1516"/>
    </row>
    <row r="381" spans="10:24" s="1517" customFormat="1">
      <c r="J381" s="1516"/>
      <c r="K381" s="1516"/>
      <c r="L381" s="1516"/>
      <c r="M381" s="1516"/>
      <c r="N381" s="1516"/>
      <c r="O381" s="1516"/>
      <c r="P381" s="1516"/>
      <c r="Q381" s="1516"/>
      <c r="R381" s="1516"/>
      <c r="S381" s="1516"/>
      <c r="T381" s="1516"/>
      <c r="U381" s="1516"/>
      <c r="V381" s="1516"/>
      <c r="W381" s="1516"/>
      <c r="X381" s="1516"/>
    </row>
    <row r="382" spans="10:24" s="1517" customFormat="1">
      <c r="J382" s="1516"/>
      <c r="K382" s="1516"/>
      <c r="L382" s="1516"/>
      <c r="M382" s="1516"/>
      <c r="N382" s="1516"/>
      <c r="O382" s="1516"/>
      <c r="P382" s="1516"/>
      <c r="Q382" s="1516"/>
      <c r="R382" s="1516"/>
      <c r="S382" s="1516"/>
      <c r="T382" s="1516"/>
      <c r="U382" s="1516"/>
      <c r="V382" s="1516"/>
      <c r="W382" s="1516"/>
      <c r="X382" s="1516"/>
    </row>
    <row r="383" spans="10:24" s="1517" customFormat="1">
      <c r="J383" s="1516"/>
      <c r="K383" s="1516"/>
      <c r="L383" s="1516"/>
      <c r="M383" s="1516"/>
      <c r="N383" s="1516"/>
      <c r="O383" s="1516"/>
      <c r="P383" s="1516"/>
      <c r="Q383" s="1516"/>
      <c r="R383" s="1516"/>
      <c r="S383" s="1516"/>
      <c r="T383" s="1516"/>
      <c r="U383" s="1516"/>
      <c r="V383" s="1516"/>
      <c r="W383" s="1516"/>
      <c r="X383" s="1516"/>
    </row>
    <row r="384" spans="10:24" s="1517" customFormat="1">
      <c r="J384" s="1516"/>
      <c r="K384" s="1516"/>
      <c r="L384" s="1516"/>
      <c r="M384" s="1516"/>
      <c r="N384" s="1516"/>
      <c r="O384" s="1516"/>
      <c r="P384" s="1516"/>
      <c r="Q384" s="1516"/>
      <c r="R384" s="1516"/>
      <c r="S384" s="1516"/>
      <c r="T384" s="1516"/>
      <c r="U384" s="1516"/>
      <c r="V384" s="1516"/>
      <c r="W384" s="1516"/>
      <c r="X384" s="1516"/>
    </row>
    <row r="385" spans="10:24" s="1517" customFormat="1">
      <c r="J385" s="1516"/>
      <c r="K385" s="1516"/>
      <c r="L385" s="1516"/>
      <c r="M385" s="1516"/>
      <c r="N385" s="1516"/>
      <c r="O385" s="1516"/>
      <c r="P385" s="1516"/>
      <c r="Q385" s="1516"/>
      <c r="R385" s="1516"/>
      <c r="S385" s="1516"/>
      <c r="T385" s="1516"/>
      <c r="U385" s="1516"/>
      <c r="V385" s="1516"/>
      <c r="W385" s="1516"/>
      <c r="X385" s="1516"/>
    </row>
    <row r="386" spans="10:24" s="1517" customFormat="1">
      <c r="J386" s="1516"/>
      <c r="K386" s="1516"/>
      <c r="L386" s="1516"/>
      <c r="M386" s="1516"/>
      <c r="N386" s="1516"/>
      <c r="O386" s="1516"/>
      <c r="P386" s="1516"/>
      <c r="Q386" s="1516"/>
      <c r="R386" s="1516"/>
      <c r="S386" s="1516"/>
      <c r="T386" s="1516"/>
      <c r="U386" s="1516"/>
      <c r="V386" s="1516"/>
      <c r="W386" s="1516"/>
      <c r="X386" s="1516"/>
    </row>
    <row r="387" spans="10:24" s="1517" customFormat="1">
      <c r="J387" s="1516"/>
      <c r="K387" s="1516"/>
      <c r="L387" s="1516"/>
      <c r="M387" s="1516"/>
      <c r="N387" s="1516"/>
      <c r="O387" s="1516"/>
      <c r="P387" s="1516"/>
      <c r="Q387" s="1516"/>
      <c r="R387" s="1516"/>
      <c r="S387" s="1516"/>
      <c r="T387" s="1516"/>
      <c r="U387" s="1516"/>
      <c r="V387" s="1516"/>
      <c r="W387" s="1516"/>
      <c r="X387" s="1516"/>
    </row>
    <row r="388" spans="10:24" s="1517" customFormat="1">
      <c r="J388" s="1516"/>
      <c r="K388" s="1516"/>
      <c r="L388" s="1516"/>
      <c r="M388" s="1516"/>
      <c r="N388" s="1516"/>
      <c r="O388" s="1516"/>
      <c r="P388" s="1516"/>
      <c r="Q388" s="1516"/>
      <c r="R388" s="1516"/>
      <c r="S388" s="1516"/>
      <c r="T388" s="1516"/>
      <c r="U388" s="1516"/>
      <c r="V388" s="1516"/>
      <c r="W388" s="1516"/>
      <c r="X388" s="1516"/>
    </row>
    <row r="389" spans="10:24" s="1517" customFormat="1">
      <c r="J389" s="1516"/>
      <c r="K389" s="1516"/>
      <c r="L389" s="1516"/>
      <c r="M389" s="1516"/>
      <c r="N389" s="1516"/>
      <c r="O389" s="1516"/>
      <c r="P389" s="1516"/>
      <c r="Q389" s="1516"/>
      <c r="R389" s="1516"/>
      <c r="S389" s="1516"/>
      <c r="T389" s="1516"/>
      <c r="U389" s="1516"/>
      <c r="V389" s="1516"/>
      <c r="W389" s="1516"/>
      <c r="X389" s="1516"/>
    </row>
    <row r="390" spans="10:24" s="1517" customFormat="1">
      <c r="J390" s="1516"/>
      <c r="K390" s="1516"/>
      <c r="L390" s="1516"/>
      <c r="M390" s="1516"/>
      <c r="N390" s="1516"/>
      <c r="O390" s="1516"/>
      <c r="P390" s="1516"/>
      <c r="Q390" s="1516"/>
      <c r="R390" s="1516"/>
      <c r="S390" s="1516"/>
      <c r="T390" s="1516"/>
      <c r="U390" s="1516"/>
      <c r="V390" s="1516"/>
      <c r="W390" s="1516"/>
      <c r="X390" s="1516"/>
    </row>
    <row r="391" spans="10:24" s="1517" customFormat="1">
      <c r="J391" s="1516"/>
      <c r="K391" s="1516"/>
      <c r="L391" s="1516"/>
      <c r="M391" s="1516"/>
      <c r="N391" s="1516"/>
      <c r="O391" s="1516"/>
      <c r="P391" s="1516"/>
      <c r="Q391" s="1516"/>
      <c r="R391" s="1516"/>
      <c r="S391" s="1516"/>
      <c r="T391" s="1516"/>
      <c r="U391" s="1516"/>
      <c r="V391" s="1516"/>
      <c r="W391" s="1516"/>
      <c r="X391" s="1516"/>
    </row>
    <row r="392" spans="10:24" s="1517" customFormat="1">
      <c r="J392" s="1516"/>
      <c r="K392" s="1516"/>
      <c r="L392" s="1516"/>
      <c r="M392" s="1516"/>
      <c r="N392" s="1516"/>
      <c r="O392" s="1516"/>
      <c r="P392" s="1516"/>
      <c r="Q392" s="1516"/>
      <c r="R392" s="1516"/>
      <c r="S392" s="1516"/>
      <c r="T392" s="1516"/>
      <c r="U392" s="1516"/>
      <c r="V392" s="1516"/>
      <c r="W392" s="1516"/>
      <c r="X392" s="1516"/>
    </row>
    <row r="393" spans="10:24" s="1517" customFormat="1">
      <c r="J393" s="1516"/>
      <c r="K393" s="1516"/>
      <c r="L393" s="1516"/>
      <c r="M393" s="1516"/>
      <c r="N393" s="1516"/>
      <c r="O393" s="1516"/>
      <c r="P393" s="1516"/>
      <c r="Q393" s="1516"/>
      <c r="R393" s="1516"/>
      <c r="S393" s="1516"/>
      <c r="T393" s="1516"/>
      <c r="U393" s="1516"/>
      <c r="V393" s="1516"/>
      <c r="W393" s="1516"/>
      <c r="X393" s="1516"/>
    </row>
    <row r="394" spans="10:24" s="1517" customFormat="1">
      <c r="J394" s="1516"/>
      <c r="K394" s="1516"/>
      <c r="L394" s="1516"/>
      <c r="M394" s="1516"/>
      <c r="N394" s="1516"/>
      <c r="O394" s="1516"/>
      <c r="P394" s="1516"/>
      <c r="Q394" s="1516"/>
      <c r="R394" s="1516"/>
      <c r="S394" s="1516"/>
      <c r="T394" s="1516"/>
      <c r="U394" s="1516"/>
      <c r="V394" s="1516"/>
      <c r="W394" s="1516"/>
      <c r="X394" s="1516"/>
    </row>
    <row r="395" spans="10:24" s="1517" customFormat="1">
      <c r="J395" s="1516"/>
      <c r="K395" s="1516"/>
      <c r="L395" s="1516"/>
      <c r="M395" s="1516"/>
      <c r="N395" s="1516"/>
      <c r="O395" s="1516"/>
      <c r="P395" s="1516"/>
      <c r="Q395" s="1516"/>
      <c r="R395" s="1516"/>
      <c r="S395" s="1516"/>
      <c r="T395" s="1516"/>
      <c r="U395" s="1516"/>
      <c r="V395" s="1516"/>
      <c r="W395" s="1516"/>
      <c r="X395" s="1516"/>
    </row>
    <row r="396" spans="10:24" s="1517" customFormat="1">
      <c r="J396" s="1516"/>
      <c r="K396" s="1516"/>
      <c r="L396" s="1516"/>
      <c r="M396" s="1516"/>
      <c r="N396" s="1516"/>
      <c r="O396" s="1516"/>
      <c r="P396" s="1516"/>
      <c r="Q396" s="1516"/>
      <c r="R396" s="1516"/>
      <c r="S396" s="1516"/>
      <c r="T396" s="1516"/>
      <c r="U396" s="1516"/>
      <c r="V396" s="1516"/>
      <c r="W396" s="1516"/>
      <c r="X396" s="1516"/>
    </row>
    <row r="397" spans="10:24" s="1517" customFormat="1">
      <c r="J397" s="1516"/>
      <c r="K397" s="1516"/>
      <c r="L397" s="1516"/>
      <c r="M397" s="1516"/>
      <c r="N397" s="1516"/>
      <c r="O397" s="1516"/>
      <c r="P397" s="1516"/>
      <c r="Q397" s="1516"/>
      <c r="R397" s="1516"/>
      <c r="S397" s="1516"/>
      <c r="T397" s="1516"/>
      <c r="U397" s="1516"/>
      <c r="V397" s="1516"/>
      <c r="W397" s="1516"/>
      <c r="X397" s="1516"/>
    </row>
    <row r="398" spans="10:24" s="1517" customFormat="1">
      <c r="J398" s="1516"/>
      <c r="K398" s="1516"/>
      <c r="L398" s="1516"/>
      <c r="M398" s="1516"/>
      <c r="N398" s="1516"/>
      <c r="O398" s="1516"/>
      <c r="P398" s="1516"/>
      <c r="Q398" s="1516"/>
      <c r="R398" s="1516"/>
      <c r="S398" s="1516"/>
      <c r="T398" s="1516"/>
      <c r="U398" s="1516"/>
      <c r="V398" s="1516"/>
      <c r="W398" s="1516"/>
      <c r="X398" s="1516"/>
    </row>
    <row r="399" spans="10:24" s="1517" customFormat="1">
      <c r="J399" s="1516"/>
      <c r="K399" s="1516"/>
      <c r="L399" s="1516"/>
      <c r="M399" s="1516"/>
      <c r="N399" s="1516"/>
      <c r="O399" s="1516"/>
      <c r="P399" s="1516"/>
      <c r="Q399" s="1516"/>
      <c r="R399" s="1516"/>
      <c r="S399" s="1516"/>
      <c r="T399" s="1516"/>
      <c r="U399" s="1516"/>
      <c r="V399" s="1516"/>
      <c r="W399" s="1516"/>
      <c r="X399" s="1516"/>
    </row>
    <row r="400" spans="10:24" s="1517" customFormat="1">
      <c r="J400" s="1516"/>
      <c r="K400" s="1516"/>
      <c r="L400" s="1516"/>
      <c r="M400" s="1516"/>
      <c r="N400" s="1516"/>
      <c r="O400" s="1516"/>
      <c r="P400" s="1516"/>
      <c r="Q400" s="1516"/>
      <c r="R400" s="1516"/>
      <c r="S400" s="1516"/>
      <c r="T400" s="1516"/>
      <c r="U400" s="1516"/>
      <c r="V400" s="1516"/>
      <c r="W400" s="1516"/>
      <c r="X400" s="1516"/>
    </row>
    <row r="401" spans="6:24" s="1517" customFormat="1">
      <c r="J401" s="1516"/>
      <c r="K401" s="1516"/>
      <c r="L401" s="1516"/>
      <c r="M401" s="1516"/>
      <c r="N401" s="1516"/>
      <c r="O401" s="1516"/>
      <c r="P401" s="1516"/>
      <c r="Q401" s="1516"/>
      <c r="R401" s="1516"/>
      <c r="S401" s="1516"/>
      <c r="T401" s="1516"/>
      <c r="U401" s="1516"/>
      <c r="V401" s="1516"/>
      <c r="W401" s="1516"/>
      <c r="X401" s="1516"/>
    </row>
    <row r="402" spans="6:24" s="1517" customFormat="1">
      <c r="J402" s="1516"/>
      <c r="K402" s="1516"/>
      <c r="L402" s="1516"/>
      <c r="M402" s="1516"/>
      <c r="N402" s="1516"/>
      <c r="O402" s="1516"/>
      <c r="P402" s="1516"/>
      <c r="Q402" s="1516"/>
      <c r="R402" s="1516"/>
      <c r="S402" s="1516"/>
      <c r="T402" s="1516"/>
      <c r="U402" s="1516"/>
      <c r="V402" s="1516"/>
      <c r="W402" s="1516"/>
      <c r="X402" s="1516"/>
    </row>
    <row r="403" spans="6:24" s="1517" customFormat="1">
      <c r="F403" s="1518"/>
      <c r="G403" s="1518"/>
      <c r="H403" s="1518"/>
      <c r="I403" s="1518"/>
      <c r="J403" s="1516"/>
      <c r="K403" s="1516"/>
      <c r="L403" s="1516"/>
      <c r="M403" s="1516"/>
      <c r="N403" s="1516"/>
      <c r="O403" s="1516"/>
      <c r="P403" s="1516"/>
      <c r="Q403" s="1516"/>
      <c r="R403" s="1516"/>
      <c r="S403" s="1516"/>
      <c r="T403" s="1516"/>
      <c r="U403" s="1516"/>
      <c r="V403" s="1516"/>
      <c r="W403" s="1516"/>
      <c r="X403" s="15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29" sqref="B29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3"/>
      <c r="J1" s="1443"/>
      <c r="K1" s="1443"/>
      <c r="L1" s="1443"/>
    </row>
    <row r="2" spans="1:18" ht="15.75" customHeight="1">
      <c r="A2" s="1389" t="s">
        <v>230</v>
      </c>
      <c r="B2" s="1390"/>
      <c r="C2" s="1391"/>
      <c r="D2" s="1677" t="s">
        <v>231</v>
      </c>
      <c r="E2" s="1678"/>
      <c r="F2" s="1678"/>
      <c r="G2" s="1678"/>
      <c r="H2" s="1679"/>
      <c r="I2" s="1482"/>
      <c r="J2" s="1482"/>
      <c r="K2" s="1443"/>
      <c r="L2" s="1443"/>
      <c r="N2" s="1483" t="s">
        <v>232</v>
      </c>
      <c r="O2" s="1484">
        <f>SUMPRODUCT((N6:N12=B20)*(O5:Q5=B21)*(O6:Q12))</f>
        <v>50</v>
      </c>
    </row>
    <row r="3" spans="1:18" ht="15.75" customHeight="1">
      <c r="A3" s="1392" t="s">
        <v>233</v>
      </c>
      <c r="B3" s="1393">
        <v>37194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5"/>
      <c r="J3" s="1486"/>
      <c r="K3" s="1443"/>
      <c r="L3" s="1443"/>
      <c r="N3" s="1487" t="s">
        <v>238</v>
      </c>
      <c r="O3" s="1488">
        <f>IF(B22="",O2,YEAR(B3)-B22)</f>
        <v>0</v>
      </c>
    </row>
    <row r="4" spans="1:18" ht="15.75" customHeight="1">
      <c r="A4" s="1397" t="s">
        <v>239</v>
      </c>
      <c r="B4" s="1393">
        <f>B3</f>
        <v>37194</v>
      </c>
      <c r="C4" s="1391"/>
      <c r="D4" s="1398" t="s">
        <v>240</v>
      </c>
      <c r="E4" s="1399" t="s">
        <v>191</v>
      </c>
      <c r="F4" s="1400">
        <f ca="1">F5+F8+F9+F10</f>
        <v>710</v>
      </c>
      <c r="G4" s="1401"/>
      <c r="H4" s="1402" t="s">
        <v>241</v>
      </c>
      <c r="I4" s="1442"/>
      <c r="J4" s="1443"/>
      <c r="K4" s="1443"/>
      <c r="L4" s="1443"/>
      <c r="N4" s="1487" t="s">
        <v>242</v>
      </c>
      <c r="O4" s="1489">
        <f>SUMIF(N6:N12,B20,R6:R12)</f>
        <v>0.02</v>
      </c>
      <c r="P4" s="1490"/>
      <c r="Q4" s="1490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 ca="1">IF(B4&lt;DATE(2002,12,10),F6,F6-F7)</f>
        <v>710</v>
      </c>
      <c r="G5" s="1406"/>
      <c r="H5" s="1407" t="s">
        <v>244</v>
      </c>
      <c r="I5" s="1442"/>
      <c r="J5" s="1443"/>
      <c r="K5" s="1443"/>
      <c r="L5" s="1443"/>
      <c r="N5" s="1491" t="s">
        <v>245</v>
      </c>
      <c r="O5" s="1492" t="s">
        <v>73</v>
      </c>
      <c r="P5" s="1492" t="s">
        <v>84</v>
      </c>
      <c r="Q5" s="1492" t="s">
        <v>61</v>
      </c>
      <c r="R5" s="1492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 ca="1">IF(B4&lt;DATE(2002,12,10),'1993基准地价'!B3,IF(B4&gt;=DATE(2014,8,28),'2014基准地价'!B3,'2002基准地价'!B3))</f>
        <v>710</v>
      </c>
      <c r="G6" s="1406"/>
      <c r="H6" s="1410" t="str">
        <f>"采用"&amp;IF(B4&lt;DATE(2002,12,10),"1993版",IF(B4&gt;=DATE(2014,8,28),"2014版","2002版"))&amp;"基准地价系数修正法计算"</f>
        <v>采用1993版基准地价系数修正法计算</v>
      </c>
      <c r="I6" s="1493" t="s">
        <v>249</v>
      </c>
      <c r="J6" s="1443"/>
      <c r="K6" s="1443"/>
      <c r="L6" s="1443"/>
      <c r="N6" s="1491" t="s">
        <v>60</v>
      </c>
      <c r="O6" s="1494">
        <v>70</v>
      </c>
      <c r="P6" s="1494">
        <v>50</v>
      </c>
      <c r="Q6" s="1494">
        <v>80</v>
      </c>
      <c r="R6" s="1511">
        <v>0</v>
      </c>
    </row>
    <row r="7" spans="1:18" ht="15.75" customHeight="1">
      <c r="A7" s="1397" t="s">
        <v>250</v>
      </c>
      <c r="B7" s="1408">
        <v>260.94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100</v>
      </c>
      <c r="G7" s="1411"/>
      <c r="H7" s="1412"/>
      <c r="I7" s="1495" t="s">
        <v>253</v>
      </c>
      <c r="J7" s="1443"/>
      <c r="K7" s="1443"/>
      <c r="L7" s="1443"/>
      <c r="N7" s="1491" t="s">
        <v>72</v>
      </c>
      <c r="O7" s="1494">
        <v>50</v>
      </c>
      <c r="P7" s="1494">
        <v>35</v>
      </c>
      <c r="Q7" s="1494">
        <v>60</v>
      </c>
      <c r="R7" s="1511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 ca="1">ROUND(F5*G8,0)</f>
        <v>0</v>
      </c>
      <c r="G8" s="1416"/>
      <c r="H8" s="1417"/>
      <c r="I8" s="1442" t="s">
        <v>256</v>
      </c>
      <c r="J8" s="1443"/>
      <c r="K8" s="1443"/>
      <c r="L8" s="1443"/>
      <c r="N8" s="1491" t="s">
        <v>83</v>
      </c>
      <c r="O8" s="1494">
        <v>40</v>
      </c>
      <c r="P8" s="1494">
        <v>30</v>
      </c>
      <c r="Q8" s="1494">
        <v>50</v>
      </c>
      <c r="R8" s="1511">
        <v>0.02</v>
      </c>
    </row>
    <row r="9" spans="1:18" ht="15.75" customHeight="1">
      <c r="A9" s="1397" t="s">
        <v>257</v>
      </c>
      <c r="B9" s="1408">
        <v>1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6"/>
      <c r="J9" s="1497"/>
      <c r="K9" s="1443"/>
      <c r="L9" s="1443"/>
      <c r="N9" s="1491" t="s">
        <v>93</v>
      </c>
      <c r="O9" s="1494">
        <v>30</v>
      </c>
      <c r="P9" s="1494">
        <v>20</v>
      </c>
      <c r="Q9" s="1494">
        <v>40</v>
      </c>
      <c r="R9" s="1511">
        <v>0.06</v>
      </c>
    </row>
    <row r="10" spans="1:18" ht="15.75" customHeight="1">
      <c r="A10" s="1397" t="s">
        <v>25</v>
      </c>
      <c r="B10" s="1646" t="s">
        <v>113</v>
      </c>
      <c r="C10" s="1391"/>
      <c r="D10" s="1420">
        <v>4</v>
      </c>
      <c r="E10" s="1421" t="s">
        <v>259</v>
      </c>
      <c r="F10" s="1422">
        <f ca="1">ROUND((F5+F8)*G10,0)</f>
        <v>0</v>
      </c>
      <c r="G10" s="1423"/>
      <c r="H10" s="1424" t="s">
        <v>260</v>
      </c>
      <c r="I10" s="1498" t="s">
        <v>261</v>
      </c>
      <c r="J10" s="1499"/>
      <c r="K10" s="1443"/>
      <c r="L10" s="1443"/>
      <c r="N10" s="1491" t="s">
        <v>101</v>
      </c>
      <c r="O10" s="1494">
        <v>30</v>
      </c>
      <c r="P10" s="1494">
        <v>20</v>
      </c>
      <c r="Q10" s="1494">
        <v>40</v>
      </c>
      <c r="R10" s="1511">
        <v>0.04</v>
      </c>
    </row>
    <row r="11" spans="1:18" ht="15.75" customHeight="1">
      <c r="A11" s="1397" t="s">
        <v>262</v>
      </c>
      <c r="B11" s="1425"/>
      <c r="C11" s="1391"/>
      <c r="D11" s="1426" t="s">
        <v>263</v>
      </c>
      <c r="E11" s="1427" t="s">
        <v>192</v>
      </c>
      <c r="F11" s="1400">
        <f ca="1">F12+F20+F21+F22</f>
        <v>1543</v>
      </c>
      <c r="G11" s="1428"/>
      <c r="H11" s="1429" t="s">
        <v>241</v>
      </c>
      <c r="I11" s="1442"/>
      <c r="J11" s="1443"/>
      <c r="K11" s="1443"/>
      <c r="L11" s="1443"/>
      <c r="N11" s="1491" t="s">
        <v>106</v>
      </c>
      <c r="O11" s="1494">
        <v>30</v>
      </c>
      <c r="P11" s="1494">
        <v>20</v>
      </c>
      <c r="Q11" s="1494">
        <v>40</v>
      </c>
      <c r="R11" s="1511">
        <v>0.03</v>
      </c>
    </row>
    <row r="12" spans="1:18" ht="15.75" customHeight="1">
      <c r="A12" s="1397" t="s">
        <v>264</v>
      </c>
      <c r="B12" s="1430" t="s">
        <v>53</v>
      </c>
      <c r="C12" s="1391"/>
      <c r="D12" s="1414">
        <v>1</v>
      </c>
      <c r="E12" s="1397" t="s">
        <v>265</v>
      </c>
      <c r="F12" s="1415">
        <f>F13+F16+F17</f>
        <v>1500</v>
      </c>
      <c r="G12" s="1431"/>
      <c r="H12" s="1432" t="s">
        <v>266</v>
      </c>
      <c r="I12" s="1442"/>
      <c r="J12" s="1443"/>
      <c r="K12" s="1443"/>
      <c r="L12" s="1443"/>
      <c r="N12" s="1491" t="s">
        <v>111</v>
      </c>
      <c r="O12" s="1494">
        <v>10</v>
      </c>
      <c r="P12" s="1494">
        <v>10</v>
      </c>
      <c r="Q12" s="1494">
        <v>10</v>
      </c>
      <c r="R12" s="1511">
        <v>0</v>
      </c>
    </row>
    <row r="13" spans="1:18" ht="15.75" customHeight="1">
      <c r="A13" s="1397" t="s">
        <v>267</v>
      </c>
      <c r="B13" s="1433">
        <v>70</v>
      </c>
      <c r="C13" s="1391"/>
      <c r="D13" s="1409" t="s">
        <v>247</v>
      </c>
      <c r="E13" s="1397" t="s">
        <v>268</v>
      </c>
      <c r="F13" s="1415">
        <f>F14+F15</f>
        <v>1500</v>
      </c>
      <c r="G13" s="1431"/>
      <c r="H13" s="1432" t="s">
        <v>269</v>
      </c>
      <c r="I13" s="1442"/>
      <c r="J13" s="1443"/>
      <c r="K13" s="1443"/>
      <c r="L13" s="1443"/>
    </row>
    <row r="14" spans="1:18" ht="15.75" customHeight="1">
      <c r="A14" s="1397" t="s">
        <v>270</v>
      </c>
      <c r="B14" s="1434"/>
      <c r="C14" s="1391"/>
      <c r="D14" s="1414" t="s">
        <v>271</v>
      </c>
      <c r="E14" s="1397" t="s">
        <v>201</v>
      </c>
      <c r="F14" s="1435">
        <v>1500</v>
      </c>
      <c r="G14" s="1436"/>
      <c r="H14" s="1410"/>
      <c r="I14" s="1442"/>
      <c r="J14" s="1443"/>
      <c r="K14" s="1443"/>
      <c r="L14" s="1443"/>
    </row>
    <row r="15" spans="1:18" ht="15.75" customHeight="1">
      <c r="A15" s="1397" t="s">
        <v>272</v>
      </c>
      <c r="B15" s="1437">
        <f>IF(B14="",B13-(YEAR($B$4)-B22+B23+B24),ROUNDDOWN(MIN((B14-$B$4)/365,B13),2))</f>
        <v>69</v>
      </c>
      <c r="C15" s="1391"/>
      <c r="D15" s="1414" t="s">
        <v>273</v>
      </c>
      <c r="E15" s="1397" t="s">
        <v>203</v>
      </c>
      <c r="F15" s="1435"/>
      <c r="G15" s="1436"/>
      <c r="H15" s="1410"/>
      <c r="I15" s="1442"/>
      <c r="J15" s="1443"/>
      <c r="K15" s="1443"/>
      <c r="L15" s="1443"/>
    </row>
    <row r="16" spans="1:18" ht="15.75" customHeight="1">
      <c r="A16" s="1397" t="s">
        <v>274</v>
      </c>
      <c r="B16" s="1408">
        <v>70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8"/>
      <c r="H16" s="1439" t="s">
        <v>276</v>
      </c>
      <c r="I16" s="1496" t="s">
        <v>277</v>
      </c>
      <c r="J16" s="1443"/>
      <c r="K16" s="1443"/>
      <c r="L16" s="1443"/>
    </row>
    <row r="17" spans="1:18" ht="15.75" customHeight="1">
      <c r="A17" s="1397" t="s">
        <v>278</v>
      </c>
      <c r="B17" s="1440">
        <f ca="1">IF(B4&lt;DATE(2002,12,10),'1993基准地价'!C23,IF(B4&gt;=DATE(2014,8,28),'2014基准地价'!G20,'2002基准地价'!E10))</f>
        <v>4.3200000000000002E-2</v>
      </c>
      <c r="C17" s="1391"/>
      <c r="D17" s="1409" t="s">
        <v>279</v>
      </c>
      <c r="E17" s="1397" t="s">
        <v>280</v>
      </c>
      <c r="F17" s="1415">
        <f>F18+F19</f>
        <v>0</v>
      </c>
      <c r="G17" s="1431"/>
      <c r="H17" s="1432" t="s">
        <v>269</v>
      </c>
      <c r="I17" s="1443"/>
      <c r="J17" s="1443"/>
      <c r="K17" s="1443"/>
      <c r="L17" s="1443"/>
    </row>
    <row r="18" spans="1:18" ht="15.75" customHeight="1">
      <c r="A18" s="1397" t="s">
        <v>281</v>
      </c>
      <c r="B18" s="1441">
        <f ca="1">IF(ISERROR(ROUND(POWER(1+B17,B13-B15)*(POWER(1+B17,B15)-1)/(POWER(1+B17,B13)-1),3)),0,ROUND(POWER(1+B17,B13-B15)*(POWER(1+B17,B15)-1)/(POWER(1+B17,B13)-1),3))</f>
        <v>0.998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8"/>
      <c r="H18" s="1439" t="s">
        <v>276</v>
      </c>
      <c r="I18" s="1496" t="s">
        <v>283</v>
      </c>
      <c r="J18" s="1443" t="s">
        <v>284</v>
      </c>
      <c r="K18" s="1443"/>
      <c r="L18" s="1443"/>
    </row>
    <row r="19" spans="1:18" ht="15.75" customHeight="1">
      <c r="A19" s="1442"/>
      <c r="B19" s="1443"/>
      <c r="C19" s="1391"/>
      <c r="D19" s="1414" t="s">
        <v>273</v>
      </c>
      <c r="E19" s="1397" t="s">
        <v>285</v>
      </c>
      <c r="F19" s="1405">
        <f>ROUND(F13*G19,0)</f>
        <v>0</v>
      </c>
      <c r="G19" s="1438"/>
      <c r="H19" s="1439" t="s">
        <v>276</v>
      </c>
      <c r="I19" s="1496" t="s">
        <v>286</v>
      </c>
      <c r="J19" s="1443"/>
      <c r="K19" s="1443"/>
      <c r="L19" s="1443"/>
    </row>
    <row r="20" spans="1:18" ht="15.75" customHeight="1">
      <c r="A20" s="1397" t="s">
        <v>287</v>
      </c>
      <c r="B20" s="1444" t="s">
        <v>83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6" t="s">
        <v>288</v>
      </c>
      <c r="J20" s="1443"/>
      <c r="K20" s="1443"/>
      <c r="L20" s="1443"/>
    </row>
    <row r="21" spans="1:18" ht="15.75" customHeight="1">
      <c r="A21" s="1397" t="s">
        <v>47</v>
      </c>
      <c r="B21" s="1445" t="s">
        <v>61</v>
      </c>
      <c r="C21" s="1391"/>
      <c r="D21" s="1446">
        <v>3</v>
      </c>
      <c r="E21" s="1447" t="s">
        <v>258</v>
      </c>
      <c r="F21" s="1448">
        <f ca="1">ROUND((F12+F20)*(POWER((1+G21),B23/2)-1),0)</f>
        <v>43</v>
      </c>
      <c r="G21" s="1449">
        <f ca="1">存贷款利率!G1</f>
        <v>5.8499999999999996E-2</v>
      </c>
      <c r="H21" s="1419" t="str">
        <f>"计息期为"&amp;B23&amp;"年，"&amp;"复利计息"</f>
        <v>计息期为1年，复利计息</v>
      </c>
      <c r="I21" s="1500"/>
      <c r="J21" s="1485"/>
      <c r="K21" s="1443"/>
      <c r="L21" s="1443"/>
    </row>
    <row r="22" spans="1:18" ht="15.75" customHeight="1">
      <c r="A22" s="1397" t="s">
        <v>289</v>
      </c>
      <c r="B22" s="1450">
        <v>2001</v>
      </c>
      <c r="C22" s="1391"/>
      <c r="D22" s="1420">
        <v>4</v>
      </c>
      <c r="E22" s="1421" t="s">
        <v>259</v>
      </c>
      <c r="F22" s="1422">
        <f>ROUND((F12+F20)*G22,0)</f>
        <v>0</v>
      </c>
      <c r="G22" s="1423"/>
      <c r="H22" s="1424" t="s">
        <v>260</v>
      </c>
      <c r="I22" s="1500" t="str">
        <f>IF(B12="商业","商业用途35%-50%",IF(B12="工业","工业用途18%-28%",IF(B12="办公/综合","办公用途25%-40%","居住用途30%-50%")))</f>
        <v>居住用途30%-50%</v>
      </c>
      <c r="J22" s="1443"/>
      <c r="K22" s="1443"/>
      <c r="L22" s="1443"/>
    </row>
    <row r="23" spans="1:18" ht="15.75" customHeight="1">
      <c r="A23" s="1397" t="s">
        <v>290</v>
      </c>
      <c r="B23" s="1451">
        <v>1</v>
      </c>
      <c r="C23" s="1443"/>
      <c r="D23" s="1426" t="s">
        <v>291</v>
      </c>
      <c r="E23" s="1427" t="s">
        <v>292</v>
      </c>
      <c r="F23" s="1400"/>
      <c r="G23" s="1452"/>
      <c r="H23" s="1453"/>
      <c r="I23" s="1501"/>
      <c r="J23" s="1443"/>
      <c r="K23" s="1443"/>
      <c r="L23" s="1443"/>
    </row>
    <row r="24" spans="1:18" ht="15.75" customHeight="1">
      <c r="A24" s="1397" t="s">
        <v>293</v>
      </c>
      <c r="B24" s="1451">
        <v>0</v>
      </c>
      <c r="C24" s="1443"/>
      <c r="D24" s="1404">
        <v>1</v>
      </c>
      <c r="E24" s="1392" t="s">
        <v>294</v>
      </c>
      <c r="F24" s="1405">
        <f ca="1">F4+F11</f>
        <v>2253</v>
      </c>
      <c r="G24" s="1454"/>
      <c r="H24" s="1417"/>
      <c r="I24" s="1501"/>
      <c r="J24" s="1443"/>
      <c r="K24" s="1443"/>
      <c r="L24" s="1443"/>
    </row>
    <row r="25" spans="1:18" ht="15.75" customHeight="1">
      <c r="A25" s="1455"/>
      <c r="B25" s="1443"/>
      <c r="C25" s="1443"/>
      <c r="D25" s="1456">
        <v>2</v>
      </c>
      <c r="E25" s="1457" t="s">
        <v>295</v>
      </c>
      <c r="F25" s="1458">
        <f ca="1">ROUND(F24*B7/10000,4)</f>
        <v>58.7898</v>
      </c>
      <c r="G25" s="1459"/>
      <c r="H25" s="1460"/>
      <c r="I25" s="1501"/>
      <c r="J25" s="1443"/>
      <c r="K25" s="1443"/>
      <c r="L25" s="1443"/>
    </row>
    <row r="26" spans="1:18" ht="15.75" customHeight="1">
      <c r="A26" s="1455"/>
      <c r="B26" s="1443"/>
      <c r="C26" s="1443"/>
      <c r="D26" s="1680" t="s">
        <v>296</v>
      </c>
      <c r="E26" s="1681"/>
      <c r="F26" s="1681"/>
      <c r="G26" s="1681"/>
      <c r="H26" s="1682"/>
      <c r="I26" s="1442"/>
      <c r="J26" s="1482"/>
      <c r="K26" s="1443"/>
      <c r="L26" s="1443"/>
    </row>
    <row r="27" spans="1:18" ht="15.75" customHeight="1">
      <c r="A27" s="1455"/>
      <c r="B27" s="1443"/>
      <c r="C27" s="1443"/>
      <c r="D27" s="1461" t="s">
        <v>234</v>
      </c>
      <c r="E27" s="1462" t="s">
        <v>235</v>
      </c>
      <c r="F27" s="1395" t="s">
        <v>297</v>
      </c>
      <c r="G27" s="1395" t="s">
        <v>298</v>
      </c>
      <c r="H27" s="1463"/>
      <c r="I27" s="1502"/>
      <c r="J27" s="1485"/>
      <c r="K27" s="1443"/>
      <c r="L27" s="1443"/>
    </row>
    <row r="28" spans="1:18" ht="15.75" customHeight="1">
      <c r="A28" s="1455"/>
      <c r="B28" s="1443"/>
      <c r="C28" s="1443"/>
      <c r="D28" s="1404" t="s">
        <v>240</v>
      </c>
      <c r="E28" s="1392" t="s">
        <v>299</v>
      </c>
      <c r="F28" s="1464">
        <f>ROUND(IF(AND(B12&lt;&gt;"住宅/居住",B13&lt;O2),1-(1-O4)*O3/B13,1-(1-O4)*O3/O2),2)</f>
        <v>1</v>
      </c>
      <c r="G28" s="1465"/>
      <c r="H28" s="1466"/>
      <c r="I28" s="1442" t="s">
        <v>300</v>
      </c>
      <c r="J28" s="1443"/>
      <c r="K28" s="1443"/>
      <c r="L28" s="1443"/>
    </row>
    <row r="29" spans="1:18" ht="15.75" customHeight="1">
      <c r="A29" s="1455"/>
      <c r="B29" s="1443"/>
      <c r="C29" s="1443"/>
      <c r="D29" s="1404" t="s">
        <v>301</v>
      </c>
      <c r="E29" s="1392" t="s">
        <v>302</v>
      </c>
      <c r="F29" s="1464">
        <f>ROUND((F30*G30+F31*G31+F32*G32)/100,2)</f>
        <v>1</v>
      </c>
      <c r="G29" s="1464">
        <f>1-G28</f>
        <v>1</v>
      </c>
      <c r="H29" s="1410"/>
      <c r="I29" s="1442"/>
      <c r="J29" s="1443"/>
      <c r="K29" s="1443"/>
      <c r="L29" s="1443"/>
      <c r="N29" s="1503"/>
      <c r="O29" s="1504" t="s">
        <v>303</v>
      </c>
      <c r="P29" s="1504" t="s">
        <v>83</v>
      </c>
      <c r="Q29" s="1504" t="s">
        <v>72</v>
      </c>
      <c r="R29" s="1512" t="s">
        <v>60</v>
      </c>
    </row>
    <row r="30" spans="1:18" ht="15.75" customHeight="1">
      <c r="A30" s="1455"/>
      <c r="B30" s="1443"/>
      <c r="C30" s="1443"/>
      <c r="D30" s="1404">
        <v>1</v>
      </c>
      <c r="E30" s="1467" t="s">
        <v>304</v>
      </c>
      <c r="F30" s="1468">
        <v>100</v>
      </c>
      <c r="G30" s="1464">
        <f>IF(ISNUMBER(FIND("砖木",B20)),O30,SUMPRODUCT((N30:N32=E30)*(O29:R29=B20)*(O30:R32)))</f>
        <v>0.2</v>
      </c>
      <c r="H30" s="1466"/>
      <c r="I30" s="1676" t="s">
        <v>305</v>
      </c>
      <c r="J30" s="1505"/>
      <c r="K30" s="1443"/>
      <c r="L30" s="1443"/>
      <c r="N30" s="1506" t="s">
        <v>304</v>
      </c>
      <c r="O30" s="1507">
        <v>0.2</v>
      </c>
      <c r="P30" s="1507">
        <v>0.2</v>
      </c>
      <c r="Q30" s="1507">
        <v>0.2</v>
      </c>
      <c r="R30" s="1513">
        <v>0.25</v>
      </c>
    </row>
    <row r="31" spans="1:18" ht="15.75" customHeight="1">
      <c r="A31" s="1455"/>
      <c r="B31" s="1443"/>
      <c r="C31" s="1443"/>
      <c r="D31" s="1404">
        <v>2</v>
      </c>
      <c r="E31" s="1467" t="s">
        <v>306</v>
      </c>
      <c r="F31" s="1405">
        <f>F30</f>
        <v>100</v>
      </c>
      <c r="G31" s="1464">
        <f>IF(ISNUMBER(FIND("砖木",B20)),O31,SUMPRODUCT((N30:N32=E31)*(O29:R29=B20)*(O30:R32)))</f>
        <v>0.45</v>
      </c>
      <c r="H31" s="1466"/>
      <c r="I31" s="1676"/>
      <c r="J31" s="1505"/>
      <c r="K31" s="1443"/>
      <c r="L31" s="1443"/>
      <c r="N31" s="1506" t="s">
        <v>306</v>
      </c>
      <c r="O31" s="1507">
        <v>0.55000000000000004</v>
      </c>
      <c r="P31" s="1507">
        <v>0.45</v>
      </c>
      <c r="Q31" s="1507">
        <v>0.5</v>
      </c>
      <c r="R31" s="1513">
        <v>0.55000000000000004</v>
      </c>
    </row>
    <row r="32" spans="1:18" ht="15.75" customHeight="1">
      <c r="A32" s="1455"/>
      <c r="B32" s="1443"/>
      <c r="C32" s="1443"/>
      <c r="D32" s="1404">
        <v>3</v>
      </c>
      <c r="E32" s="1467" t="s">
        <v>307</v>
      </c>
      <c r="F32" s="1405">
        <f>F31</f>
        <v>100</v>
      </c>
      <c r="G32" s="1464">
        <f>IF(ISNUMBER(FIND("砖木",B20)),O32,SUMPRODUCT((N30:N32=E32)*(O29:R29=B20)*(O30:R32)))</f>
        <v>0.35</v>
      </c>
      <c r="H32" s="1466"/>
      <c r="I32" s="1676"/>
      <c r="J32" s="1505"/>
      <c r="K32" s="1443"/>
      <c r="L32" s="1443"/>
      <c r="N32" s="1506" t="s">
        <v>307</v>
      </c>
      <c r="O32" s="1507">
        <v>0.25</v>
      </c>
      <c r="P32" s="1507">
        <v>0.35</v>
      </c>
      <c r="Q32" s="1507">
        <v>0.3</v>
      </c>
      <c r="R32" s="1513">
        <v>0.2</v>
      </c>
    </row>
    <row r="33" spans="1:18" ht="15.75" customHeight="1">
      <c r="A33" s="1455"/>
      <c r="B33" s="1443"/>
      <c r="C33" s="1443"/>
      <c r="D33" s="1469" t="s">
        <v>291</v>
      </c>
      <c r="E33" s="1457" t="s">
        <v>308</v>
      </c>
      <c r="F33" s="1470">
        <f>ROUND(F28*G28+F29*G29,2)</f>
        <v>1</v>
      </c>
      <c r="G33" s="1459"/>
      <c r="H33" s="1460"/>
      <c r="I33" s="1443"/>
      <c r="J33" s="1443"/>
      <c r="K33" s="1443"/>
      <c r="L33" s="1443"/>
      <c r="N33" s="1508"/>
      <c r="O33" s="1509">
        <f>SUM(O30:O32)</f>
        <v>1</v>
      </c>
      <c r="P33" s="1509">
        <f>SUM(P30:P32)</f>
        <v>1</v>
      </c>
      <c r="Q33" s="1509">
        <f>SUM(Q30:Q32)</f>
        <v>1</v>
      </c>
      <c r="R33" s="1514">
        <f>SUM(R30:R32)</f>
        <v>1</v>
      </c>
    </row>
    <row r="34" spans="1:18" ht="15.75" customHeight="1">
      <c r="A34" s="1455"/>
      <c r="B34" s="1443"/>
      <c r="C34" s="1443"/>
      <c r="D34" s="1680" t="s">
        <v>309</v>
      </c>
      <c r="E34" s="1681"/>
      <c r="F34" s="1681"/>
      <c r="G34" s="1681"/>
      <c r="H34" s="1682"/>
      <c r="I34" s="1482"/>
      <c r="J34" s="1482"/>
      <c r="K34" s="1443"/>
      <c r="L34" s="1443"/>
    </row>
    <row r="35" spans="1:18" ht="15.75" customHeight="1">
      <c r="A35" s="1455"/>
      <c r="B35" s="1443"/>
      <c r="C35" s="1443"/>
      <c r="D35" s="1404" t="s">
        <v>240</v>
      </c>
      <c r="E35" s="1471" t="s">
        <v>218</v>
      </c>
      <c r="F35" s="1472">
        <f ca="1">ROUND(F24*F33,0)</f>
        <v>2253</v>
      </c>
      <c r="G35" s="1683" t="s">
        <v>310</v>
      </c>
      <c r="H35" s="1684"/>
      <c r="I35" s="1486"/>
      <c r="J35" s="1486"/>
      <c r="K35" s="1443"/>
      <c r="L35" s="1443"/>
    </row>
    <row r="36" spans="1:18" ht="15.75" customHeight="1">
      <c r="A36" s="1455"/>
      <c r="B36" s="1443"/>
      <c r="C36" s="1443"/>
      <c r="D36" s="1456" t="s">
        <v>301</v>
      </c>
      <c r="E36" s="1457" t="s">
        <v>311</v>
      </c>
      <c r="F36" s="1473">
        <f ca="1">ROUND(F25*F33,4)</f>
        <v>58.7898</v>
      </c>
      <c r="G36" s="1674" t="s">
        <v>312</v>
      </c>
      <c r="H36" s="1675"/>
      <c r="I36" s="1486"/>
      <c r="J36" s="1486"/>
      <c r="K36" s="1443"/>
      <c r="L36" s="1443"/>
    </row>
    <row r="37" spans="1:18" ht="15.75" customHeight="1">
      <c r="A37" s="1455"/>
      <c r="B37" s="1443"/>
    </row>
    <row r="38" spans="1:18" ht="15.75" customHeight="1">
      <c r="A38" s="1455"/>
      <c r="B38" s="1443"/>
    </row>
    <row r="39" spans="1:18" ht="15.75" customHeight="1">
      <c r="A39" s="1455"/>
      <c r="B39" s="1443"/>
    </row>
    <row r="43" spans="1:18" ht="15.75" customHeight="1">
      <c r="N43" s="1510"/>
      <c r="O43" s="1510"/>
    </row>
    <row r="44" spans="1:18" ht="15.75" customHeight="1">
      <c r="N44" s="1510"/>
      <c r="O44" s="1510"/>
    </row>
    <row r="45" spans="1:18" ht="15.75" customHeight="1">
      <c r="N45" s="1510"/>
      <c r="O45" s="1510"/>
    </row>
    <row r="46" spans="1:18" ht="15.75" customHeight="1">
      <c r="N46" s="1510"/>
      <c r="O46" s="1510"/>
    </row>
    <row r="51" spans="1:13" ht="15.75" customHeight="1">
      <c r="G51" s="1474" t="s">
        <v>313</v>
      </c>
    </row>
    <row r="52" spans="1:13" ht="15.75" customHeight="1">
      <c r="C52" s="1475" t="s">
        <v>314</v>
      </c>
      <c r="D52" s="1475"/>
      <c r="E52" s="1475"/>
      <c r="F52" s="1475"/>
      <c r="G52" s="1476" t="s">
        <v>315</v>
      </c>
      <c r="I52" s="1510"/>
      <c r="J52" s="1510"/>
      <c r="K52" s="1510"/>
      <c r="L52" s="1510"/>
      <c r="M52" s="1510"/>
    </row>
    <row r="53" spans="1:13" ht="15.75" customHeight="1">
      <c r="A53" s="1477" t="s">
        <v>239</v>
      </c>
      <c r="B53" s="1475" t="s">
        <v>316</v>
      </c>
      <c r="C53" s="1478" t="s">
        <v>317</v>
      </c>
      <c r="D53" s="1478"/>
      <c r="E53" s="1478"/>
      <c r="F53" s="1478"/>
      <c r="G53" s="1476" t="s">
        <v>318</v>
      </c>
      <c r="I53" s="1510"/>
      <c r="J53" s="1510"/>
      <c r="K53" s="1510"/>
      <c r="L53" s="1510"/>
      <c r="M53" s="1510"/>
    </row>
    <row r="54" spans="1:13" ht="15.75" customHeight="1">
      <c r="A54" s="1479" t="s">
        <v>319</v>
      </c>
      <c r="B54" s="1478" t="s">
        <v>320</v>
      </c>
      <c r="C54" s="1478" t="s">
        <v>321</v>
      </c>
      <c r="D54" s="1478"/>
      <c r="E54" s="1478"/>
      <c r="F54" s="1478"/>
      <c r="G54" s="1476" t="s">
        <v>322</v>
      </c>
      <c r="I54" s="1510"/>
      <c r="J54" s="1510"/>
      <c r="K54" s="1510"/>
      <c r="L54" s="1510"/>
      <c r="M54" s="1510"/>
    </row>
    <row r="55" spans="1:13" ht="15.75" customHeight="1">
      <c r="A55" s="1479" t="s">
        <v>323</v>
      </c>
      <c r="B55" s="1478" t="s">
        <v>324</v>
      </c>
      <c r="C55" s="1478" t="s">
        <v>325</v>
      </c>
      <c r="D55" s="1478"/>
      <c r="E55" s="1478"/>
      <c r="F55" s="1478"/>
      <c r="G55" s="1476" t="s">
        <v>326</v>
      </c>
      <c r="I55" s="1510"/>
      <c r="J55" s="1510"/>
      <c r="K55" s="1510"/>
      <c r="L55" s="1510"/>
      <c r="M55" s="1510"/>
    </row>
    <row r="56" spans="1:13" ht="15.75" customHeight="1">
      <c r="A56" s="1479" t="s">
        <v>327</v>
      </c>
      <c r="B56" s="1478" t="s">
        <v>328</v>
      </c>
    </row>
    <row r="57" spans="1:13" ht="15.75" customHeight="1">
      <c r="A57" s="1480"/>
      <c r="B57" s="1481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260.94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八级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-103</v>
      </c>
      <c r="D5" s="1165">
        <f>ROUND(C6+C16,0)</f>
        <v>-103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90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1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1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1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1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90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2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2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3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90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-103</v>
      </c>
      <c r="D16" s="1685" t="s">
        <v>370</v>
      </c>
      <c r="E16" s="1686"/>
      <c r="F16" s="1685" t="s">
        <v>371</v>
      </c>
      <c r="G16" s="1687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4"/>
      <c r="B17" s="1208" t="s">
        <v>372</v>
      </c>
      <c r="C17" s="1209">
        <f>SUMPRODUCT(('2014修正'!A2:A5=E2)*('2014修正'!B1:M1=G2)*('2014修正'!B2:M5))</f>
        <v>1.5</v>
      </c>
      <c r="D17" s="1210" t="str">
        <f>IF(OR(G2="八级",G2="九级",G2="十级",G2="十一级",G2="十二级"),"五通一平","七通一平")</f>
        <v>五通一平</v>
      </c>
      <c r="E17" s="1211">
        <f>SUMPRODUCT(('2014修正'!B1:M1=G2)*('2014修正'!B15:M15))</f>
        <v>155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48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37194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0.99929999999999997</v>
      </c>
      <c r="D20" s="1230" t="s">
        <v>387</v>
      </c>
      <c r="E20" s="1231">
        <f ca="1">INDIRECT("'存贷款利率'!e"&amp;存贷款利率!$K$4)/100</f>
        <v>5.8499999999999996E-2</v>
      </c>
      <c r="F20" s="1206" t="s">
        <v>278</v>
      </c>
      <c r="G20" s="1232">
        <f ca="1">SUMIF(P18:S18,E2,P20:S20)</f>
        <v>6.7000000000000004E-2</v>
      </c>
      <c r="H20" s="1233" t="s">
        <v>272</v>
      </c>
      <c r="I20" s="1328">
        <f>IF(H20="剩余土地使用年限",主表!B15,主表!B16)</f>
        <v>69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7.2999999999999995E-2</v>
      </c>
      <c r="Q20" s="1331">
        <f ca="1">ROUND($E$20*(1+Q19),3)</f>
        <v>7.0000000000000007E-2</v>
      </c>
      <c r="R20" s="1331">
        <f ca="1">ROUND($E$20*(1+R19),3)</f>
        <v>6.7000000000000004E-2</v>
      </c>
      <c r="S20" s="997">
        <f ca="1">ROUND($E$20*(1+S19),3)</f>
        <v>6.4000000000000001E-2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5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0.6</v>
      </c>
      <c r="G33" s="17">
        <f ca="1">ROUND(IF(E2="工业",C33*$M$39,C33*$M$38),0)</f>
        <v>0</v>
      </c>
      <c r="H33" s="17">
        <f>D33</f>
        <v>0</v>
      </c>
      <c r="I33" s="17">
        <f t="shared" ref="I33:I39" ca="1" si="1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6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0.3</v>
      </c>
      <c r="G34" s="17">
        <f ca="1">ROUND(IF(E2="工业",C34*$M$39,C34*$M$38),0)</f>
        <v>0</v>
      </c>
      <c r="H34" s="17">
        <f t="shared" ref="H34:H39" si="2">D34</f>
        <v>0</v>
      </c>
      <c r="I34" s="17">
        <f t="shared" ca="1" si="1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6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</v>
      </c>
      <c r="G35" s="17">
        <f ca="1">ROUND(IF(E2="工业",C35*$M$39,C35*$M$38),0)</f>
        <v>0</v>
      </c>
      <c r="H35" s="17">
        <f t="shared" si="2"/>
        <v>0</v>
      </c>
      <c r="I35" s="17">
        <f t="shared" ca="1" si="1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7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</v>
      </c>
      <c r="G36" s="17">
        <f ca="1">ROUND(IF(E2="工业",C36*$M$39,C36*$M$38),0)</f>
        <v>0</v>
      </c>
      <c r="H36" s="17">
        <f t="shared" si="2"/>
        <v>0</v>
      </c>
      <c r="I36" s="17">
        <f t="shared" ca="1" si="1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</v>
      </c>
      <c r="G37" s="17">
        <f ca="1">ROUND(IF(E2="工业",C37*$M$39,C37*$M$38),0)</f>
        <v>0</v>
      </c>
      <c r="H37" s="17">
        <f t="shared" si="2"/>
        <v>0</v>
      </c>
      <c r="I37" s="17">
        <f t="shared" ca="1" si="1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</v>
      </c>
      <c r="G38" s="17">
        <f ca="1">ROUND(IF(E2="工业",C38*$M$39,C38*$M$38),0)</f>
        <v>0</v>
      </c>
      <c r="H38" s="17">
        <f t="shared" si="2"/>
        <v>0</v>
      </c>
      <c r="I38" s="17">
        <f t="shared" ca="1" si="1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0.15</v>
      </c>
      <c r="G39" s="1204">
        <f ca="1">ROUND(IF(E2="工业",C39*$M$39,C39*$M$38),0)</f>
        <v>0</v>
      </c>
      <c r="H39" s="1204">
        <f t="shared" si="2"/>
        <v>0</v>
      </c>
      <c r="I39" s="1204">
        <f t="shared" ca="1" si="1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6.7000000000000004E-2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3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4">IFERROR($F$48*I48/2,"——")</f>
        <v>——</v>
      </c>
      <c r="I48" s="1352">
        <v>0.33</v>
      </c>
      <c r="J48" s="14">
        <f t="shared" ref="J48:J56" si="5">K48+$G48</f>
        <v>0</v>
      </c>
      <c r="K48" s="14">
        <f t="shared" ref="K48:K56" si="6">$L48+$G48</f>
        <v>0</v>
      </c>
      <c r="L48" s="14">
        <v>0</v>
      </c>
      <c r="M48" s="14">
        <f t="shared" ref="M48:N56" si="7">L48-$G48</f>
        <v>0</v>
      </c>
      <c r="N48" s="14">
        <f t="shared" si="7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3"/>
        <v>0</v>
      </c>
      <c r="E49" s="1016"/>
      <c r="F49" s="1292"/>
      <c r="G49" s="1293"/>
      <c r="H49" s="1294" t="str">
        <f t="shared" si="4"/>
        <v>——</v>
      </c>
      <c r="I49" s="1352">
        <v>0.25</v>
      </c>
      <c r="J49" s="14">
        <f t="shared" si="5"/>
        <v>0</v>
      </c>
      <c r="K49" s="14">
        <f t="shared" si="6"/>
        <v>0</v>
      </c>
      <c r="L49" s="14">
        <v>0</v>
      </c>
      <c r="M49" s="14">
        <f t="shared" si="7"/>
        <v>0</v>
      </c>
      <c r="N49" s="14">
        <f t="shared" si="7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3"/>
        <v>0</v>
      </c>
      <c r="E50" s="1016"/>
      <c r="F50" s="1292"/>
      <c r="G50" s="1293"/>
      <c r="H50" s="1294" t="str">
        <f t="shared" si="4"/>
        <v>——</v>
      </c>
      <c r="I50" s="1352">
        <v>0.05</v>
      </c>
      <c r="J50" s="14">
        <f t="shared" si="5"/>
        <v>0</v>
      </c>
      <c r="K50" s="14">
        <f t="shared" si="6"/>
        <v>0</v>
      </c>
      <c r="L50" s="14">
        <v>0</v>
      </c>
      <c r="M50" s="14">
        <f t="shared" si="7"/>
        <v>0</v>
      </c>
      <c r="N50" s="14">
        <f t="shared" si="7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3"/>
        <v>0</v>
      </c>
      <c r="E51" s="1016"/>
      <c r="F51" s="1292"/>
      <c r="G51" s="1293"/>
      <c r="H51" s="1294" t="str">
        <f t="shared" si="4"/>
        <v>——</v>
      </c>
      <c r="I51" s="1352">
        <v>0.05</v>
      </c>
      <c r="J51" s="14">
        <f t="shared" si="5"/>
        <v>0</v>
      </c>
      <c r="K51" s="14">
        <f t="shared" si="6"/>
        <v>0</v>
      </c>
      <c r="L51" s="14">
        <v>0</v>
      </c>
      <c r="M51" s="14">
        <f t="shared" si="7"/>
        <v>0</v>
      </c>
      <c r="N51" s="14">
        <f t="shared" si="7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3"/>
        <v>0</v>
      </c>
      <c r="E52" s="1016"/>
      <c r="F52" s="1292"/>
      <c r="G52" s="1293"/>
      <c r="H52" s="1294" t="str">
        <f t="shared" si="4"/>
        <v>——</v>
      </c>
      <c r="I52" s="1352">
        <v>0.08</v>
      </c>
      <c r="J52" s="14">
        <f t="shared" si="5"/>
        <v>0</v>
      </c>
      <c r="K52" s="14">
        <f t="shared" si="6"/>
        <v>0</v>
      </c>
      <c r="L52" s="14">
        <v>0</v>
      </c>
      <c r="M52" s="14">
        <f t="shared" si="7"/>
        <v>0</v>
      </c>
      <c r="N52" s="14">
        <f t="shared" si="7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3"/>
        <v>0</v>
      </c>
      <c r="E53" s="1016"/>
      <c r="F53" s="1292"/>
      <c r="G53" s="1293"/>
      <c r="H53" s="1294" t="str">
        <f t="shared" si="4"/>
        <v>——</v>
      </c>
      <c r="I53" s="1352">
        <v>0.03</v>
      </c>
      <c r="J53" s="14">
        <f t="shared" si="5"/>
        <v>0</v>
      </c>
      <c r="K53" s="14">
        <f t="shared" si="6"/>
        <v>0</v>
      </c>
      <c r="L53" s="14">
        <v>0</v>
      </c>
      <c r="M53" s="14">
        <f t="shared" si="7"/>
        <v>0</v>
      </c>
      <c r="N53" s="14">
        <f t="shared" si="7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3"/>
        <v>0</v>
      </c>
      <c r="E54" s="1016"/>
      <c r="F54" s="1292"/>
      <c r="G54" s="1293"/>
      <c r="H54" s="1294" t="str">
        <f t="shared" si="4"/>
        <v>——</v>
      </c>
      <c r="I54" s="1352">
        <v>0.05</v>
      </c>
      <c r="J54" s="14">
        <f t="shared" si="5"/>
        <v>0</v>
      </c>
      <c r="K54" s="14">
        <f t="shared" si="6"/>
        <v>0</v>
      </c>
      <c r="L54" s="14">
        <v>0</v>
      </c>
      <c r="M54" s="14">
        <f t="shared" si="7"/>
        <v>0</v>
      </c>
      <c r="N54" s="14">
        <f t="shared" si="7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3"/>
        <v>0</v>
      </c>
      <c r="E55" s="1016"/>
      <c r="F55" s="1292"/>
      <c r="G55" s="1293"/>
      <c r="H55" s="1294" t="str">
        <f t="shared" si="4"/>
        <v>——</v>
      </c>
      <c r="I55" s="1352">
        <v>0.1</v>
      </c>
      <c r="J55" s="14">
        <f t="shared" si="5"/>
        <v>0</v>
      </c>
      <c r="K55" s="14">
        <f t="shared" si="6"/>
        <v>0</v>
      </c>
      <c r="L55" s="14">
        <v>0</v>
      </c>
      <c r="M55" s="14">
        <f t="shared" si="7"/>
        <v>0</v>
      </c>
      <c r="N55" s="14">
        <f t="shared" si="7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3"/>
        <v>0</v>
      </c>
      <c r="E56" s="1296"/>
      <c r="F56" s="1292"/>
      <c r="G56" s="1293"/>
      <c r="H56" s="1294" t="str">
        <f t="shared" si="4"/>
        <v>——</v>
      </c>
      <c r="I56" s="1353">
        <v>0.06</v>
      </c>
      <c r="J56" s="14">
        <f t="shared" si="5"/>
        <v>0</v>
      </c>
      <c r="K56" s="14">
        <f t="shared" si="6"/>
        <v>0</v>
      </c>
      <c r="L56" s="14">
        <v>0</v>
      </c>
      <c r="M56" s="14">
        <f t="shared" si="7"/>
        <v>0</v>
      </c>
      <c r="N56" s="14">
        <f t="shared" si="7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8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9">IFERROR($F$59*I59/2,"——")</f>
        <v>——</v>
      </c>
      <c r="I59" s="1352">
        <v>0.24</v>
      </c>
      <c r="J59" s="14">
        <f t="shared" ref="J59:J67" si="10">K59+$G59</f>
        <v>0</v>
      </c>
      <c r="K59" s="14">
        <f t="shared" ref="K59:K67" si="11">$L59+$G59</f>
        <v>0</v>
      </c>
      <c r="L59" s="14">
        <v>0</v>
      </c>
      <c r="M59" s="14">
        <f t="shared" ref="M59:N67" si="12">L59-$G59</f>
        <v>0</v>
      </c>
      <c r="N59" s="14">
        <f t="shared" si="12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8"/>
        <v>0</v>
      </c>
      <c r="E60" s="1016"/>
      <c r="F60" s="1292"/>
      <c r="G60" s="1293"/>
      <c r="H60" s="1294" t="str">
        <f t="shared" si="9"/>
        <v>——</v>
      </c>
      <c r="I60" s="1352">
        <v>0.3</v>
      </c>
      <c r="J60" s="14">
        <f t="shared" si="10"/>
        <v>0</v>
      </c>
      <c r="K60" s="14">
        <f t="shared" si="11"/>
        <v>0</v>
      </c>
      <c r="L60" s="14">
        <v>0</v>
      </c>
      <c r="M60" s="14">
        <f t="shared" si="12"/>
        <v>0</v>
      </c>
      <c r="N60" s="14">
        <f t="shared" si="12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8"/>
        <v>0</v>
      </c>
      <c r="E61" s="1016"/>
      <c r="F61" s="1292"/>
      <c r="G61" s="1293"/>
      <c r="H61" s="1294" t="str">
        <f t="shared" si="9"/>
        <v>——</v>
      </c>
      <c r="I61" s="1352">
        <v>0.08</v>
      </c>
      <c r="J61" s="14">
        <f t="shared" si="10"/>
        <v>0</v>
      </c>
      <c r="K61" s="14">
        <f t="shared" si="11"/>
        <v>0</v>
      </c>
      <c r="L61" s="14">
        <v>0</v>
      </c>
      <c r="M61" s="14">
        <f t="shared" si="12"/>
        <v>0</v>
      </c>
      <c r="N61" s="14">
        <f t="shared" si="12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8"/>
        <v>0</v>
      </c>
      <c r="E62" s="1016"/>
      <c r="F62" s="1292"/>
      <c r="G62" s="1293"/>
      <c r="H62" s="1294" t="str">
        <f t="shared" si="9"/>
        <v>——</v>
      </c>
      <c r="I62" s="1352">
        <v>0.04</v>
      </c>
      <c r="J62" s="14">
        <f t="shared" si="10"/>
        <v>0</v>
      </c>
      <c r="K62" s="14">
        <f t="shared" si="11"/>
        <v>0</v>
      </c>
      <c r="L62" s="14">
        <v>0</v>
      </c>
      <c r="M62" s="14">
        <f t="shared" si="12"/>
        <v>0</v>
      </c>
      <c r="N62" s="14">
        <f t="shared" si="12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8"/>
        <v>0</v>
      </c>
      <c r="E63" s="1016"/>
      <c r="F63" s="1292"/>
      <c r="G63" s="1293"/>
      <c r="H63" s="1294" t="str">
        <f t="shared" si="9"/>
        <v>——</v>
      </c>
      <c r="I63" s="1352">
        <v>0.05</v>
      </c>
      <c r="J63" s="14">
        <f t="shared" si="10"/>
        <v>0</v>
      </c>
      <c r="K63" s="14">
        <f t="shared" si="11"/>
        <v>0</v>
      </c>
      <c r="L63" s="14">
        <v>0</v>
      </c>
      <c r="M63" s="14">
        <f t="shared" si="12"/>
        <v>0</v>
      </c>
      <c r="N63" s="14">
        <f t="shared" si="12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8"/>
        <v>0</v>
      </c>
      <c r="E64" s="1016"/>
      <c r="F64" s="1292"/>
      <c r="G64" s="1293"/>
      <c r="H64" s="1294" t="str">
        <f t="shared" si="9"/>
        <v>——</v>
      </c>
      <c r="I64" s="1352">
        <v>0.05</v>
      </c>
      <c r="J64" s="14">
        <f t="shared" si="10"/>
        <v>0</v>
      </c>
      <c r="K64" s="14">
        <f t="shared" si="11"/>
        <v>0</v>
      </c>
      <c r="L64" s="14">
        <v>0</v>
      </c>
      <c r="M64" s="14">
        <f t="shared" si="12"/>
        <v>0</v>
      </c>
      <c r="N64" s="14">
        <f t="shared" si="12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8"/>
        <v>0</v>
      </c>
      <c r="E65" s="1016"/>
      <c r="F65" s="1292"/>
      <c r="G65" s="1293"/>
      <c r="H65" s="1294" t="str">
        <f t="shared" si="9"/>
        <v>——</v>
      </c>
      <c r="I65" s="1352">
        <v>0.06</v>
      </c>
      <c r="J65" s="14">
        <f t="shared" si="10"/>
        <v>0</v>
      </c>
      <c r="K65" s="14">
        <f t="shared" si="11"/>
        <v>0</v>
      </c>
      <c r="L65" s="14">
        <v>0</v>
      </c>
      <c r="M65" s="14">
        <f t="shared" si="12"/>
        <v>0</v>
      </c>
      <c r="N65" s="14">
        <f t="shared" si="12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8"/>
        <v>0</v>
      </c>
      <c r="E66" s="1016"/>
      <c r="F66" s="1292"/>
      <c r="G66" s="1293"/>
      <c r="H66" s="1294" t="str">
        <f t="shared" si="9"/>
        <v>——</v>
      </c>
      <c r="I66" s="1352">
        <v>0.12</v>
      </c>
      <c r="J66" s="14">
        <f t="shared" si="10"/>
        <v>0</v>
      </c>
      <c r="K66" s="14">
        <f t="shared" si="11"/>
        <v>0</v>
      </c>
      <c r="L66" s="14">
        <v>0</v>
      </c>
      <c r="M66" s="14">
        <f t="shared" si="12"/>
        <v>0</v>
      </c>
      <c r="N66" s="14">
        <f t="shared" si="12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8"/>
        <v>0</v>
      </c>
      <c r="E67" s="1296"/>
      <c r="F67" s="1292"/>
      <c r="G67" s="1293"/>
      <c r="H67" s="1294" t="str">
        <f t="shared" si="9"/>
        <v>——</v>
      </c>
      <c r="I67" s="1353">
        <v>0.06</v>
      </c>
      <c r="J67" s="14">
        <f t="shared" si="10"/>
        <v>0</v>
      </c>
      <c r="K67" s="14">
        <f t="shared" si="11"/>
        <v>0</v>
      </c>
      <c r="L67" s="14">
        <v>0</v>
      </c>
      <c r="M67" s="14">
        <f t="shared" si="12"/>
        <v>0</v>
      </c>
      <c r="N67" s="14">
        <f t="shared" si="12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3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4">IFERROR($F$70*I70/2,"——")</f>
        <v>0</v>
      </c>
      <c r="I70" s="1352">
        <v>0.14000000000000001</v>
      </c>
      <c r="J70" s="14">
        <f t="shared" ref="J70:J78" si="15">K70+$G70</f>
        <v>0</v>
      </c>
      <c r="K70" s="14">
        <f t="shared" ref="K70:K78" si="16">$L70+$G70</f>
        <v>0</v>
      </c>
      <c r="L70" s="14">
        <v>0</v>
      </c>
      <c r="M70" s="14">
        <f t="shared" ref="M70:N78" si="17">L70-$G70</f>
        <v>0</v>
      </c>
      <c r="N70" s="14">
        <f t="shared" si="17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3"/>
        <v>0</v>
      </c>
      <c r="E71" s="1025"/>
      <c r="F71" s="1357"/>
      <c r="G71" s="1293"/>
      <c r="H71" s="1294">
        <f t="shared" si="14"/>
        <v>0</v>
      </c>
      <c r="I71" s="1352">
        <v>0.3</v>
      </c>
      <c r="J71" s="14">
        <f t="shared" si="15"/>
        <v>0</v>
      </c>
      <c r="K71" s="14">
        <f t="shared" si="16"/>
        <v>0</v>
      </c>
      <c r="L71" s="14">
        <v>0</v>
      </c>
      <c r="M71" s="14">
        <f t="shared" si="17"/>
        <v>0</v>
      </c>
      <c r="N71" s="14">
        <f t="shared" si="17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3"/>
        <v>0</v>
      </c>
      <c r="E72" s="1025"/>
      <c r="F72" s="1357"/>
      <c r="G72" s="1293"/>
      <c r="H72" s="1294">
        <f t="shared" si="14"/>
        <v>0</v>
      </c>
      <c r="I72" s="1352">
        <v>0.08</v>
      </c>
      <c r="J72" s="14">
        <f t="shared" si="15"/>
        <v>0</v>
      </c>
      <c r="K72" s="14">
        <f t="shared" si="16"/>
        <v>0</v>
      </c>
      <c r="L72" s="14">
        <v>0</v>
      </c>
      <c r="M72" s="14">
        <f t="shared" si="17"/>
        <v>0</v>
      </c>
      <c r="N72" s="14">
        <f t="shared" si="17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3"/>
        <v>0</v>
      </c>
      <c r="E73" s="1025"/>
      <c r="F73" s="1357"/>
      <c r="G73" s="1293"/>
      <c r="H73" s="1294">
        <f t="shared" si="14"/>
        <v>0</v>
      </c>
      <c r="I73" s="1352">
        <v>0.04</v>
      </c>
      <c r="J73" s="14">
        <f t="shared" si="15"/>
        <v>0</v>
      </c>
      <c r="K73" s="14">
        <f t="shared" si="16"/>
        <v>0</v>
      </c>
      <c r="L73" s="14">
        <v>0</v>
      </c>
      <c r="M73" s="14">
        <f t="shared" si="17"/>
        <v>0</v>
      </c>
      <c r="N73" s="14">
        <f t="shared" si="17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3"/>
        <v>0</v>
      </c>
      <c r="E74" s="1025"/>
      <c r="F74" s="1357"/>
      <c r="G74" s="1293"/>
      <c r="H74" s="1294">
        <f t="shared" si="14"/>
        <v>0</v>
      </c>
      <c r="I74" s="1352">
        <v>0.08</v>
      </c>
      <c r="J74" s="14">
        <f t="shared" si="15"/>
        <v>0</v>
      </c>
      <c r="K74" s="14">
        <f t="shared" si="16"/>
        <v>0</v>
      </c>
      <c r="L74" s="14">
        <v>0</v>
      </c>
      <c r="M74" s="14">
        <f t="shared" si="17"/>
        <v>0</v>
      </c>
      <c r="N74" s="14">
        <f t="shared" si="17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3"/>
        <v>0</v>
      </c>
      <c r="E75" s="1025"/>
      <c r="F75" s="1357"/>
      <c r="G75" s="1293"/>
      <c r="H75" s="1294">
        <f t="shared" si="14"/>
        <v>0</v>
      </c>
      <c r="I75" s="1352">
        <v>0.12</v>
      </c>
      <c r="J75" s="14">
        <f t="shared" si="15"/>
        <v>0</v>
      </c>
      <c r="K75" s="14">
        <f t="shared" si="16"/>
        <v>0</v>
      </c>
      <c r="L75" s="14">
        <v>0</v>
      </c>
      <c r="M75" s="14">
        <f t="shared" si="17"/>
        <v>0</v>
      </c>
      <c r="N75" s="14">
        <f t="shared" si="17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3"/>
        <v>0</v>
      </c>
      <c r="E76" s="1025"/>
      <c r="F76" s="1357"/>
      <c r="G76" s="1293"/>
      <c r="H76" s="1294">
        <f t="shared" si="14"/>
        <v>0</v>
      </c>
      <c r="I76" s="1352">
        <v>0.05</v>
      </c>
      <c r="J76" s="14">
        <f t="shared" si="15"/>
        <v>0</v>
      </c>
      <c r="K76" s="14">
        <f t="shared" si="16"/>
        <v>0</v>
      </c>
      <c r="L76" s="14">
        <v>0</v>
      </c>
      <c r="M76" s="14">
        <f t="shared" si="17"/>
        <v>0</v>
      </c>
      <c r="N76" s="14">
        <f t="shared" si="17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3"/>
        <v>0</v>
      </c>
      <c r="E77" s="1025"/>
      <c r="F77" s="1357"/>
      <c r="G77" s="1293"/>
      <c r="H77" s="1294">
        <f t="shared" si="14"/>
        <v>0</v>
      </c>
      <c r="I77" s="1352">
        <v>0.15</v>
      </c>
      <c r="J77" s="14">
        <f t="shared" si="15"/>
        <v>0</v>
      </c>
      <c r="K77" s="14">
        <f t="shared" si="16"/>
        <v>0</v>
      </c>
      <c r="L77" s="14">
        <v>0</v>
      </c>
      <c r="M77" s="14">
        <f t="shared" si="17"/>
        <v>0</v>
      </c>
      <c r="N77" s="14">
        <f t="shared" si="17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3"/>
        <v>0</v>
      </c>
      <c r="E78" s="1053"/>
      <c r="F78" s="1357"/>
      <c r="G78" s="1293"/>
      <c r="H78" s="1294">
        <f t="shared" si="14"/>
        <v>0</v>
      </c>
      <c r="I78" s="1353">
        <v>0.04</v>
      </c>
      <c r="J78" s="14">
        <f t="shared" si="15"/>
        <v>0</v>
      </c>
      <c r="K78" s="14">
        <f t="shared" si="16"/>
        <v>0</v>
      </c>
      <c r="L78" s="14">
        <v>0</v>
      </c>
      <c r="M78" s="14">
        <f t="shared" si="17"/>
        <v>0</v>
      </c>
      <c r="N78" s="14">
        <f t="shared" si="17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8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19">IFERROR($F$81*I81/2,"——")</f>
        <v>——</v>
      </c>
      <c r="I81" s="1352">
        <v>0.26</v>
      </c>
      <c r="J81" s="14">
        <f t="shared" ref="J81:J88" si="20">K81+$G81</f>
        <v>0</v>
      </c>
      <c r="K81" s="14">
        <f t="shared" ref="K81:K88" si="21">$L81+$G81</f>
        <v>0</v>
      </c>
      <c r="L81" s="14">
        <v>0</v>
      </c>
      <c r="M81" s="14">
        <f t="shared" ref="M81:N88" si="22">L81-$G81</f>
        <v>0</v>
      </c>
      <c r="N81" s="14">
        <f t="shared" si="22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8"/>
        <v>0</v>
      </c>
      <c r="E82" s="1025"/>
      <c r="F82" s="1357"/>
      <c r="G82" s="1293"/>
      <c r="H82" s="1294" t="str">
        <f t="shared" si="19"/>
        <v>——</v>
      </c>
      <c r="I82" s="1352">
        <v>0.33</v>
      </c>
      <c r="J82" s="14">
        <f t="shared" si="20"/>
        <v>0</v>
      </c>
      <c r="K82" s="14">
        <f t="shared" si="21"/>
        <v>0</v>
      </c>
      <c r="L82" s="14">
        <v>0</v>
      </c>
      <c r="M82" s="14">
        <f t="shared" si="22"/>
        <v>0</v>
      </c>
      <c r="N82" s="14">
        <f t="shared" si="22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8"/>
        <v>0</v>
      </c>
      <c r="E83" s="1025"/>
      <c r="F83" s="1357"/>
      <c r="G83" s="1293"/>
      <c r="H83" s="1294" t="str">
        <f t="shared" si="19"/>
        <v>——</v>
      </c>
      <c r="I83" s="1352">
        <v>0.05</v>
      </c>
      <c r="J83" s="14">
        <f t="shared" si="20"/>
        <v>0</v>
      </c>
      <c r="K83" s="14">
        <f t="shared" si="21"/>
        <v>0</v>
      </c>
      <c r="L83" s="14">
        <v>0</v>
      </c>
      <c r="M83" s="14">
        <f t="shared" si="22"/>
        <v>0</v>
      </c>
      <c r="N83" s="14">
        <f t="shared" si="22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8"/>
        <v>0</v>
      </c>
      <c r="E84" s="1025"/>
      <c r="F84" s="1357"/>
      <c r="G84" s="1293"/>
      <c r="H84" s="1294" t="str">
        <f t="shared" si="19"/>
        <v>——</v>
      </c>
      <c r="I84" s="1352">
        <v>0.04</v>
      </c>
      <c r="J84" s="14">
        <f t="shared" si="20"/>
        <v>0</v>
      </c>
      <c r="K84" s="14">
        <f t="shared" si="21"/>
        <v>0</v>
      </c>
      <c r="L84" s="14">
        <v>0</v>
      </c>
      <c r="M84" s="14">
        <f t="shared" si="22"/>
        <v>0</v>
      </c>
      <c r="N84" s="14">
        <f t="shared" si="22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8"/>
        <v>0</v>
      </c>
      <c r="E85" s="1025"/>
      <c r="F85" s="1357"/>
      <c r="G85" s="1293"/>
      <c r="H85" s="1294" t="str">
        <f t="shared" si="19"/>
        <v>——</v>
      </c>
      <c r="I85" s="1352">
        <v>0.06</v>
      </c>
      <c r="J85" s="14">
        <f t="shared" si="20"/>
        <v>0</v>
      </c>
      <c r="K85" s="14">
        <f t="shared" si="21"/>
        <v>0</v>
      </c>
      <c r="L85" s="14">
        <v>0</v>
      </c>
      <c r="M85" s="14">
        <f t="shared" si="22"/>
        <v>0</v>
      </c>
      <c r="N85" s="14">
        <f t="shared" si="22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8"/>
        <v>0</v>
      </c>
      <c r="E86" s="1025"/>
      <c r="F86" s="1357"/>
      <c r="G86" s="1293"/>
      <c r="H86" s="1294" t="str">
        <f t="shared" si="19"/>
        <v>——</v>
      </c>
      <c r="I86" s="1352">
        <v>0.15</v>
      </c>
      <c r="J86" s="14">
        <f t="shared" si="20"/>
        <v>0</v>
      </c>
      <c r="K86" s="14">
        <f t="shared" si="21"/>
        <v>0</v>
      </c>
      <c r="L86" s="14">
        <v>0</v>
      </c>
      <c r="M86" s="14">
        <f t="shared" si="22"/>
        <v>0</v>
      </c>
      <c r="N86" s="14">
        <f t="shared" si="22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8"/>
        <v>0</v>
      </c>
      <c r="E87" s="1025"/>
      <c r="F87" s="1357"/>
      <c r="G87" s="1293"/>
      <c r="H87" s="1294" t="str">
        <f t="shared" si="19"/>
        <v>——</v>
      </c>
      <c r="I87" s="1352">
        <v>0.05</v>
      </c>
      <c r="J87" s="14">
        <f t="shared" si="20"/>
        <v>0</v>
      </c>
      <c r="K87" s="14">
        <f t="shared" si="21"/>
        <v>0</v>
      </c>
      <c r="L87" s="14">
        <v>0</v>
      </c>
      <c r="M87" s="14">
        <f t="shared" si="22"/>
        <v>0</v>
      </c>
      <c r="N87" s="14">
        <f t="shared" si="22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8"/>
        <v>0</v>
      </c>
      <c r="E88" s="1053"/>
      <c r="F88" s="1357"/>
      <c r="G88" s="1293"/>
      <c r="H88" s="1294" t="str">
        <f t="shared" si="19"/>
        <v>——</v>
      </c>
      <c r="I88" s="1353">
        <v>0.06</v>
      </c>
      <c r="J88" s="14">
        <f t="shared" si="20"/>
        <v>0</v>
      </c>
      <c r="K88" s="14">
        <f t="shared" si="21"/>
        <v>0</v>
      </c>
      <c r="L88" s="14">
        <v>0</v>
      </c>
      <c r="M88" s="14">
        <f t="shared" si="22"/>
        <v>0</v>
      </c>
      <c r="N88" s="14">
        <f t="shared" si="22"/>
        <v>0</v>
      </c>
      <c r="Z88" s="889"/>
      <c r="AA88" s="887"/>
      <c r="AG88" s="891"/>
      <c r="AK88" s="887"/>
    </row>
    <row r="91" spans="1:37">
      <c r="A91" s="1688" t="s">
        <v>449</v>
      </c>
      <c r="B91" s="1688"/>
      <c r="C91" s="1688"/>
      <c r="D91" s="1688"/>
      <c r="E91" s="1688"/>
      <c r="F91" s="1688"/>
      <c r="G91" s="1688"/>
      <c r="H91" s="1688"/>
      <c r="I91" s="1688"/>
      <c r="J91" s="1688"/>
      <c r="K91" s="1358"/>
      <c r="L91" s="1358"/>
      <c r="M91" s="1358"/>
      <c r="N91" s="1358"/>
    </row>
    <row r="92" spans="1:37">
      <c r="A92" s="1698" t="s">
        <v>376</v>
      </c>
      <c r="B92" s="1698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8"/>
      <c r="B93" s="1698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9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700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700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700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700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700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700"/>
      <c r="B100" s="1359" t="s">
        <v>453</v>
      </c>
      <c r="C100" s="1361">
        <f>$I$3</f>
        <v>1</v>
      </c>
      <c r="D100" s="1361">
        <f t="shared" ref="D100:N100" si="23">$I$3</f>
        <v>1</v>
      </c>
      <c r="E100" s="1361">
        <f t="shared" si="23"/>
        <v>1</v>
      </c>
      <c r="F100" s="1361">
        <f t="shared" si="23"/>
        <v>1</v>
      </c>
      <c r="G100" s="1361">
        <f t="shared" si="23"/>
        <v>1</v>
      </c>
      <c r="H100" s="1361">
        <f t="shared" si="23"/>
        <v>1</v>
      </c>
      <c r="I100" s="1361">
        <f t="shared" si="23"/>
        <v>1</v>
      </c>
      <c r="J100" s="1361">
        <f t="shared" si="23"/>
        <v>1</v>
      </c>
      <c r="K100" s="1361">
        <f t="shared" si="23"/>
        <v>1</v>
      </c>
      <c r="L100" s="1361">
        <f t="shared" si="23"/>
        <v>1</v>
      </c>
      <c r="M100" s="1361">
        <f t="shared" si="23"/>
        <v>1</v>
      </c>
      <c r="N100" s="1361">
        <f t="shared" si="23"/>
        <v>1</v>
      </c>
    </row>
    <row r="101" spans="1:14" ht="12.75">
      <c r="A101" s="1701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9" t="s">
        <v>454</v>
      </c>
      <c r="B102" s="1363" t="s">
        <v>455</v>
      </c>
      <c r="C102" s="1364" t="e">
        <f>$G$3</f>
        <v>#DIV/0!</v>
      </c>
      <c r="D102" s="1364" t="e">
        <f t="shared" ref="D102:N102" si="24">$G$3</f>
        <v>#DIV/0!</v>
      </c>
      <c r="E102" s="1364" t="e">
        <f t="shared" si="24"/>
        <v>#DIV/0!</v>
      </c>
      <c r="F102" s="1364" t="e">
        <f t="shared" si="24"/>
        <v>#DIV/0!</v>
      </c>
      <c r="G102" s="1364" t="e">
        <f t="shared" si="24"/>
        <v>#DIV/0!</v>
      </c>
      <c r="H102" s="1364" t="e">
        <f t="shared" si="24"/>
        <v>#DIV/0!</v>
      </c>
      <c r="I102" s="1364" t="e">
        <f t="shared" si="24"/>
        <v>#DIV/0!</v>
      </c>
      <c r="J102" s="1364" t="e">
        <f t="shared" si="24"/>
        <v>#DIV/0!</v>
      </c>
      <c r="K102" s="1364" t="e">
        <f t="shared" si="24"/>
        <v>#DIV/0!</v>
      </c>
      <c r="L102" s="1364" t="e">
        <f t="shared" si="24"/>
        <v>#DIV/0!</v>
      </c>
      <c r="M102" s="1364" t="e">
        <f t="shared" si="24"/>
        <v>#DIV/0!</v>
      </c>
      <c r="N102" s="1364" t="e">
        <f t="shared" si="24"/>
        <v>#DIV/0!</v>
      </c>
    </row>
    <row r="103" spans="1:14" ht="12.75">
      <c r="A103" s="1700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700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700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700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700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700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700"/>
      <c r="B109" s="1702" t="s">
        <v>456</v>
      </c>
      <c r="C109" s="1361">
        <f>C100</f>
        <v>1</v>
      </c>
      <c r="D109" s="1361">
        <f t="shared" ref="D109:N109" si="25">D100</f>
        <v>1</v>
      </c>
      <c r="E109" s="1361">
        <f t="shared" si="25"/>
        <v>1</v>
      </c>
      <c r="F109" s="1361">
        <f t="shared" si="25"/>
        <v>1</v>
      </c>
      <c r="G109" s="1361">
        <f t="shared" si="25"/>
        <v>1</v>
      </c>
      <c r="H109" s="1361">
        <f t="shared" si="25"/>
        <v>1</v>
      </c>
      <c r="I109" s="1361">
        <f t="shared" si="25"/>
        <v>1</v>
      </c>
      <c r="J109" s="1361">
        <f t="shared" si="25"/>
        <v>1</v>
      </c>
      <c r="K109" s="1361">
        <f t="shared" si="25"/>
        <v>1</v>
      </c>
      <c r="L109" s="1361">
        <f t="shared" si="25"/>
        <v>1</v>
      </c>
      <c r="M109" s="1361">
        <f t="shared" si="25"/>
        <v>1</v>
      </c>
      <c r="N109" s="1361">
        <f t="shared" si="25"/>
        <v>1</v>
      </c>
    </row>
    <row r="110" spans="1:14" ht="12.75">
      <c r="A110" s="1701"/>
      <c r="B110" s="1703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9" t="s">
        <v>457</v>
      </c>
      <c r="B111" s="1689"/>
      <c r="C111" s="1689"/>
      <c r="D111" s="1689"/>
      <c r="E111" s="1689"/>
      <c r="F111" s="1689"/>
      <c r="G111" s="1689"/>
      <c r="H111" s="1689"/>
      <c r="I111" s="1689"/>
      <c r="J111" s="1689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八级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6">I116</f>
        <v>#DIV/0!</v>
      </c>
      <c r="K116" s="1375" t="e">
        <f t="shared" si="26"/>
        <v>#DIV/0!</v>
      </c>
      <c r="L116" s="1375" t="e">
        <f t="shared" si="26"/>
        <v>#DIV/0!</v>
      </c>
      <c r="M116" s="1380" t="e">
        <f t="shared" si="26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7">D117</f>
        <v>#DIV/0!</v>
      </c>
      <c r="F117" s="1375" t="e">
        <f t="shared" si="27"/>
        <v>#DIV/0!</v>
      </c>
      <c r="G117" s="1375" t="e">
        <f t="shared" si="27"/>
        <v>#DIV/0!</v>
      </c>
      <c r="H117" s="1375" t="e">
        <f t="shared" si="27"/>
        <v>#DIV/0!</v>
      </c>
      <c r="I117" s="1375" t="e">
        <f>ROUND(0.7694-0.014*B114,4)</f>
        <v>#DIV/0!</v>
      </c>
      <c r="J117" s="1375" t="e">
        <f t="shared" si="26"/>
        <v>#DIV/0!</v>
      </c>
      <c r="K117" s="1375" t="e">
        <f t="shared" si="26"/>
        <v>#DIV/0!</v>
      </c>
      <c r="L117" s="1375" t="e">
        <f t="shared" si="26"/>
        <v>#DIV/0!</v>
      </c>
      <c r="M117" s="1380" t="e">
        <f t="shared" si="26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7"/>
        <v>#DIV/0!</v>
      </c>
      <c r="F118" s="1375" t="e">
        <f t="shared" si="27"/>
        <v>#DIV/0!</v>
      </c>
      <c r="G118" s="1375" t="e">
        <f t="shared" si="27"/>
        <v>#DIV/0!</v>
      </c>
      <c r="H118" s="1375" t="e">
        <f t="shared" si="27"/>
        <v>#DIV/0!</v>
      </c>
      <c r="I118" s="1375" t="e">
        <f>ROUND(0.7412-0.0095*B114,4)</f>
        <v>#DIV/0!</v>
      </c>
      <c r="J118" s="1375" t="e">
        <f t="shared" si="26"/>
        <v>#DIV/0!</v>
      </c>
      <c r="K118" s="1375" t="e">
        <f t="shared" si="26"/>
        <v>#DIV/0!</v>
      </c>
      <c r="L118" s="1375" t="e">
        <f t="shared" si="26"/>
        <v>#DIV/0!</v>
      </c>
      <c r="M118" s="1380" t="e">
        <f t="shared" si="26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6"/>
        <v>#DIV/0!</v>
      </c>
      <c r="K119" s="1376" t="e">
        <f t="shared" si="26"/>
        <v>#DIV/0!</v>
      </c>
      <c r="L119" s="1376" t="e">
        <f t="shared" si="26"/>
        <v>#DIV/0!</v>
      </c>
      <c r="M119" s="1381" t="e">
        <f t="shared" si="26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4" t="s">
        <v>460</v>
      </c>
      <c r="B1" s="1704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4" t="s">
        <v>802</v>
      </c>
      <c r="B1" s="1704"/>
      <c r="C1" s="1704"/>
      <c r="D1" s="1704"/>
      <c r="E1" s="1704"/>
      <c r="F1" s="1704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5" t="s">
        <v>803</v>
      </c>
      <c r="B2" s="1705"/>
      <c r="C2" s="1705"/>
      <c r="D2" s="1705"/>
      <c r="E2" s="1705"/>
      <c r="F2" s="1705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6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7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Sheet2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2025-09-05T05:18:43Z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