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D91" i="21" l="1"/>
  <c r="E91" i="21" s="1"/>
  <c r="E91" i="79" s="1"/>
  <c r="I47" i="79"/>
  <c r="G47" i="79"/>
  <c r="E47" i="79"/>
  <c r="I33" i="79"/>
  <c r="G33" i="79"/>
  <c r="E33" i="79"/>
  <c r="D91" i="79" l="1"/>
  <c r="O35" i="78"/>
  <c r="O27" i="78"/>
  <c r="O16" i="78"/>
  <c r="O7" i="78"/>
  <c r="C145" i="79"/>
  <c r="K139" i="79" s="1"/>
  <c r="J142" i="79"/>
  <c r="J140" i="79"/>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M67" i="79"/>
  <c r="L67" i="79"/>
  <c r="K67" i="79"/>
  <c r="J67" i="79"/>
  <c r="I67" i="79"/>
  <c r="H67" i="79"/>
  <c r="G67" i="79"/>
  <c r="F67" i="79"/>
  <c r="E67" i="79"/>
  <c r="D67" i="79"/>
  <c r="C67" i="79"/>
  <c r="D66" i="79"/>
  <c r="E66" i="79" s="1"/>
  <c r="F66" i="79" s="1"/>
  <c r="G66" i="79" s="1"/>
  <c r="H66" i="79" s="1"/>
  <c r="I66" i="79" s="1"/>
  <c r="C63" i="79"/>
  <c r="E59" i="79"/>
  <c r="F59" i="79" s="1"/>
  <c r="G59" i="79" s="1"/>
  <c r="H59" i="79" s="1"/>
  <c r="I59" i="79" s="1"/>
  <c r="D59" i="79"/>
  <c r="P49" i="79"/>
  <c r="P48" i="79"/>
  <c r="P47" i="79"/>
  <c r="I54" i="79"/>
  <c r="J54" i="79" s="1"/>
  <c r="G54" i="79"/>
  <c r="H54" i="79" s="1"/>
  <c r="E54" i="79"/>
  <c r="F54"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AB8" i="79" s="1"/>
  <c r="F8" i="79"/>
  <c r="AA8" i="79" s="1"/>
  <c r="I33" i="21"/>
  <c r="G33" i="21"/>
  <c r="E33" i="21"/>
  <c r="E104" i="21"/>
  <c r="F104" i="21" s="1"/>
  <c r="G104" i="21" s="1"/>
  <c r="H104" i="21" s="1"/>
  <c r="D104" i="21"/>
  <c r="I7" i="21"/>
  <c r="G7" i="21"/>
  <c r="E7" i="21"/>
  <c r="B7" i="4"/>
  <c r="D2" i="79"/>
  <c r="F69" i="79" l="1"/>
  <c r="G69" i="79" s="1"/>
  <c r="H69" i="79" s="1"/>
  <c r="I69" i="79" s="1"/>
  <c r="J69" i="79" s="1"/>
  <c r="K69" i="79" s="1"/>
  <c r="L69" i="79" s="1"/>
  <c r="M69" i="79" s="1"/>
  <c r="H11" i="79"/>
  <c r="AB11" i="79" s="1"/>
  <c r="J11" i="79"/>
  <c r="AC11" i="79" s="1"/>
  <c r="F11" i="79"/>
  <c r="AA11" i="79" s="1"/>
  <c r="U8" i="79"/>
  <c r="K145" i="79"/>
  <c r="U9" i="79"/>
  <c r="S10" i="79"/>
  <c r="W10" i="79"/>
  <c r="S8" i="79"/>
  <c r="W8" i="79"/>
  <c r="S9" i="79"/>
  <c r="W9" i="79"/>
  <c r="U10" i="79"/>
  <c r="W11" i="79"/>
  <c r="U12" i="79"/>
  <c r="S13" i="79"/>
  <c r="W13" i="79"/>
  <c r="U14" i="79"/>
  <c r="U15" i="79"/>
  <c r="U17" i="79"/>
  <c r="U19" i="79"/>
  <c r="U21" i="79"/>
  <c r="U23" i="79"/>
  <c r="AA25" i="79"/>
  <c r="S25" i="79"/>
  <c r="U25" i="79"/>
  <c r="W26" i="79"/>
  <c r="U11" i="79"/>
  <c r="S12" i="79"/>
  <c r="W12" i="79"/>
  <c r="U13" i="79"/>
  <c r="S14" i="79"/>
  <c r="W14" i="79"/>
  <c r="S15" i="79"/>
  <c r="W15" i="79"/>
  <c r="S17" i="79"/>
  <c r="W17" i="79"/>
  <c r="S19" i="79"/>
  <c r="W19" i="79"/>
  <c r="S21" i="79"/>
  <c r="W21" i="79"/>
  <c r="S23" i="79"/>
  <c r="W23" i="79"/>
  <c r="S26"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C37" i="79"/>
  <c r="I37" i="79" l="1"/>
  <c r="J37" i="79" s="1"/>
  <c r="E37" i="79"/>
  <c r="F37" i="79" s="1"/>
  <c r="G37" i="79"/>
  <c r="H37" i="79" s="1"/>
  <c r="S11" i="79"/>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C37" i="21"/>
  <c r="G37" i="21" s="1"/>
  <c r="D59" i="21"/>
  <c r="E59" i="21" s="1"/>
  <c r="F59" i="21" s="1"/>
  <c r="G59" i="21" s="1"/>
  <c r="H59" i="21" s="1"/>
  <c r="I59" i="21" s="1"/>
  <c r="Y6" i="1"/>
  <c r="F19" i="6"/>
  <c r="D3" i="4"/>
  <c r="E37" i="21" l="1"/>
  <c r="S37" i="79"/>
  <c r="AA37" i="79"/>
  <c r="I37" i="21"/>
  <c r="AB37" i="79"/>
  <c r="U37" i="79"/>
  <c r="W37" i="79"/>
  <c r="AC37" i="79"/>
  <c r="H121" i="21"/>
  <c r="I121" i="21" s="1"/>
  <c r="I4" i="31" s="1"/>
  <c r="G4" i="31"/>
  <c r="H4" i="31"/>
  <c r="F4" i="31"/>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7" i="76"/>
  <c r="B13" i="76"/>
  <c r="B12" i="76"/>
  <c r="E11" i="76"/>
  <c r="E9" i="76"/>
  <c r="B11" i="76"/>
  <c r="B9" i="76"/>
  <c r="E7" i="76"/>
  <c r="B8" i="76"/>
  <c r="E13" i="76"/>
  <c r="E12" i="76"/>
  <c r="B10" i="76"/>
  <c r="E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6" i="73"/>
  <c r="F6" i="73"/>
  <c r="F5" i="73"/>
  <c r="F3" i="73"/>
  <c r="F4" i="73"/>
  <c r="I1" i="73" l="1"/>
  <c r="B39" i="1" s="1"/>
  <c r="D3" i="73"/>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3" i="1"/>
  <c r="AO12"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c r="BL176" i="3"/>
  <c r="G177" i="3"/>
  <c r="BA179" i="3"/>
  <c r="BL180" i="3"/>
  <c r="G181" i="3"/>
  <c r="BA183" i="3"/>
  <c r="AZ183" i="3" s="1"/>
  <c r="BL184" i="3"/>
  <c r="G185" i="3"/>
  <c r="BA187" i="3"/>
  <c r="AZ187" i="3" s="1"/>
  <c r="BL188" i="3"/>
  <c r="G189" i="3"/>
  <c r="BA191" i="3"/>
  <c r="AZ191" i="3" s="1"/>
  <c r="BL192" i="3"/>
  <c r="AZ192" i="3" s="1"/>
  <c r="G193" i="3"/>
  <c r="BA195" i="3"/>
  <c r="BL196" i="3"/>
  <c r="G197" i="3"/>
  <c r="BA199" i="3"/>
  <c r="BL200" i="3"/>
  <c r="G201" i="3"/>
  <c r="BA203" i="3"/>
  <c r="AZ203" i="3" s="1"/>
  <c r="BL204" i="3"/>
  <c r="AZ51" i="3"/>
  <c r="AZ55" i="3"/>
  <c r="AZ79" i="3"/>
  <c r="AZ83" i="3"/>
  <c r="AZ136" i="3"/>
  <c r="AZ144" i="3"/>
  <c r="AZ176"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8" i="3"/>
  <c r="AZ174" i="3"/>
  <c r="AZ190" i="3"/>
  <c r="AZ500" i="3"/>
  <c r="BA16" i="3"/>
  <c r="AZ16" i="3" s="1"/>
  <c r="BL303" i="3"/>
  <c r="G304" i="3"/>
  <c r="BA306" i="3"/>
  <c r="AZ306" i="3"/>
  <c r="BL307" i="3"/>
  <c r="AZ307" i="3"/>
  <c r="G308" i="3"/>
  <c r="BA310" i="3"/>
  <c r="AZ310" i="3" s="1"/>
  <c r="BL311" i="3"/>
  <c r="G312" i="3"/>
  <c r="BA314" i="3"/>
  <c r="AZ314" i="3" s="1"/>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370" i="3"/>
  <c r="BA379" i="3"/>
  <c r="AZ379" i="3" s="1"/>
  <c r="BL380" i="3"/>
  <c r="G381" i="3"/>
  <c r="BA383" i="3"/>
  <c r="BL384" i="3"/>
  <c r="G385" i="3"/>
  <c r="BA387" i="3"/>
  <c r="AZ387" i="3"/>
  <c r="BL388" i="3"/>
  <c r="G389" i="3"/>
  <c r="BA391" i="3"/>
  <c r="AZ391" i="3"/>
  <c r="BL392" i="3"/>
  <c r="G393"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AZ384" i="3"/>
  <c r="AZ396" i="3"/>
  <c r="AZ394" i="3"/>
  <c r="AZ509" i="3"/>
  <c r="G509" i="3"/>
  <c r="BL493" i="3"/>
  <c r="AZ493" i="3" s="1"/>
  <c r="AZ376"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130" i="3"/>
  <c r="AZ58"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Z373" i="3" l="1"/>
  <c r="AZ330" i="3"/>
  <c r="AZ322" i="3"/>
  <c r="AZ319" i="3"/>
  <c r="AZ351" i="3"/>
  <c r="AZ378" i="3"/>
  <c r="AZ495" i="3"/>
  <c r="AZ499" i="3"/>
  <c r="AZ503" i="3"/>
  <c r="AZ553" i="3"/>
  <c r="AZ559" i="3"/>
  <c r="AZ567" i="3"/>
  <c r="AZ518" i="3"/>
  <c r="AZ538" i="3"/>
  <c r="AZ552" i="3"/>
  <c r="AZ560" i="3"/>
  <c r="AZ568" i="3"/>
  <c r="AZ576" i="3"/>
  <c r="AZ584" i="3"/>
  <c r="W29" i="33"/>
  <c r="S45" i="33"/>
  <c r="AC30" i="34"/>
  <c r="W11" i="35"/>
  <c r="S11" i="36"/>
  <c r="AA29" i="35"/>
  <c r="AZ366" i="3"/>
  <c r="AZ124" i="3"/>
  <c r="AZ308" i="3"/>
  <c r="BL585" i="3"/>
  <c r="F9" i="34"/>
  <c r="F9" i="36"/>
  <c r="AA9" i="36" s="1"/>
  <c r="G578" i="3"/>
  <c r="G574"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G311" i="3"/>
  <c r="BA319" i="3"/>
  <c r="BA323" i="3"/>
  <c r="AZ323" i="3" s="1"/>
  <c r="BL330" i="3"/>
  <c r="G331" i="3"/>
  <c r="BA333" i="3"/>
  <c r="AZ333" i="3" s="1"/>
  <c r="G339" i="3"/>
  <c r="BL340" i="3"/>
  <c r="AZ340" i="3" s="1"/>
  <c r="G343" i="3"/>
  <c r="BA348" i="3"/>
  <c r="AZ348" i="3" s="1"/>
  <c r="BA349" i="3"/>
  <c r="AZ349" i="3" s="1"/>
  <c r="BL363" i="3"/>
  <c r="AZ363" i="3" s="1"/>
  <c r="G364" i="3"/>
  <c r="BA366" i="3"/>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7" i="3"/>
  <c r="BL197" i="3"/>
  <c r="BL199" i="3"/>
  <c r="AZ199" i="3" s="1"/>
  <c r="G200" i="3"/>
  <c r="BA202" i="3"/>
  <c r="BL202" i="3"/>
  <c r="BA204" i="3"/>
  <c r="AZ204" i="3" s="1"/>
  <c r="BA205" i="3"/>
  <c r="AZ205" i="3" s="1"/>
  <c r="BA206" i="3"/>
  <c r="AZ206" i="3" s="1"/>
  <c r="BL18" i="3"/>
  <c r="G19" i="3"/>
  <c r="BA21" i="3"/>
  <c r="AZ21" i="3" s="1"/>
  <c r="BL21" i="3"/>
  <c r="D58" i="79"/>
  <c r="E58" i="79" s="1"/>
  <c r="F58" i="79" s="1"/>
  <c r="G58" i="79" s="1"/>
  <c r="H58" i="79" s="1"/>
  <c r="I58" i="79" s="1"/>
  <c r="J58" i="79" s="1"/>
  <c r="K58" i="79" s="1"/>
  <c r="L58" i="79" s="1"/>
  <c r="M58" i="79" s="1"/>
  <c r="N58" i="79" s="1"/>
  <c r="O58" i="79" s="1"/>
  <c r="H7" i="79"/>
  <c r="F7" i="79"/>
  <c r="G22" i="3"/>
  <c r="BA23" i="3"/>
  <c r="G24" i="3"/>
  <c r="BA25" i="3"/>
  <c r="AZ25" i="3" s="1"/>
  <c r="BL27" i="3"/>
  <c r="G28" i="3"/>
  <c r="BL29" i="3"/>
  <c r="G30" i="3"/>
  <c r="BA31" i="3"/>
  <c r="G32" i="3"/>
  <c r="BL34" i="3"/>
  <c r="BL36" i="3"/>
  <c r="BA38" i="3"/>
  <c r="G39" i="3"/>
  <c r="BA41" i="3"/>
  <c r="G42" i="3"/>
  <c r="G45" i="3"/>
  <c r="G47" i="3"/>
  <c r="G49" i="3"/>
  <c r="BA50" i="3"/>
  <c r="G51" i="3"/>
  <c r="BA52" i="3"/>
  <c r="AZ52" i="3" s="1"/>
  <c r="BA53" i="3"/>
  <c r="AZ53" i="3" s="1"/>
  <c r="BA54" i="3"/>
  <c r="G55" i="3"/>
  <c r="BA56" i="3"/>
  <c r="AZ56" i="3" s="1"/>
  <c r="BA57" i="3"/>
  <c r="G58" i="3"/>
  <c r="BA59"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34" i="21"/>
  <c r="S34" i="21"/>
  <c r="G13" i="1"/>
  <c r="BA19" i="3"/>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11" i="3"/>
  <c r="AZ220" i="3"/>
  <c r="AZ226" i="3"/>
  <c r="AZ230"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F38" i="15"/>
  <c r="F43" i="15"/>
  <c r="M9" i="15"/>
  <c r="L48" i="67"/>
  <c r="F16" i="15"/>
  <c r="M22" i="15"/>
  <c r="L48" i="15"/>
  <c r="F43" i="67"/>
  <c r="F13" i="67"/>
  <c r="F8" i="15"/>
  <c r="J15" i="15"/>
  <c r="F36" i="15"/>
  <c r="M24" i="15"/>
  <c r="M24" i="67"/>
  <c r="M8" i="67"/>
  <c r="F9" i="67"/>
  <c r="F26" i="15"/>
  <c r="M29" i="15"/>
  <c r="F40" i="15"/>
  <c r="F16" i="67"/>
  <c r="F6" i="15"/>
  <c r="M28" i="15"/>
  <c r="G1" i="73"/>
  <c r="M23" i="67"/>
  <c r="M9" i="67"/>
  <c r="F37" i="67"/>
  <c r="M6" i="67"/>
  <c r="F42" i="15"/>
  <c r="U12" i="39" l="1"/>
  <c r="AB7" i="79"/>
  <c r="U7" i="79"/>
  <c r="AA9" i="34"/>
  <c r="S9" i="34"/>
  <c r="AZ95" i="3"/>
  <c r="AZ71" i="3"/>
  <c r="AZ67" i="3"/>
  <c r="AZ65" i="3"/>
  <c r="S7" i="79"/>
  <c r="AA7" i="79"/>
  <c r="J7" i="79"/>
  <c r="AZ202" i="3"/>
  <c r="AZ193" i="3"/>
  <c r="AZ166" i="3"/>
  <c r="AZ161" i="3"/>
  <c r="AZ122" i="3"/>
  <c r="AZ300" i="3"/>
  <c r="AZ287" i="3"/>
  <c r="AZ277" i="3"/>
  <c r="AZ263" i="3"/>
  <c r="AZ259" i="3"/>
  <c r="AZ215" i="3"/>
  <c r="AZ486" i="3"/>
  <c r="AZ431" i="3"/>
  <c r="AZ425" i="3"/>
  <c r="AZ421" i="3"/>
  <c r="AZ46" i="3"/>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1" i="67"/>
  <c r="F64" i="67"/>
  <c r="F65" i="67"/>
  <c r="F71" i="15"/>
  <c r="C27" i="15"/>
  <c r="F64" i="15"/>
  <c r="F51" i="15"/>
  <c r="J57" i="15"/>
  <c r="J55" i="15" s="1"/>
  <c r="J58" i="15" s="1"/>
  <c r="Q50" i="15" s="1"/>
  <c r="F68" i="15"/>
  <c r="F66" i="15"/>
  <c r="AP7" i="1"/>
  <c r="C36" i="69" s="1"/>
  <c r="M7" i="1"/>
  <c r="O7" i="1" s="1"/>
  <c r="Q16" i="1"/>
  <c r="F27" i="69" s="1"/>
  <c r="H16" i="1"/>
  <c r="AB45" i="21"/>
  <c r="W32" i="21"/>
  <c r="AC32" i="21"/>
  <c r="AB9" i="21"/>
  <c r="U9" i="21"/>
  <c r="AA32" i="21"/>
  <c r="S32" i="21"/>
  <c r="W9" i="21"/>
  <c r="AC9" i="21"/>
  <c r="AB32" i="21"/>
  <c r="U32" i="21"/>
  <c r="AA10" i="21"/>
  <c r="S10" i="21"/>
  <c r="M26" i="67"/>
  <c r="M17" i="67"/>
  <c r="C76" i="15"/>
  <c r="F7" i="15"/>
  <c r="F13" i="15"/>
  <c r="F7" i="67"/>
  <c r="M22" i="67"/>
  <c r="C16" i="67"/>
  <c r="F59" i="67"/>
  <c r="F42" i="67"/>
  <c r="C16" i="15"/>
  <c r="J15" i="67"/>
  <c r="M8" i="15"/>
  <c r="C76" i="67"/>
  <c r="F40" i="67"/>
  <c r="M28" i="67"/>
  <c r="F26" i="67"/>
  <c r="F9" i="15"/>
  <c r="F38" i="67"/>
  <c r="M23" i="15"/>
  <c r="M6" i="15"/>
  <c r="F8" i="67"/>
  <c r="C17" i="15"/>
  <c r="F31" i="67"/>
  <c r="L47" i="67"/>
  <c r="M26" i="15"/>
  <c r="F6" i="67"/>
  <c r="F37" i="15"/>
  <c r="F31" i="15"/>
  <c r="L47" i="15"/>
  <c r="M29" i="67"/>
  <c r="F65" i="15" l="1"/>
  <c r="M59" i="67"/>
  <c r="L58" i="67"/>
  <c r="Q60" i="67" s="1"/>
  <c r="N59" i="67"/>
  <c r="L59" i="67" s="1"/>
  <c r="Q61" i="67" s="1"/>
  <c r="Q71" i="67"/>
  <c r="M7" i="15"/>
  <c r="J6" i="15" s="1"/>
  <c r="J10" i="15" s="1"/>
  <c r="F50" i="15"/>
  <c r="C6" i="15"/>
  <c r="C5" i="15" s="1"/>
  <c r="C32" i="15" s="1"/>
  <c r="F50" i="67"/>
  <c r="M7" i="67"/>
  <c r="Q71" i="15"/>
  <c r="C6" i="67"/>
  <c r="C10" i="67" s="1"/>
  <c r="L58" i="15"/>
  <c r="Q73" i="15" s="1"/>
  <c r="N59" i="15"/>
  <c r="M59" i="15"/>
  <c r="F66" i="67"/>
  <c r="F51" i="67"/>
  <c r="F70" i="67"/>
  <c r="C27" i="67"/>
  <c r="F68" i="67"/>
  <c r="C33" i="79"/>
  <c r="C33" i="21"/>
  <c r="W7" i="79"/>
  <c r="AC7" i="79"/>
  <c r="AQ7" i="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M16" i="1"/>
  <c r="N16" i="1" s="1"/>
  <c r="Q73" i="67"/>
  <c r="F27" i="11"/>
  <c r="C49" i="67"/>
  <c r="F1" i="67"/>
  <c r="Q52" i="67"/>
  <c r="M17" i="15"/>
  <c r="F59" i="15"/>
  <c r="Q60" i="15" l="1"/>
  <c r="Q74" i="67"/>
  <c r="F33" i="21"/>
  <c r="H33" i="21"/>
  <c r="J33" i="21"/>
  <c r="H33" i="79"/>
  <c r="J33" i="79"/>
  <c r="F33" i="79"/>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C33" i="79" l="1"/>
  <c r="V48" i="79" s="1"/>
  <c r="I48" i="79" s="1"/>
  <c r="W33" i="79"/>
  <c r="W33" i="21"/>
  <c r="AC33" i="21"/>
  <c r="AA33" i="21"/>
  <c r="S33" i="21"/>
  <c r="V48" i="21"/>
  <c r="I48" i="21" s="1"/>
  <c r="AA33" i="79"/>
  <c r="R48" i="79" s="1"/>
  <c r="S33" i="79"/>
  <c r="U33" i="79"/>
  <c r="AB33" i="79"/>
  <c r="T48" i="79" s="1"/>
  <c r="G48" i="79" s="1"/>
  <c r="AB33" i="21"/>
  <c r="T48" i="21" s="1"/>
  <c r="G48" i="21" s="1"/>
  <c r="U33" i="21"/>
  <c r="R25" i="6"/>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23" i="12"/>
  <c r="E6" i="76"/>
  <c r="G52" i="79" l="1"/>
  <c r="H52" i="79" s="1"/>
  <c r="G53" i="79"/>
  <c r="H53" i="79" s="1"/>
  <c r="I52" i="79"/>
  <c r="J52" i="79" s="1"/>
  <c r="E48" i="79"/>
  <c r="I53" i="79" s="1"/>
  <c r="J53" i="79" s="1"/>
  <c r="R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M21" i="15"/>
  <c r="F35" i="67"/>
  <c r="B6" i="76"/>
  <c r="C49" i="79" l="1"/>
  <c r="C48" i="79"/>
  <c r="E53" i="79"/>
  <c r="F53" i="79" s="1"/>
  <c r="E52" i="79"/>
  <c r="F52" i="79"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2" i="79" l="1"/>
  <c r="B3" i="7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15"/>
  <c r="F41" i="67"/>
  <c r="F41" i="15"/>
  <c r="M27"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E2" i="68"/>
  <c r="D2" i="21"/>
  <c r="D2" i="33"/>
  <c r="D2" i="34"/>
  <c r="D2" i="36"/>
  <c r="D2" i="35"/>
  <c r="F20" i="31"/>
  <c r="D2" i="37"/>
  <c r="B2" i="36" l="1"/>
  <c r="B3" i="36" s="1"/>
  <c r="B2" i="35"/>
  <c r="B3" i="35" s="1"/>
  <c r="B2" i="37"/>
  <c r="B3" i="37" s="1"/>
  <c r="B2" i="34"/>
  <c r="B3" i="34" s="1"/>
  <c r="B2" i="21"/>
  <c r="B2" i="70"/>
  <c r="B3" i="70" s="1"/>
  <c r="B3" i="68"/>
  <c r="D19" i="9"/>
  <c r="C19" i="9"/>
  <c r="D20" i="9"/>
  <c r="C21" i="9" l="1"/>
  <c r="C102" i="9"/>
  <c r="B3" i="21"/>
  <c r="G19" i="9"/>
  <c r="D102" i="9"/>
  <c r="D22" i="9"/>
  <c r="D21" i="9"/>
  <c r="D103" i="9"/>
  <c r="C20" i="9"/>
  <c r="C103" i="9" l="1"/>
  <c r="G20" i="9"/>
  <c r="R24" i="31" s="1"/>
  <c r="S24" i="31" s="1"/>
  <c r="C32" i="9"/>
  <c r="G21" i="9"/>
  <c r="D34" i="9"/>
  <c r="R26" i="31" l="1"/>
  <c r="S26" i="31" s="1"/>
  <c r="R34" i="31"/>
  <c r="S34" i="31" s="1"/>
  <c r="R29" i="31"/>
  <c r="S29" i="31" s="1"/>
  <c r="R28" i="31"/>
  <c r="S28" i="31" s="1"/>
  <c r="R36" i="31"/>
  <c r="S36" i="31" s="1"/>
  <c r="R31" i="31"/>
  <c r="S31" i="31" s="1"/>
  <c r="R30" i="31"/>
  <c r="S30" i="31" s="1"/>
  <c r="R25" i="31"/>
  <c r="S25" i="31" s="1"/>
  <c r="R33" i="31"/>
  <c r="S33" i="31" s="1"/>
  <c r="R32" i="31"/>
  <c r="S32" i="31" s="1"/>
  <c r="R27" i="31"/>
  <c r="S27" i="31" s="1"/>
  <c r="R35" i="31"/>
  <c r="S35" i="31" s="1"/>
  <c r="J7" i="33"/>
  <c r="W7" i="33" s="1"/>
  <c r="F7" i="33"/>
  <c r="S7" i="33" s="1"/>
  <c r="H7" i="33"/>
  <c r="AB7" i="33" s="1"/>
  <c r="T48" i="33" s="1"/>
  <c r="G48" i="33" s="1"/>
  <c r="S22" i="31" l="1"/>
  <c r="G52" i="33"/>
  <c r="H52" i="33" s="1"/>
  <c r="AA7" i="33"/>
  <c r="R48" i="33" s="1"/>
  <c r="U7" i="33"/>
  <c r="AC7" i="33"/>
  <c r="V48" i="33" s="1"/>
  <c r="I48" i="33" s="1"/>
  <c r="B20" i="31" l="1"/>
  <c r="D14" i="74"/>
  <c r="H14" i="74" s="1"/>
  <c r="R22" i="31"/>
  <c r="B21" i="31"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<sst xmlns="http://schemas.openxmlformats.org/spreadsheetml/2006/main" count="7848" uniqueCount="3142">
  <si>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</si>
  <si>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</si>
  <si>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</si>
  <si>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</si>
  <si>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</si>
  <si>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</si>
  <si>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</si>
  <si>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</si>
  <si>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</si>
  <si>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</si>
  <si>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</si>
  <si>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</si>
  <si>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</si>
  <si>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</si>
  <si>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</si>
  <si>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</si>
  <si>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</si>
  <si>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</si>
  <si>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</si>
  <si>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</si>
  <si>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</si>
  <si>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</si>
  <si>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</si>
  <si>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</si>
  <si>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</si>
  <si>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</si>
  <si>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</si>
  <si>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</si>
  <si>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</si>
  <si>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</si>
  <si>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</si>
  <si>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</si>
  <si>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</si>
  <si>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</si>
  <si>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</si>
  <si>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</si>
  <si>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</si>
  <si>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</si>
  <si>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</si>
  <si>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</si>
  <si>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</si>
  <si>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</si>
  <si>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</si>
  <si>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</si>
  <si>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</si>
  <si>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</si>
  <si>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</si>
  <si>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</si>
  <si>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</si>
  <si>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</si>
  <si>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</si>
  <si>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</si>
  <si>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</si>
  <si>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</si>
  <si>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</si>
  <si>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</si>
  <si>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</si>
  <si>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</si>
  <si>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</si>
  <si>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</si>
  <si>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</si>
  <si>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</si>
  <si>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</si>
  <si>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</si>
  <si>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</si>
  <si>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</si>
  <si>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</si>
  <si>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</si>
  <si>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</si>
  <si>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</si>
  <si>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</si>
  <si>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</si>
  <si>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</si>
  <si>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</si>
  <si>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</si>
  <si>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</si>
  <si>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</si>
  <si>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</si>
  <si>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</si>
  <si>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</si>
  <si>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</si>
  <si>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</si>
  <si>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</si>
  <si>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</si>
  <si>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</si>
  <si>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</si>
  <si>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</si>
  <si>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</si>
  <si>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</si>
  <si>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</si>
  <si>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</si>
  <si>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</si>
  <si>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</si>
  <si>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</si>
  <si>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</si>
  <si>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</si>
  <si>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</si>
  <si>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</si>
  <si>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</si>
  <si>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</si>
  <si>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</si>
  <si>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</si>
  <si>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</si>
  <si>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</si>
  <si>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</si>
  <si>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</si>
  <si>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</si>
  <si>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</si>
  <si>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</si>
  <si>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</si>
  <si>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</si>
  <si>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</si>
  <si>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</si>
  <si>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</si>
  <si>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</si>
  <si>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</si>
  <si>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</si>
  <si>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</si>
  <si>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</si>
  <si>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</si>
  <si>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</si>
  <si>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</si>
  <si>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</si>
  <si>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</si>
  <si>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</si>
  <si>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</si>
  <si>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</si>
  <si>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</si>
  <si>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</si>
  <si>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</si>
  <si>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</si>
  <si>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</si>
  <si>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</si>
  <si>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</si>
  <si>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</si>
  <si>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</si>
  <si>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</si>
  <si>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</si>
  <si>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</si>
  <si>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</si>
  <si>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</si>
  <si>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</si>
  <si>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</si>
  <si>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</si>
  <si>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</si>
  <si>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</si>
  <si>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</si>
  <si>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</si>
  <si>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</si>
  <si>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</si>
  <si>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</si>
  <si>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</si>
  <si>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</si>
  <si>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</si>
  <si>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</si>
  <si>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</si>
  <si>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</si>
  <si>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</si>
  <si>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</si>
  <si>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</si>
  <si>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</si>
  <si>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</si>
  <si>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</si>
  <si>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</si>
  <si>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</si>
  <si>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</si>
  <si>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</si>
  <si>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</si>
  <si>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</si>
  <si>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</si>
  <si>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</si>
  <si>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</si>
  <si>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</si>
  <si>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</si>
  <si>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</si>
  <si>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</si>
  <si>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</si>
  <si>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</si>
  <si>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</si>
  <si>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</si>
  <si>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</si>
  <si>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</si>
  <si>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</si>
  <si>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</si>
  <si>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</si>
  <si>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</si>
  <si>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</si>
  <si>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</si>
  <si>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</si>
  <si>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</si>
  <si>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</si>
  <si>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</si>
  <si>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</si>
  <si>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</si>
  <si>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</si>
  <si>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</si>
  <si>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</si>
  <si>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</si>
  <si>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</si>
  <si>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</si>
  <si>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</si>
  <si>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</si>
  <si>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</si>
  <si>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</si>
  <si>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</si>
  <si>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</si>
  <si>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</si>
  <si>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</si>
  <si>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</si>
  <si>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</si>
  <si>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</si>
  <si>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</si>
  <si>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</si>
  <si>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</si>
  <si>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</si>
  <si>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</si>
  <si>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</si>
  <si>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</si>
  <si>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</si>
  <si>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</si>
  <si>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</si>
  <si>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</si>
  <si>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</si>
  <si>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</si>
  <si>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</si>
  <si>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</si>
  <si>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</si>
  <si>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</si>
  <si>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</si>
  <si>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</si>
  <si>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</si>
  <si>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</si>
  <si>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</si>
  <si>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</si>
  <si>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</si>
  <si>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</si>
  <si>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</si>
  <si>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</si>
  <si>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</si>
  <si>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</si>
  <si>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</si>
  <si>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</si>
  <si>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</si>
  <si>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</si>
  <si>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</si>
  <si>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</si>
  <si>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</si>
  <si>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</si>
  <si>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</si>
  <si>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</si>
  <si>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</si>
  <si>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</si>
  <si>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</si>
  <si>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</si>
  <si>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</si>
  <si>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</si>
  <si>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</si>
  <si>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</si>
  <si>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</si>
  <si>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</si>
  <si>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</si>
  <si>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</si>
  <si>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</si>
  <si>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</si>
  <si>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</si>
  <si>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</si>
  <si>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</si>
  <si>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</si>
  <si>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</si>
  <si>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</si>
  <si>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</si>
  <si>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</si>
  <si>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</si>
  <si>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</si>
  <si>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</si>
  <si>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</si>
  <si>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</si>
  <si>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</si>
  <si>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</si>
  <si>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</si>
  <si>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</si>
  <si>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</si>
  <si>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</si>
  <si>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</si>
  <si>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</si>
  <si>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</si>
  <si>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</si>
  <si>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</si>
  <si>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</si>
  <si>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</si>
  <si>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</si>
  <si>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</si>
  <si>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</si>
  <si>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</si>
  <si>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</si>
  <si>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</si>
  <si>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</si>
  <si>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</si>
  <si>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</si>
  <si>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</si>
  <si>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</si>
  <si>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</si>
  <si>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</si>
  <si>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</si>
  <si>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</si>
  <si>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</si>
  <si>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</si>
  <si>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</si>
  <si>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</si>
  <si>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</si>
  <si>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</si>
  <si>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</si>
  <si>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</si>
  <si>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</si>
  <si>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</si>
  <si>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</si>
  <si>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</si>
  <si>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</si>
  <si>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</si>
  <si>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</si>
  <si>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</si>
  <si>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</si>
  <si>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</si>
  <si>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</si>
  <si>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</si>
  <si>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</si>
  <si>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</si>
  <si>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</si>
  <si>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</si>
  <si>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</si>
  <si>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</si>
  <si>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</si>
  <si>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</si>
  <si>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</si>
  <si>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</si>
  <si>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</si>
  <si>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</si>
  <si>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</si>
  <si>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</si>
  <si>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</si>
  <si>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</si>
  <si>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</si>
  <si>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</si>
  <si>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</si>
  <si>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</si>
  <si>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</si>
  <si>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</si>
  <si>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</si>
  <si>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</si>
  <si>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</si>
  <si>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</si>
  <si>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</si>
  <si>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</si>
  <si>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</si>
  <si>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</si>
  <si>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</si>
  <si>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</si>
  <si>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</si>
  <si>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</si>
  <si>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</si>
  <si>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</si>
  <si>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</si>
  <si>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</si>
  <si>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</si>
  <si>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</si>
  <si>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</si>
  <si>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</si>
  <si>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</si>
  <si>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</si>
  <si>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</si>
  <si>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</si>
  <si>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</si>
  <si>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</si>
  <si>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</si>
  <si>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</si>
  <si>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</si>
  <si>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</si>
  <si>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</si>
  <si>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</si>
  <si>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</si>
  <si>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</si>
  <si>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</si>
  <si>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</si>
  <si>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</si>
  <si>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</si>
  <si>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</si>
  <si>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</si>
  <si>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</si>
  <si>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</si>
  <si>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</si>
  <si>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</si>
  <si>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</si>
  <si>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</si>
  <si>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</si>
  <si>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</si>
  <si>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</si>
  <si>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</si>
  <si>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</si>
  <si>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</si>
  <si>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</si>
  <si>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</si>
  <si>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</si>
  <si>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</si>
  <si>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</si>
  <si>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</si>
  <si>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</si>
  <si>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</si>
  <si>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</si>
  <si>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</si>
  <si>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</si>
  <si>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</si>
  <si>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</si>
  <si>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</si>
  <si>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</si>
  <si>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</si>
  <si>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</si>
  <si>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</si>
  <si>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</si>
  <si>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</si>
  <si>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</si>
  <si>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</si>
  <si>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</si>
  <si>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</si>
  <si>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</si>
  <si>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</si>
  <si>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</si>
  <si>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</si>
  <si>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</si>
  <si>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</si>
  <si>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</si>
  <si>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</si>
  <si>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</si>
  <si>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</si>
  <si>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</si>
  <si>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</si>
  <si>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</si>
  <si>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</si>
  <si>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</si>
  <si>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</si>
  <si>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</si>
  <si>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</si>
  <si>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</si>
  <si>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</si>
  <si>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</si>
  <si>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</si>
  <si>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</si>
  <si>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</si>
  <si>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</si>
  <si>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</si>
  <si>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</si>
  <si>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</si>
  <si>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</si>
  <si>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</si>
  <si>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</si>
  <si>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</si>
  <si>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</si>
  <si>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</si>
  <si>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</si>
  <si>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</si>
  <si>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</si>
  <si>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</si>
  <si>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</si>
  <si>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</si>
  <si>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</si>
  <si>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</si>
  <si>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</si>
  <si>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</si>
  <si>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</si>
  <si>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</si>
  <si>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</si>
  <si>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</si>
  <si>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</si>
  <si>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</si>
  <si>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</si>
  <si>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</si>
  <si>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</si>
  <si>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</si>
  <si>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</si>
  <si>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</si>
  <si>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</si>
  <si>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</si>
  <si>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</si>
  <si>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</si>
  <si>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</si>
  <si>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</si>
  <si>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</si>
  <si>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</si>
  <si>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</si>
  <si>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</si>
  <si>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</si>
  <si>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</si>
  <si>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</si>
  <si>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</si>
  <si>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</si>
  <si>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</si>
  <si>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</si>
  <si>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</si>
  <si>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</si>
  <si>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</si>
  <si>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</si>
  <si>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</si>
  <si>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</si>
  <si>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</si>
  <si>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</si>
  <si>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</si>
  <si>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</si>
  <si>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</si>
  <si>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</si>
  <si>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</si>
  <si>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</si>
  <si>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</si>
  <si>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</si>
  <si>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</si>
  <si>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</si>
  <si>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</si>
  <si>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</si>
  <si>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</si>
  <si>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</si>
  <si>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</si>
  <si>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</si>
  <si>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</si>
  <si>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</si>
  <si>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</si>
  <si>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</si>
  <si>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</si>
  <si>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</si>
  <si>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</si>
  <si>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</si>
  <si>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</si>
  <si>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</si>
  <si>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</si>
  <si>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</si>
  <si>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</si>
  <si>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</si>
  <si>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</si>
  <si>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</si>
  <si>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</si>
  <si>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</si>
  <si>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</si>
  <si>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</si>
  <si>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</si>
  <si>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</si>
  <si>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</si>
  <si>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</si>
  <si>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</si>
  <si>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</si>
  <si>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</si>
  <si>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</si>
  <si>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</si>
  <si>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</si>
  <si>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</si>
  <si>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</si>
  <si>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</si>
  <si>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</si>
  <si>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</si>
  <si>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</si>
  <si>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</si>
  <si>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</si>
  <si>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</si>
  <si>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</si>
  <si>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</si>
  <si>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</si>
  <si>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</si>
  <si>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</si>
  <si>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</si>
  <si>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</si>
  <si>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</si>
  <si>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</si>
  <si>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</si>
  <si>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</si>
  <si>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</si>
  <si>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</si>
  <si>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</si>
  <si>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</si>
  <si>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</si>
  <si>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</si>
  <si>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</si>
  <si>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</si>
  <si>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</si>
  <si>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</si>
  <si>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</si>
  <si>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</si>
  <si>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</si>
  <si>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</si>
  <si>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</si>
  <si>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</si>
  <si>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</si>
  <si>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</si>
  <si>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</si>
  <si>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</si>
  <si>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</si>
  <si>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</si>
  <si>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</si>
  <si>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</si>
  <si>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</si>
  <si>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</si>
  <si>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</si>
  <si>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</si>
  <si>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</si>
  <si>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</si>
  <si>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</si>
  <si>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</si>
  <si>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</si>
  <si>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</si>
  <si>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</si>
  <si>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</si>
  <si>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</si>
  <si>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</si>
  <si>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</si>
  <si>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</si>
  <si>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</si>
  <si>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</si>
  <si>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</si>
  <si>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</si>
  <si>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</si>
  <si>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</si>
  <si>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</si>
  <si>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</si>
  <si>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</si>
  <si>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</si>
  <si>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</si>
  <si>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</si>
  <si>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</si>
  <si>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</si>
  <si>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</si>
  <si>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</si>
  <si>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</si>
  <si>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</si>
  <si>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</si>
  <si>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</si>
  <si>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</si>
  <si>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</si>
  <si>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</si>
  <si>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</si>
  <si>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</si>
  <si>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</si>
  <si>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</si>
  <si>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</si>
  <si>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</si>
  <si>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</si>
  <si>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</si>
  <si>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</si>
  <si>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</si>
  <si>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</si>
  <si>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</si>
  <si>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</si>
  <si>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</si>
  <si>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</si>
  <si>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</si>
  <si>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</si>
  <si>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</si>
  <si>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</si>
  <si>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</si>
  <si>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</si>
  <si>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</si>
  <si>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</si>
  <si>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</si>
  <si>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</si>
  <si>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</si>
  <si>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</si>
  <si>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</si>
  <si>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</si>
  <si>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</si>
  <si>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</si>
  <si>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</si>
  <si>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</si>
  <si>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</si>
  <si>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</si>
  <si>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</si>
  <si>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</si>
  <si>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</si>
  <si>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</si>
  <si>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</si>
  <si>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</si>
  <si>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</si>
  <si>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</si>
  <si>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</si>
  <si>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</si>
  <si>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</si>
  <si>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</si>
  <si>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</si>
  <si>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</si>
  <si>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</si>
  <si>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</si>
  <si>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</si>
  <si>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</si>
  <si>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</si>
  <si>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</si>
  <si>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</si>
  <si>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</si>
  <si>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</si>
  <si>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</si>
  <si>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</si>
  <si>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</si>
  <si>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</si>
  <si>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</si>
  <si>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</si>
  <si>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</si>
  <si>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</si>
  <si>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</si>
  <si>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</si>
  <si>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</si>
  <si>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</si>
  <si>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</si>
  <si>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</si>
  <si>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</si>
  <si>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</si>
  <si>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</si>
  <si>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</si>
  <si>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</si>
  <si>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</si>
  <si>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</si>
  <si>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</si>
  <si>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</si>
  <si>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</si>
  <si>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</si>
  <si>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</si>
  <si>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</si>
  <si>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</si>
  <si>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</si>
  <si>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</si>
  <si>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</si>
  <si>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</si>
  <si>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</si>
  <si>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</si>
  <si>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</si>
  <si>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</si>
  <si>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</si>
  <si>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</si>
  <si>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</si>
  <si>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</si>
  <si>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</si>
  <si>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</si>
  <si>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</si>
  <si>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</si>
  <si>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</si>
  <si>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</si>
  <si>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</si>
  <si>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</si>
  <si>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</si>
  <si>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</si>
  <si>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</si>
  <si>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</si>
  <si>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</si>
  <si>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</si>
  <si>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</si>
  <si>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</si>
  <si>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</si>
  <si>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</si>
  <si>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</si>
  <si>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</si>
  <si>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</si>
  <si>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</si>
  <si>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</si>
  <si>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</si>
  <si>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</si>
  <si>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</si>
  <si>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</si>
  <si>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</si>
  <si>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</si>
  <si>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</si>
  <si>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</si>
  <si>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</si>
  <si>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</si>
  <si>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</si>
  <si>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</si>
  <si>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</si>
  <si>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</si>
  <si>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</si>
  <si>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</si>
  <si>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</si>
  <si>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</si>
  <si>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</si>
  <si>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</si>
  <si>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</si>
  <si>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</si>
  <si>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</si>
  <si>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</si>
  <si>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</si>
  <si>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</si>
  <si>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</si>
  <si>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</si>
  <si>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</si>
  <si>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</si>
  <si>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</si>
  <si>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</si>
  <si>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</si>
  <si>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</si>
  <si>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</si>
  <si>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</si>
  <si>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</si>
  <si>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</si>
  <si>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</si>
  <si>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</si>
  <si>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</si>
  <si>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</si>
  <si>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</si>
  <si>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</si>
  <si>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</si>
  <si>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</si>
  <si>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</si>
  <si>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</si>
  <si>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</si>
  <si>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</si>
  <si>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</si>
  <si>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</si>
  <si>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</si>
  <si>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</si>
  <si>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</si>
  <si>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</si>
  <si>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</si>
  <si>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</si>
  <si>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</si>
  <si>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</si>
  <si>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</si>
  <si>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</si>
  <si>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</si>
  <si>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</si>
  <si>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</si>
  <si>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</si>
  <si>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</si>
  <si>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</si>
  <si>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</si>
  <si>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</si>
  <si>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</si>
  <si>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</si>
  <si>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</si>
  <si>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</si>
  <si>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</si>
  <si>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</si>
  <si>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</si>
  <si>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</si>
  <si>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</si>
  <si>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</si>
  <si>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</si>
  <si>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</si>
  <si>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</si>
  <si>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</si>
  <si>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</si>
  <si>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</si>
  <si>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</si>
  <si>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</si>
  <si>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</si>
  <si>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</si>
  <si>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</si>
  <si>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</si>
  <si>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</si>
  <si>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</si>
  <si>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</si>
  <si>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</si>
  <si>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</si>
  <si>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</si>
  <si>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</si>
  <si>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</si>
  <si>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</si>
  <si>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</si>
  <si>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</si>
  <si>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</si>
  <si>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</si>
  <si>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</si>
  <si>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</si>
  <si>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</si>
  <si>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</si>
  <si>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</si>
  <si>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</si>
  <si>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</si>
  <si>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</si>
  <si>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</si>
  <si>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</si>
  <si>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</si>
  <si>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</si>
  <si>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</si>
  <si>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</si>
  <si>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</si>
  <si>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</si>
  <si>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</si>
  <si>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</si>
  <si>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</si>
  <si>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</si>
  <si>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</si>
  <si>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</si>
  <si>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</si>
  <si>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</si>
  <si>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</si>
  <si>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</si>
  <si>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</si>
  <si>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</si>
  <si>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</si>
  <si>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</si>
  <si>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</si>
  <si>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</si>
  <si>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</si>
  <si>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</si>
  <si>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</si>
  <si>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</si>
  <si>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</si>
  <si>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</si>
  <si>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</si>
  <si>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</si>
  <si>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</si>
  <si>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</si>
  <si>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</si>
  <si>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</si>
  <si>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</si>
  <si>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</si>
  <si>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</si>
  <si>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</si>
  <si>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</si>
  <si>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</si>
  <si>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</si>
  <si>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</si>
  <si>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</si>
  <si>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</si>
  <si>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</si>
  <si>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</si>
  <si>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</si>
  <si>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</si>
  <si>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</si>
  <si>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</si>
  <si>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</si>
  <si>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</si>
  <si>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</si>
  <si>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</si>
  <si>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</si>
  <si>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</si>
  <si>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</si>
  <si>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</si>
  <si>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</si>
  <si>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</si>
  <si>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</si>
  <si>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</si>
  <si>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</si>
  <si>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</si>
  <si>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</si>
  <si>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</si>
  <si>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</si>
  <si>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</si>
  <si>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</si>
  <si>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</si>
  <si>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</si>
  <si>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</si>
  <si>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</si>
  <si>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</si>
  <si>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</si>
  <si>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</si>
  <si>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</si>
  <si>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</si>
  <si>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</si>
  <si>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</si>
  <si>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</si>
  <si>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</si>
  <si>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</si>
  <si>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</si>
  <si>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</si>
  <si>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</si>
  <si>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</si>
  <si>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</si>
  <si>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</si>
  <si>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</si>
  <si>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</si>
  <si>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</si>
  <si>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</si>
  <si>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</si>
  <si>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</si>
  <si>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</si>
  <si>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</si>
  <si>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</si>
  <si>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</si>
  <si>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</si>
  <si>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</si>
  <si>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</si>
  <si>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</si>
  <si>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</si>
  <si>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</si>
  <si>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</si>
  <si>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</si>
  <si>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</si>
  <si>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</si>
  <si>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</si>
  <si>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</si>
  <si>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</si>
  <si>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</si>
  <si>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</si>
  <si>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</si>
  <si>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</si>
  <si>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</si>
  <si>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</si>
  <si>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</si>
  <si>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</si>
  <si>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</si>
  <si>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</si>
  <si>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</si>
  <si>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</si>
  <si>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</si>
  <si>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</si>
  <si>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</si>
  <si>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</si>
  <si>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</si>
  <si>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</si>
  <si>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</si>
  <si>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</si>
  <si>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</si>
  <si>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</si>
  <si>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</si>
  <si>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</si>
  <si>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</si>
  <si>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</si>
  <si>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</si>
  <si>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</si>
  <si>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</si>
  <si>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</si>
  <si>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</si>
  <si>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</si>
  <si>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</si>
  <si>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</si>
  <si>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</si>
  <si>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</si>
  <si>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</si>
  <si>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</si>
  <si>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</si>
  <si>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</si>
  <si>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</si>
  <si>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</si>
  <si>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</si>
  <si>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</si>
  <si>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</si>
  <si>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</si>
  <si>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</si>
  <si>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</si>
  <si>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</si>
  <si>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</si>
  <si>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</si>
  <si>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</si>
  <si>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</si>
  <si>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</si>
  <si>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</si>
  <si>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</si>
  <si>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</si>
  <si>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</si>
  <si>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</si>
  <si>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</si>
  <si>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</si>
  <si>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</si>
  <si>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</si>
  <si>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</si>
  <si>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</si>
  <si>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</si>
  <si>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</si>
  <si>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</si>
  <si>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</si>
  <si>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</si>
  <si>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</si>
  <si>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</si>
  <si>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</si>
  <si>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</si>
  <si>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</si>
  <si>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</si>
  <si>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</si>
  <si>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</si>
  <si>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</si>
  <si>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</si>
  <si>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</si>
  <si>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</si>
  <si>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</si>
  <si>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</si>
  <si>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</si>
  <si>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</si>
  <si>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</si>
  <si>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</si>
  <si>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</si>
  <si>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</si>
  <si>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</si>
  <si>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</si>
  <si>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</si>
  <si>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</si>
  <si>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</si>
  <si>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</si>
  <si>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</si>
  <si>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</si>
  <si>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</si>
  <si>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</si>
  <si>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</si>
  <si>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</si>
  <si>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</si>
  <si>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</si>
  <si>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</si>
  <si>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</si>
  <si>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</si>
  <si>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</si>
  <si>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</si>
  <si>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</si>
  <si>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</si>
  <si>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</si>
  <si>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</si>
  <si>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</si>
  <si>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</si>
  <si>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</si>
  <si>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</si>
  <si>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</si>
  <si>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</si>
  <si>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</si>
  <si>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</si>
  <si>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</si>
  <si>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</si>
  <si>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</si>
  <si>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</si>
  <si>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</si>
  <si>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</si>
  <si>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</si>
  <si>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</si>
  <si>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</si>
  <si>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</si>
  <si>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</si>
  <si>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</si>
  <si>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</si>
  <si>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</si>
  <si>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</si>
  <si>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</si>
  <si>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</si>
  <si>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</si>
  <si>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</si>
  <si>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</si>
  <si>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</si>
  <si>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</si>
  <si>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</si>
  <si>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</si>
  <si>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</si>
  <si>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</si>
  <si>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</si>
  <si>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</si>
  <si>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</si>
  <si>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</si>
  <si>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</si>
  <si>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</si>
  <si>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</si>
  <si>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</si>
  <si>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</si>
  <si>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</si>
  <si>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</si>
  <si>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</si>
  <si>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</si>
  <si>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</si>
  <si>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</si>
  <si>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</si>
  <si>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</si>
  <si>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</si>
  <si>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</si>
  <si>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</si>
  <si>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</si>
  <si>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</si>
  <si>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</si>
  <si>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</si>
  <si>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</si>
  <si>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</si>
  <si>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</si>
  <si>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</si>
  <si>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</si>
  <si>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</si>
  <si>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</si>
  <si>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</si>
  <si>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</si>
  <si>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</si>
  <si>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</si>
  <si>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</si>
  <si>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</si>
  <si>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</si>
  <si>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</si>
  <si>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</si>
  <si>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</si>
  <si>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</si>
  <si>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</si>
  <si>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</si>
  <si>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</si>
  <si>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</si>
  <si>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</si>
  <si>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</si>
  <si>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</si>
  <si>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</si>
  <si>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</si>
  <si>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</si>
  <si>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</si>
  <si>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</si>
  <si>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</si>
  <si>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</si>
  <si>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</si>
  <si>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</si>
  <si>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</si>
  <si>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</si>
  <si>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</si>
  <si>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</si>
  <si>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</si>
  <si>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</si>
  <si>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</si>
  <si>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</si>
  <si>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</si>
  <si>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</si>
  <si>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</si>
  <si>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</si>
  <si>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</si>
  <si>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</si>
  <si>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</si>
  <si>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</si>
  <si>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</si>
  <si>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</si>
  <si>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</si>
  <si>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</si>
  <si>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</si>
  <si>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</si>
  <si>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</si>
  <si>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</si>
  <si>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</si>
  <si>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</si>
  <si>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</si>
  <si>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</si>
  <si>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</si>
  <si>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</si>
  <si>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</si>
  <si>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</si>
  <si>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</si>
  <si>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</si>
  <si>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</si>
  <si>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</si>
  <si>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</si>
  <si>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</si>
  <si>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</si>
  <si>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</si>
  <si>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</si>
  <si>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</si>
  <si>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</si>
  <si>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</si>
  <si>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</si>
  <si>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</si>
  <si>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</si>
  <si>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</si>
  <si>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</si>
  <si>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</si>
  <si>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</si>
  <si>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</si>
  <si>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</si>
  <si>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</si>
  <si>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</si>
  <si>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</si>
  <si>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</si>
  <si>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</si>
  <si>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</si>
  <si>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</si>
  <si>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</si>
  <si>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</si>
  <si>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</si>
  <si>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</si>
  <si>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</si>
  <si>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</si>
  <si>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</si>
  <si>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</si>
  <si>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</si>
  <si>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</si>
  <si>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</si>
  <si>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</si>
  <si>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</si>
  <si>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</si>
  <si>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</si>
  <si>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</si>
  <si>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</si>
  <si>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</si>
  <si>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</si>
  <si>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</si>
  <si>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</si>
  <si>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</si>
  <si>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</si>
  <si>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</si>
  <si>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</si>
  <si>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</si>
  <si>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</si>
  <si>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</si>
  <si>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</si>
  <si>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</si>
  <si>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</si>
  <si>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</si>
  <si>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</si>
  <si>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</si>
  <si>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</si>
  <si>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</si>
  <si>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</si>
  <si>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</si>
  <si>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</si>
  <si>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</si>
  <si>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</si>
  <si>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</si>
  <si>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</si>
  <si>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</si>
  <si>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</si>
  <si>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</si>
  <si>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</si>
  <si>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</si>
  <si>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</si>
  <si>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</si>
  <si>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</si>
  <si>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</si>
  <si>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</si>
  <si>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</si>
  <si>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</si>
  <si>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</si>
  <si>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</si>
  <si>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</si>
  <si>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</si>
  <si>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</si>
  <si>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</si>
  <si>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</si>
  <si>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</si>
  <si>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</si>
  <si>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</si>
  <si>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</si>
  <si>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</si>
  <si>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</si>
  <si>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</si>
  <si>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</si>
  <si>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</si>
  <si>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</si>
  <si>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</si>
  <si>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</si>
  <si>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</si>
  <si>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</si>
  <si>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</si>
  <si>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</si>
  <si>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</si>
  <si>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</si>
  <si>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</si>
  <si>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</si>
  <si>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</si>
  <si>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</si>
  <si>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</si>
  <si>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</si>
  <si>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</si>
  <si>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</si>
  <si>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</si>
  <si>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</si>
  <si>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</si>
  <si>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</si>
  <si>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</si>
  <si>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</si>
  <si>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</si>
  <si>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</si>
  <si>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</si>
  <si>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</si>
  <si>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</si>
  <si>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</si>
  <si>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</si>
  <si>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</si>
  <si>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</si>
  <si>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</si>
  <si>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</si>
  <si>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</si>
  <si>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</si>
  <si>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</si>
  <si>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</si>
  <si>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</si>
  <si>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</si>
  <si>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</si>
  <si>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</si>
  <si>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</si>
  <si>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</si>
  <si>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</si>
  <si>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</si>
  <si>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</si>
  <si>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</si>
  <si>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</si>
  <si>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</si>
  <si>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</si>
  <si>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</si>
  <si>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</si>
  <si>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</si>
  <si>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</si>
  <si>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</si>
  <si>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</si>
  <si>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</si>
  <si>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</si>
  <si>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</si>
  <si>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</si>
  <si>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</si>
  <si>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</si>
  <si>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</si>
  <si>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</si>
  <si>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</si>
  <si>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</si>
  <si>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</si>
  <si>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</si>
  <si>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</si>
  <si>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</si>
  <si>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</si>
  <si>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</si>
  <si>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</si>
  <si>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</si>
  <si>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</si>
  <si>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</si>
  <si>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</si>
  <si>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</si>
  <si>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</si>
  <si>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</si>
  <si>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</si>
  <si>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</si>
  <si>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</si>
  <si>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</si>
  <si>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</si>
  <si>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</si>
  <si>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</si>
  <si>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</si>
  <si>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</si>
  <si>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</si>
  <si>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</si>
  <si>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</si>
  <si>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</si>
  <si>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</si>
  <si>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</si>
  <si>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</si>
  <si>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</si>
  <si>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</si>
  <si>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</si>
  <si>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</si>
  <si>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</si>
  <si>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</si>
  <si>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</si>
  <si>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</si>
  <si>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</si>
  <si>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</si>
  <si>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</si>
  <si>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</si>
  <si>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</si>
  <si>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</si>
  <si>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</si>
  <si>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</si>
  <si>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</si>
  <si>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</si>
  <si>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</si>
  <si>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</si>
  <si>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</si>
  <si>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</si>
  <si>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</si>
  <si>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</si>
  <si>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</si>
  <si>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</si>
  <si>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</si>
  <si>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</si>
  <si>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</si>
  <si>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</si>
  <si>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</si>
  <si>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</si>
  <si>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</si>
  <si>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</si>
  <si>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</si>
  <si>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</si>
  <si>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</si>
  <si>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</si>
  <si>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</si>
  <si>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</si>
  <si>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</si>
  <si>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</si>
  <si>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</si>
  <si>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</si>
  <si>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</si>
  <si>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</si>
  <si>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</si>
  <si>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</si>
  <si>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</si>
  <si>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</si>
  <si>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</si>
  <si>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</si>
  <si>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</si>
  <si>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</si>
  <si>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</si>
  <si>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</si>
  <si>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</si>
  <si>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</si>
  <si>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</si>
  <si>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</si>
  <si>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</si>
  <si>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</si>
  <si>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</si>
  <si>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</si>
  <si>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</si>
  <si>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</si>
  <si>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</si>
  <si>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</si>
  <si>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</si>
  <si>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</si>
  <si>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</si>
  <si>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</si>
  <si>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</si>
  <si>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</si>
  <si>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</si>
  <si>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</si>
  <si>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</si>
  <si>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</si>
  <si>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</si>
  <si>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</si>
  <si>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</si>
  <si>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</si>
  <si>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</si>
  <si>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</si>
  <si>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</si>
  <si>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</si>
  <si>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</si>
  <si>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</si>
  <si>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</si>
  <si>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</si>
  <si>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</si>
  <si>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</si>
  <si>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</si>
  <si>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</si>
  <si>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</si>
  <si>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</si>
  <si>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</si>
  <si>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</si>
  <si>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</si>
  <si>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</si>
  <si>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</si>
  <si>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</si>
  <si>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</si>
  <si>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</si>
  <si>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</si>
  <si>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</si>
  <si>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</si>
  <si>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</si>
  <si>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</si>
  <si>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</si>
  <si>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</si>
  <si>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</si>
  <si>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</si>
  <si>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</si>
  <si>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</si>
  <si>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</si>
  <si>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</si>
  <si>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</si>
  <si>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</si>
  <si>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</si>
  <si>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</si>
  <si>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</si>
  <si>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</si>
  <si>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</si>
  <si>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</si>
  <si>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</si>
  <si>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</si>
  <si>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</si>
  <si>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</si>
  <si>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</si>
  <si>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</si>
  <si>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</si>
  <si>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</si>
  <si>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</si>
  <si>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</si>
  <si>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</si>
  <si>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</si>
  <si>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</si>
  <si>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</si>
  <si>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</si>
  <si>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</si>
  <si>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</si>
  <si>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</si>
  <si>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</si>
  <si>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</si>
  <si>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</si>
  <si>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</si>
  <si>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</si>
  <si>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</si>
  <si>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</si>
  <si>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</si>
  <si>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</si>
  <si>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</si>
  <si>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</si>
  <si>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</si>
  <si>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</si>
  <si>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</si>
  <si>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</si>
  <si>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</si>
  <si>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</si>
  <si>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</si>
  <si>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</si>
  <si>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</si>
  <si>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</si>
  <si>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</si>
  <si>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</si>
  <si>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</si>
  <si>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</si>
  <si>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</si>
  <si>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</si>
  <si>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</si>
  <si>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</si>
  <si>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</si>
  <si>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</si>
  <si>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</si>
  <si>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</si>
  <si>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</si>
  <si>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</si>
  <si>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</si>
  <si>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</si>
  <si>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</si>
  <si>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</si>
  <si>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</si>
  <si>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</si>
  <si>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</si>
  <si>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</si>
  <si>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</si>
  <si>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</si>
  <si>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</si>
  <si>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</si>
  <si>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</si>
  <si>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</si>
  <si>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</si>
  <si>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</si>
  <si>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</si>
  <si>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</si>
  <si>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</si>
  <si>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</si>
  <si>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</si>
  <si>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</si>
  <si>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</si>
  <si>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</si>
  <si>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</si>
  <si>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</si>
  <si>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</si>
  <si>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</si>
  <si>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</si>
  <si>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</si>
  <si>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</si>
  <si>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</si>
  <si>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</si>
  <si>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</si>
  <si>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</si>
  <si>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</si>
  <si>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</si>
  <si>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</si>
  <si>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</si>
  <si>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</si>
  <si>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</si>
  <si>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</si>
  <si>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</si>
  <si>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</si>
  <si>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</si>
  <si>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</si>
  <si>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</si>
  <si>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</si>
  <si>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</si>
  <si>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</si>
  <si>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</si>
  <si>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</si>
  <si>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</si>
  <si>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</si>
  <si>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</si>
  <si>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</si>
  <si>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</si>
  <si>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</si>
  <si>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</si>
  <si>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</si>
  <si>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</si>
  <si>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</si>
  <si>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</si>
  <si>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</si>
  <si>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</si>
  <si>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</si>
  <si>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</si>
  <si>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</si>
  <si>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</si>
  <si>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</si>
  <si>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</si>
  <si>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</si>
  <si>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</si>
  <si>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</si>
  <si>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</si>
  <si>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</si>
  <si>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</si>
  <si>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</si>
  <si>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</si>
  <si>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</si>
  <si>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</si>
  <si>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</si>
  <si>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</si>
  <si>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</si>
  <si>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</si>
  <si>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</si>
  <si>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</si>
  <si>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</si>
  <si>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</si>
  <si>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</si>
  <si>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</si>
  <si>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</si>
  <si>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</si>
  <si>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</si>
  <si>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</si>
  <si>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</si>
  <si>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</si>
  <si>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</si>
  <si>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</si>
  <si>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</si>
  <si>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</si>
  <si>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</si>
  <si>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</si>
  <si>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</si>
  <si>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</si>
  <si>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</si>
  <si>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</si>
  <si>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</si>
  <si>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</si>
  <si>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</si>
  <si>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</si>
  <si>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</si>
  <si>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</si>
  <si>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</si>
  <si>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</si>
  <si>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</si>
  <si>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</si>
  <si>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</si>
  <si>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</si>
  <si>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</si>
  <si>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</si>
  <si>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</si>
  <si>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</si>
  <si>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</si>
  <si>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</si>
  <si>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</si>
  <si>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</si>
  <si>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</si>
  <si>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</si>
  <si>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</si>
  <si>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</si>
  <si>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</si>
  <si>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</si>
  <si>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</si>
  <si>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</si>
  <si>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</si>
  <si>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</si>
  <si>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</si>
  <si>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</si>
  <si>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</si>
  <si>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</si>
  <si>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</si>
  <si>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</si>
  <si>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</si>
  <si>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</si>
  <si>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</si>
  <si>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</si>
  <si>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</si>
  <si>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</si>
  <si>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</si>
  <si>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</si>
  <si>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</si>
  <si>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</si>
  <si>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</si>
  <si>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</si>
  <si>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</si>
  <si>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</si>
  <si>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</si>
  <si>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</si>
  <si>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</si>
  <si>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</si>
  <si>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</si>
  <si>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</si>
  <si>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</si>
  <si>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</si>
  <si>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</si>
  <si>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</si>
  <si>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</si>
  <si>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</si>
  <si>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</si>
  <si>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</si>
  <si>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</si>
  <si>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</si>
  <si>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</si>
  <si>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</si>
  <si>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</si>
  <si>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</si>
  <si>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</si>
  <si>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</si>
  <si>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</si>
  <si>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</si>
  <si>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</si>
  <si>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</si>
  <si>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</si>
  <si>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</si>
  <si>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</si>
  <si>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</si>
  <si>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</si>
  <si>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</si>
  <si>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</si>
  <si>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</si>
  <si>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</si>
  <si>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</si>
  <si>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</si>
  <si>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</si>
  <si>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</si>
  <si>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</si>
  <si>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</si>
  <si>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</si>
  <si>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</si>
  <si>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</si>
  <si>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</si>
  <si>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</si>
  <si>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</si>
  <si>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</si>
  <si>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</si>
  <si>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</si>
  <si>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</si>
  <si>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</si>
  <si>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</si>
  <si>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</si>
  <si>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</si>
  <si>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</si>
  <si>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</si>
  <si>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</si>
  <si>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</si>
  <si>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</si>
  <si>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</si>
  <si>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</si>
  <si>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</si>
  <si>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</si>
  <si>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</si>
  <si>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</si>
  <si>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</si>
  <si>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</si>
  <si>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</si>
  <si>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</si>
  <si>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</si>
  <si>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</si>
  <si>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</si>
  <si>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</si>
  <si>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</si>
  <si>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</si>
  <si>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</si>
  <si>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</si>
  <si>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</si>
  <si>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</si>
  <si>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</si>
  <si>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</si>
  <si>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</si>
  <si>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</si>
  <si>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</si>
  <si>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</si>
  <si>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</si>
  <si>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</si>
  <si>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</si>
  <si>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</si>
  <si>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</si>
  <si>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</si>
  <si>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</si>
  <si>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</si>
  <si>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</si>
  <si>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</si>
  <si>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</si>
  <si>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</si>
  <si>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</si>
  <si>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</si>
  <si>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</si>
  <si>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</si>
  <si>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</si>
  <si>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</si>
  <si>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</si>
  <si>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</si>
  <si>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</si>
  <si>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</si>
  <si>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</si>
  <si>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</si>
  <si>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</si>
  <si>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</si>
  <si>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</si>
  <si>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</si>
  <si>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</si>
  <si>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</si>
  <si>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</si>
  <si>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</si>
  <si>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</si>
  <si>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</si>
  <si>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</si>
  <si>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</si>
  <si>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</si>
  <si>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</si>
  <si>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</si>
  <si>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</si>
  <si>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</si>
  <si>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</si>
  <si>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</si>
  <si>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</si>
  <si>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</si>
  <si>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</si>
  <si>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</si>
  <si>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</si>
  <si>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</si>
  <si>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</si>
  <si>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</si>
  <si>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</si>
  <si>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</si>
  <si>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</si>
  <si>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</si>
  <si>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</si>
  <si>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</si>
  <si>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</si>
  <si>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</si>
  <si>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</si>
  <si>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</si>
  <si>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</si>
  <si>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</si>
  <si>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</si>
  <si>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</si>
  <si>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</si>
  <si>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</si>
  <si>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</si>
  <si>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</si>
  <si>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</si>
  <si>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</si>
  <si>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</si>
  <si>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</si>
  <si>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</si>
  <si>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</si>
  <si>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</si>
  <si>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</si>
  <si>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</si>
  <si>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</si>
  <si>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</si>
  <si>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</si>
  <si>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</si>
  <si>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</si>
  <si>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</si>
  <si>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</si>
  <si>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</si>
  <si>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</si>
  <si>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</si>
  <si>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</si>
  <si>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</si>
  <si>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</si>
  <si>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</si>
  <si>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</si>
  <si>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</si>
  <si>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</si>
  <si>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</si>
  <si>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</si>
  <si>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</si>
  <si>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</si>
  <si>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</si>
  <si>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</si>
  <si>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</si>
  <si>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</si>
  <si>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</si>
  <si>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</si>
  <si>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</si>
  <si>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</si>
  <si>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</si>
  <si>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</si>
  <si>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</si>
  <si>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</si>
  <si>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</si>
  <si>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</si>
  <si>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</si>
  <si>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</si>
  <si>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</si>
  <si>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</si>
  <si>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</si>
  <si>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</si>
  <si>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</si>
  <si>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</si>
  <si>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</si>
  <si>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</si>
  <si>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</si>
  <si>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</si>
  <si>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</si>
  <si>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</si>
  <si>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</si>
  <si>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</si>
  <si>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</si>
  <si>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</si>
  <si>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</si>
  <si>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</si>
  <si>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</si>
  <si>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</si>
  <si>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</si>
  <si>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</si>
  <si>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</si>
  <si>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</si>
  <si>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</si>
  <si>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</si>
  <si>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</si>
  <si>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</si>
  <si>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</si>
  <si>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</si>
  <si>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</si>
  <si>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</si>
  <si>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</si>
  <si>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</si>
  <si>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</si>
  <si>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</si>
  <si>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</si>
  <si>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</si>
  <si>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</si>
  <si>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</si>
  <si>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</si>
  <si>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</si>
  <si>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</si>
  <si>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</si>
  <si>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</si>
  <si>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</si>
  <si>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</si>
  <si>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</si>
  <si>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</si>
  <si>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</si>
  <si>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</si>
  <si>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</si>
  <si>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</si>
  <si>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</si>
  <si>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</si>
  <si>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</si>
  <si>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</si>
  <si>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</si>
  <si>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</si>
  <si>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</si>
  <si>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</si>
  <si>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</si>
  <si>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</si>
  <si>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</si>
  <si>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</si>
  <si>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</si>
  <si>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</si>
  <si>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</si>
  <si>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</si>
  <si>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</si>
  <si>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</si>
  <si>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</si>
  <si>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</si>
  <si>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</si>
  <si>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</si>
  <si>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</si>
  <si>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</si>
  <si>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</si>
  <si>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</si>
  <si>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</si>
  <si>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</si>
  <si>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</si>
  <si>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</si>
  <si>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</si>
  <si>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</si>
  <si>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</si>
  <si>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</si>
  <si>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</si>
  <si>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</si>
  <si>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</si>
  <si>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</si>
  <si>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</si>
  <si>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</si>
  <si>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</si>
  <si>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</si>
  <si>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</si>
  <si>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</si>
  <si>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</si>
  <si>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</si>
  <si>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</si>
  <si>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</si>
  <si>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</si>
  <si>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</si>
  <si>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</si>
  <si>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</si>
  <si>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</si>
  <si>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</si>
  <si>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</si>
  <si>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</si>
  <si>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</si>
  <si>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</si>
  <si>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</si>
  <si>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</si>
  <si>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</si>
  <si>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</si>
  <si>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</si>
  <si>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</si>
  <si>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</si>
  <si>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</si>
  <si>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</si>
  <si>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</si>
  <si>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</si>
  <si>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</si>
  <si>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</si>
  <si>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</si>
  <si>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</si>
  <si>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</si>
  <si>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</si>
  <si>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</si>
  <si>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</si>
  <si>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</si>
  <si>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</si>
  <si>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</si>
  <si>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</si>
  <si>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</si>
  <si>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</si>
  <si>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</si>
  <si>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</si>
  <si>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</si>
  <si>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</si>
  <si>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</si>
  <si>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</si>
  <si>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</si>
  <si>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</si>
  <si>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</si>
  <si>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</si>
  <si>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</si>
  <si>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</si>
  <si>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</si>
  <si>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</si>
  <si>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</si>
  <si>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</si>
  <si>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</si>
  <si>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</si>
  <si>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</si>
  <si>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</si>
  <si>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</si>
  <si>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</si>
  <si>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</si>
  <si>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</si>
  <si>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</si>
  <si>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</si>
  <si>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</si>
  <si>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</si>
  <si>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</si>
  <si>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</si>
  <si>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</si>
  <si>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</si>
  <si>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</si>
  <si>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</si>
  <si>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</si>
  <si>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</si>
  <si>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</si>
  <si>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</si>
  <si>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</si>
  <si>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</si>
  <si>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</si>
  <si>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</si>
  <si>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</si>
  <si>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</si>
  <si>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</si>
  <si>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</si>
  <si>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</si>
  <si>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</si>
  <si>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</si>
  <si>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</si>
  <si>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</si>
  <si>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</si>
  <si>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</si>
  <si>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</si>
  <si>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</si>
  <si>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</si>
  <si>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</si>
  <si>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</si>
  <si>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</si>
  <si>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</si>
  <si>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</si>
  <si>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</si>
  <si>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</si>
  <si>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</si>
  <si>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</si>
  <si>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</si>
  <si>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</si>
  <si>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</si>
  <si>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</si>
  <si>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</si>
  <si>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</si>
  <si>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</si>
  <si>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</si>
  <si>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</si>
  <si>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</si>
  <si>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</si>
  <si>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</si>
  <si>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</si>
  <si>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</si>
  <si>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</si>
  <si>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</si>
  <si>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</si>
  <si>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</si>
  <si>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</si>
  <si>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</si>
  <si>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</si>
  <si>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</si>
  <si>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</si>
  <si>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</si>
  <si>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</si>
  <si>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</si>
  <si>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</si>
  <si>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</si>
  <si>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</si>
  <si>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</si>
  <si>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</si>
  <si>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</si>
  <si>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</si>
  <si>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</si>
  <si>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</si>
  <si>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</si>
  <si>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</si>
  <si>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</si>
  <si>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</si>
  <si>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</si>
  <si>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</si>
  <si>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</si>
  <si>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</si>
  <si>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</si>
  <si>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</si>
  <si>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</si>
  <si>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</si>
  <si>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</si>
  <si>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</si>
  <si>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</si>
  <si>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</si>
  <si>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</si>
  <si>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</si>
  <si>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</si>
  <si>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</si>
  <si>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</si>
  <si>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</si>
  <si>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</si>
  <si>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</si>
  <si>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</si>
  <si>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</si>
  <si>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</si>
  <si>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</si>
  <si>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</si>
  <si>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</si>
  <si>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</si>
  <si>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</si>
  <si>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</si>
  <si>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</si>
  <si>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</si>
  <si>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</si>
  <si>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</si>
  <si>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</si>
  <si>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</si>
  <si>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</si>
  <si>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</si>
  <si>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</si>
  <si>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</si>
  <si>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</si>
  <si>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</si>
  <si>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</si>
  <si>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</si>
  <si>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</si>
  <si>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</si>
  <si>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</si>
  <si>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</si>
  <si>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</si>
  <si>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</si>
  <si>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</si>
  <si>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</si>
  <si>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</si>
  <si>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</si>
  <si>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</si>
  <si>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</si>
  <si>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</si>
  <si>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</si>
  <si>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</si>
  <si>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</si>
  <si>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</si>
  <si>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</si>
  <si>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</si>
  <si>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</si>
  <si>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</si>
  <si>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</si>
  <si>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</si>
  <si>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</si>
  <si>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</si>
  <si>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</si>
  <si>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</si>
  <si>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</si>
  <si>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</si>
  <si>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</si>
  <si>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</si>
  <si>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</si>
  <si>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</si>
  <si>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</si>
  <si>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</si>
  <si>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</si>
  <si>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</si>
  <si>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</si>
  <si>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</si>
  <si>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</si>
  <si>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</si>
  <si>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</si>
  <si>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</si>
  <si>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</si>
  <si>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</si>
  <si>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</si>
  <si>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</si>
  <si>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</si>
  <si>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</si>
  <si>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</si>
  <si>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</si>
  <si>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</si>
  <si>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</si>
  <si>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</si>
  <si>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</si>
  <si>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</si>
  <si>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</si>
  <si>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</si>
  <si>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</si>
  <si>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</si>
  <si>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</si>
  <si>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</si>
  <si>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</si>
  <si>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</si>
  <si>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</si>
  <si>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</si>
  <si>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</si>
  <si>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</si>
  <si>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</si>
  <si>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</si>
  <si>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</si>
  <si>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</si>
  <si>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</si>
  <si>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</si>
  <si>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</si>
  <si>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</si>
  <si>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</si>
  <si>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</si>
  <si>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</si>
  <si>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</si>
  <si>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</si>
  <si>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</si>
  <si>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</si>
  <si>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</si>
  <si>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</si>
  <si>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</si>
  <si>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</si>
  <si>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</si>
  <si>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</si>
  <si>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</si>
  <si>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</si>
  <si>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</si>
  <si>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</si>
  <si>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</si>
  <si>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</si>
  <si>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</si>
  <si>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</si>
  <si>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</si>
  <si>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</si>
  <si>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</si>
  <si>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</si>
  <si>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</si>
  <si>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</si>
  <si>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</si>
  <si>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</si>
  <si>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</si>
  <si>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</si>
  <si>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</si>
  <si>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</si>
  <si>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</si>
  <si>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</si>
  <si>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</si>
  <si>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</si>
  <si>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</si>
  <si>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</si>
  <si>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</si>
  <si>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</si>
  <si>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</si>
  <si>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</si>
  <si>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</si>
  <si>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</si>
  <si>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</si>
  <si>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</si>
  <si>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</si>
  <si>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</si>
  <si>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</si>
  <si>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</si>
  <si>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</si>
  <si>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</si>
  <si>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</si>
  <si>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</si>
  <si>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</si>
  <si>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</si>
  <si>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</si>
  <si>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</si>
  <si>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</si>
  <si>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</si>
  <si>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</si>
  <si>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</si>
  <si>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</si>
  <si>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</si>
  <si>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</si>
  <si>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</si>
  <si>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</si>
  <si>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</si>
  <si>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</si>
  <si>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</si>
  <si>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</si>
  <si>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</si>
  <si>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</si>
  <si>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</si>
  <si>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</si>
  <si>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</si>
  <si>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</si>
  <si>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</si>
  <si>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</si>
  <si>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</si>
  <si>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</si>
  <si>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</si>
  <si>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</si>
  <si>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</si>
  <si>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</si>
  <si>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</si>
  <si>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</si>
  <si>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</si>
  <si>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</si>
  <si>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</si>
  <si>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</si>
  <si>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</si>
  <si>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</si>
  <si>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</si>
  <si>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</si>
  <si>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</si>
  <si>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</si>
  <si>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</si>
  <si>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</si>
  <si>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</si>
  <si>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</si>
  <si>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</si>
  <si>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</si>
  <si>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</si>
  <si>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</si>
  <si>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</si>
  <si>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</si>
  <si>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</si>
  <si>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</si>
  <si>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</si>
  <si>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</si>
  <si>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</si>
  <si>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</si>
  <si>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</si>
  <si>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</si>
  <si>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</si>
  <si>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</si>
  <si>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</si>
  <si>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</si>
  <si>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</si>
  <si>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</si>
  <si>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</si>
  <si>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</si>
  <si>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</si>
  <si>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</si>
  <si>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</si>
  <si>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</si>
  <si>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</si>
  <si>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</si>
  <si>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</si>
  <si>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</si>
  <si>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</si>
  <si>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</si>
  <si>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</si>
  <si>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</si>
  <si>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</si>
  <si>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</si>
  <si>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</si>
  <si>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</si>
  <si>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</si>
  <si>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</si>
  <si>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</si>
  <si>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</si>
  <si>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</si>
  <si>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</si>
  <si>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</si>
  <si>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</si>
  <si>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</si>
  <si>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</si>
  <si>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</si>
  <si>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</si>
  <si>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</si>
  <si>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</si>
  <si>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</si>
  <si>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</si>
  <si>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</si>
  <si>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</si>
  <si>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</si>
  <si>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</si>
  <si>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</si>
  <si>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</si>
  <si>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</si>
  <si>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</si>
  <si>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</si>
  <si>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</si>
  <si>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</si>
  <si>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</si>
  <si>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</si>
  <si>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</si>
  <si>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</si>
  <si>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</si>
  <si>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</si>
  <si>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</si>
  <si>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</si>
  <si>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</si>
  <si>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</si>
  <si>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</si>
  <si>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</si>
  <si>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</si>
  <si>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</si>
  <si>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</si>
  <si>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</si>
  <si>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</si>
  <si>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</si>
  <si>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</si>
  <si>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</si>
  <si>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</si>
  <si>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</si>
  <si>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</si>
  <si>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</si>
  <si>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</si>
  <si>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</si>
  <si>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</si>
  <si>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</si>
  <si>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</si>
  <si>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</si>
  <si>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</si>
  <si>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</si>
  <si>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</si>
  <si>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</si>
  <si>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</si>
  <si>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</si>
  <si>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</si>
  <si>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</si>
  <si>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</si>
  <si>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</si>
  <si>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</si>
  <si>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</si>
  <si>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</si>
  <si>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</si>
  <si>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</si>
  <si>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</si>
  <si>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</si>
  <si>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</si>
  <si>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</si>
  <si>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</si>
  <si>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</si>
  <si>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</si>
  <si>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</si>
  <si>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</si>
  <si>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</si>
  <si>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</si>
  <si>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</si>
  <si>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</si>
  <si>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</si>
  <si>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</si>
  <si>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</si>
  <si>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</si>
  <si>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</si>
  <si>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</si>
  <si>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</si>
  <si>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</si>
  <si>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</si>
  <si>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</si>
  <si>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</si>
  <si>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</si>
  <si>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</si>
  <si>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</si>
  <si>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</si>
  <si>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</si>
  <si>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</si>
  <si>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</si>
  <si>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</si>
  <si>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</si>
  <si>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</si>
  <si>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</si>
  <si>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</si>
  <si>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</si>
  <si>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</si>
  <si>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</si>
  <si>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</si>
  <si>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</si>
  <si>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</si>
  <si>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</si>
  <si>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</si>
  <si>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</si>
  <si>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</si>
  <si>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</si>
  <si>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</si>
  <si>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</si>
  <si>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</si>
  <si>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</si>
  <si>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</si>
  <si>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</si>
  <si>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</si>
  <si>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</si>
  <si>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</si>
  <si>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</si>
  <si>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</si>
  <si>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</si>
  <si>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</si>
  <si>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</si>
  <si>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</si>
  <si>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</si>
  <si>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</si>
  <si>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</si>
  <si>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</si>
  <si>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</si>
  <si>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</si>
  <si>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</si>
  <si>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</si>
  <si>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</si>
  <si>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</si>
  <si>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</si>
  <si>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</si>
  <si>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</si>
  <si>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</si>
  <si>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</si>
  <si>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</si>
  <si>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</si>
  <si>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</si>
  <si>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</si>
  <si>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</si>
  <si>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</si>
  <si>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</si>
  <si>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</si>
  <si>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</si>
  <si>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</si>
  <si>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</si>
  <si>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</si>
  <si>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</si>
  <si>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</si>
  <si>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</si>
  <si>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</si>
  <si>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</si>
  <si>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</si>
  <si>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</si>
  <si>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</si>
  <si>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</si>
  <si>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</si>
  <si>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</si>
  <si>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</si>
  <si>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</si>
  <si>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</si>
  <si>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</si>
  <si>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</si>
  <si>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</si>
  <si>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</si>
  <si>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</si>
  <si>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</si>
  <si>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</si>
  <si>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</si>
  <si>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</si>
  <si>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</si>
  <si>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</si>
  <si>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</si>
  <si>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</si>
  <si>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</si>
  <si>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</si>
  <si>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</si>
  <si>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</si>
  <si>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</si>
  <si>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</si>
  <si>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</si>
  <si>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</si>
  <si>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</si>
  <si>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</si>
  <si>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</si>
  <si>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</si>
  <si>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</si>
  <si>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</si>
  <si>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</si>
  <si>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</si>
  <si>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</si>
  <si>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</si>
  <si>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</si>
  <si>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</si>
  <si>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</si>
  <si>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</si>
  <si>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</si>
  <si>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</si>
  <si>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</si>
  <si>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</si>
  <si>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</si>
  <si>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</si>
  <si>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</si>
  <si>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</si>
  <si>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</si>
  <si>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</si>
  <si>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</si>
  <si>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</si>
  <si>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</si>
  <si>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</si>
  <si>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</si>
  <si>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</si>
  <si>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</si>
  <si>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</si>
  <si>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</si>
  <si>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</si>
  <si>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</si>
  <si>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</si>
  <si>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</si>
  <si>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</si>
  <si>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</si>
  <si>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</si>
  <si>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</si>
  <si>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</si>
  <si>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</si>
  <si>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</si>
  <si>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</si>
  <si>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</si>
  <si>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</si>
  <si>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</si>
  <si>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</si>
  <si>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</si>
  <si>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</si>
  <si>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</si>
  <si>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</si>
  <si>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</si>
  <si>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</si>
  <si>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</si>
  <si>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</si>
  <si>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</si>
  <si>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</si>
  <si>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</si>
  <si>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</si>
  <si>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</si>
  <si>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</si>
  <si>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</si>
  <si>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</si>
  <si>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</si>
  <si>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</si>
  <si>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</si>
  <si>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</si>
  <si>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</si>
  <si>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</si>
  <si>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</si>
  <si>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</si>
  <si>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</si>
  <si>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</si>
  <si>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</si>
  <si>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</si>
  <si>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</si>
  <si>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</si>
  <si>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</si>
  <si>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</si>
  <si>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</si>
  <si>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</si>
  <si>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</si>
  <si>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</si>
  <si>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</si>
  <si>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</si>
  <si>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</si>
  <si>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</si>
  <si>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</si>
  <si>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</si>
  <si>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</si>
  <si>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</si>
  <si>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</si>
  <si>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</si>
  <si>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</si>
  <si>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</si>
  <si>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</si>
  <si>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</si>
  <si>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</si>
  <si>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</si>
  <si>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</si>
  <si>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</si>
  <si>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</si>
  <si>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</si>
  <si>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</si>
  <si>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</si>
  <si>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</si>
  <si>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</si>
  <si>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</si>
  <si>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</si>
  <si>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</si>
  <si>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</si>
  <si>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</si>
  <si>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</si>
  <si>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</si>
  <si>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</si>
  <si>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</si>
  <si>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</si>
  <si>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</si>
  <si>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</si>
  <si>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</si>
  <si>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</si>
  <si>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</si>
  <si>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</si>
  <si>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</si>
  <si>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</si>
  <si>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</si>
  <si>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</si>
  <si>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</si>
  <si>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</si>
  <si>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</si>
  <si>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</si>
  <si>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</si>
  <si>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</si>
  <si>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</si>
  <si>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</si>
  <si>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</si>
  <si>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</si>
  <si>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</si>
  <si>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</si>
  <si>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</si>
  <si>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</si>
  <si>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</si>
  <si>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</si>
  <si>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</si>
  <si>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</si>
  <si>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</si>
  <si>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</si>
  <si>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</si>
  <si>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</si>
  <si>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</si>
  <si>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</si>
  <si>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</si>
  <si>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</si>
  <si>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</si>
  <si>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</si>
  <si>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</si>
  <si>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</si>
  <si>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</si>
  <si>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</si>
  <si>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</si>
  <si>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</si>
  <si>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</si>
  <si>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</si>
  <si>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</si>
  <si>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</si>
  <si>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</si>
  <si>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</si>
  <si>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</si>
  <si>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</si>
  <si>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</si>
  <si>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</si>
  <si>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</si>
  <si>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</si>
  <si>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</si>
  <si>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</si>
  <si>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</si>
  <si>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</si>
  <si>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</si>
  <si>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</si>
  <si>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</si>
  <si>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</si>
  <si>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</si>
  <si>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</si>
  <si>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</si>
  <si>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</si>
  <si>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</si>
  <si>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</si>
  <si>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</si>
  <si>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</si>
  <si>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</si>
  <si>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</si>
  <si>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</si>
  <si>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</si>
  <si>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</si>
  <si>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</si>
  <si>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</si>
  <si>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</si>
  <si>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</si>
  <si>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</si>
  <si>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</si>
  <si>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</si>
  <si>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</si>
  <si>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</si>
  <si>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</si>
  <si>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</si>
  <si>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</si>
  <si>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</si>
  <si>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</si>
  <si>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</si>
  <si>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</si>
  <si>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</si>
  <si>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</si>
  <si>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</si>
  <si>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</si>
  <si>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</si>
  <si>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</si>
  <si>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</si>
  <si>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</si>
  <si>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</si>
  <si>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</si>
  <si>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</si>
  <si>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</si>
  <si>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</si>
  <si>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</si>
  <si>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</si>
  <si>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</si>
  <si>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</si>
  <si>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</si>
  <si>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</si>
  <si>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</si>
  <si>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</si>
  <si>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</si>
  <si>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</si>
  <si>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</si>
  <si>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</si>
  <si>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</si>
  <si>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</si>
  <si>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</si>
  <si>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</si>
  <si>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</si>
  <si>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</si>
  <si>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</si>
  <si>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</si>
  <si>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</si>
  <si>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</si>
  <si>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</si>
  <si>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</si>
  <si>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</si>
  <si>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</si>
  <si>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</si>
  <si>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</si>
  <si>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</si>
  <si>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</si>
  <si>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</si>
  <si>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</si>
  <si>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</si>
  <si>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</si>
  <si>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</si>
  <si>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</si>
  <si>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</si>
  <si>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</si>
  <si>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</si>
  <si>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</si>
  <si>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</si>
  <si>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</si>
  <si>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</si>
  <si>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</si>
  <si>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</si>
  <si>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</si>
  <si>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</si>
  <si>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</si>
  <si>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</si>
  <si>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</si>
  <si>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</si>
  <si>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</si>
  <si>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</si>
  <si>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</si>
  <si>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</si>
  <si>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</si>
  <si>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</si>
  <si>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</si>
  <si>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</si>
  <si>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</si>
  <si>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</si>
  <si>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</si>
  <si>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</si>
  <si>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</si>
  <si>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</si>
  <si>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</si>
  <si>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</si>
  <si>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</si>
  <si>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</si>
  <si>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</si>
  <si>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</si>
  <si>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</si>
  <si>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</si>
  <si>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</si>
  <si>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</si>
  <si>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</si>
  <si>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</si>
  <si>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</si>
  <si>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</si>
  <si>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</si>
  <si>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</si>
  <si>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</si>
  <si>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</si>
  <si>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</si>
  <si>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</si>
  <si>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</si>
  <si>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</si>
  <si>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</si>
  <si>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</si>
  <si>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</si>
  <si>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</si>
  <si>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</si>
  <si>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</si>
  <si>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</si>
  <si>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</si>
  <si>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</si>
  <si>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</si>
  <si>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</si>
  <si>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</si>
  <si>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</si>
  <si>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</si>
  <si>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</si>
  <si>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</si>
  <si>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</si>
  <si>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</si>
  <si>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</si>
  <si>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</si>
  <si>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</si>
  <si>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</si>
  <si>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</si>
  <si>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</si>
  <si>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</si>
  <si>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</si>
  <si>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</si>
  <si>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</si>
  <si>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</si>
  <si>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</si>
  <si>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</si>
  <si>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</si>
  <si>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</si>
  <si>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</si>
  <si>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</si>
  <si>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</si>
  <si>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</si>
  <si>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</si>
  <si>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</si>
  <si>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</si>
  <si>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</si>
  <si>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</si>
  <si>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</si>
  <si>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</si>
  <si>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</si>
  <si>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</si>
  <si>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</si>
  <si>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</si>
  <si>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</si>
  <si>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</si>
  <si>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</si>
  <si>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</si>
  <si>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</si>
  <si>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</si>
  <si>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</si>
  <si>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</si>
  <si>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</si>
  <si>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</si>
  <si>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</si>
  <si>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</si>
  <si>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</si>
  <si>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</si>
  <si>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</si>
  <si>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</si>
  <si>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</si>
  <si>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</si>
  <si>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</si>
  <si>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</si>
  <si>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</si>
  <si>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</si>
  <si>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</si>
  <si>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</si>
  <si>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</si>
  <si>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</si>
  <si>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</si>
  <si>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</si>
  <si>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</si>
  <si>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</si>
  <si>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</si>
  <si>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</si>
  <si>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</si>
  <si>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</si>
  <si>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</si>
  <si>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</si>
  <si>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</si>
  <si>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</si>
  <si>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</si>
  <si>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</si>
  <si>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</si>
  <si>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</si>
  <si>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</si>
  <si>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</si>
  <si>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</si>
  <si>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</si>
  <si>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</si>
  <si>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</si>
  <si>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</si>
  <si>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</si>
  <si>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</si>
  <si>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</si>
  <si>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</si>
  <si>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</si>
  <si>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</si>
  <si>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</si>
  <si>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</si>
  <si>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</si>
  <si>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</si>
  <si>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</si>
  <si>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</si>
  <si>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</si>
  <si>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</si>
  <si>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</si>
  <si>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</si>
  <si>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</si>
  <si>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</si>
  <si>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</si>
  <si>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</si>
  <si>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</si>
  <si>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</si>
  <si>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</si>
  <si>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</si>
  <si>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</si>
  <si>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</si>
  <si>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</si>
  <si>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</si>
  <si>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</si>
  <si>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</si>
  <si>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</si>
  <si>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</si>
  <si>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</si>
  <si>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</si>
  <si>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</si>
  <si>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</si>
  <si>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</si>
  <si>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</si>
  <si>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</si>
  <si>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</si>
  <si>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</si>
  <si>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</si>
  <si>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</si>
  <si>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</si>
  <si>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</si>
  <si>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</si>
  <si>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</si>
  <si>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</si>
  <si>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</si>
  <si>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</si>
  <si>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</si>
  <si>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</si>
  <si>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</si>
  <si>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</si>
  <si>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</si>
  <si>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</si>
  <si>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</si>
  <si>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</si>
  <si>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</si>
  <si>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</si>
  <si>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</si>
  <si>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</si>
  <si>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</si>
  <si>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</si>
  <si>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</si>
  <si>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</si>
  <si>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</si>
  <si>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</si>
  <si>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</si>
  <si>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</si>
  <si>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</si>
  <si>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</si>
  <si>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</si>
  <si>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</si>
  <si>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</si>
  <si>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</si>
  <si>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</si>
  <si>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</si>
  <si>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</si>
  <si>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</si>
  <si>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</si>
  <si>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</si>
  <si>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</si>
  <si>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</si>
  <si>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</si>
  <si>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</si>
  <si>
    <t>按房产原值计税</t>
  </si>
  <si>
    <r>
      <rPr>
        <sz val="10"/>
        <color indexed="8"/>
        <rFont val="宋体"/>
        <family val="3"/>
        <charset val="134"/>
      </rPr>
      <t>欧姐报最高</t>
    </r>
    <r>
      <rPr>
        <sz val="10"/>
        <color indexed="8"/>
        <rFont val="Arial"/>
        <family val="2"/>
      </rPr>
      <t>32000-33000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</si>
</sst>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10" fontId="10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92.57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92.57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304</v>
      </c>
    </row>
    <row r="21" spans="1:2" s="1596" customFormat="1">
      <c r="A21" s="1594" t="s">
        <v>1235</v>
      </c>
      <c r="B21" s="1595">
        <f ca="1">'预评函-2'!D7</f>
        <v>32840</v>
      </c>
    </row>
    <row r="22" spans="1:2" s="1596" customFormat="1">
      <c r="A22" s="1594" t="s">
        <v>1236</v>
      </c>
      <c r="B22" s="1595" t="str">
        <f ca="1">'预评函-2'!D6</f>
        <v>叁佰零肆万元整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304</v>
      </c>
    </row>
    <row r="31" spans="1:2" s="1596" customFormat="1">
      <c r="A31" s="1594" t="s">
        <v>1274</v>
      </c>
      <c r="B31" s="1595">
        <f ca="1">'预评函-2'!D15</f>
        <v>32840</v>
      </c>
    </row>
    <row r="32" spans="1:2" s="1596" customFormat="1">
      <c r="A32" s="1594" t="s">
        <v>1241</v>
      </c>
      <c r="B32" s="1595" t="str">
        <f ca="1">'预评函-2'!D14</f>
        <v>叁佰零肆万元整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92.57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8"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3139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1"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22"/>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3138</v>
      </c>
      <c r="G10" s="2067"/>
      <c r="H10" s="2068"/>
      <c r="I10" s="2048"/>
      <c r="J10" s="2044"/>
      <c r="K10" s="2054"/>
      <c r="L10" s="2030"/>
      <c r="M10" s="2030"/>
      <c r="N10" s="2031"/>
      <c r="O10" s="2032"/>
      <c r="P10" s="2031"/>
      <c r="Q10" s="2031"/>
      <c r="R10" s="2031"/>
    </row>
    <row r="11" spans="1:19" ht="18" customHeight="1">
      <c r="A11" s="2069" t="s">
        <v>1789</v>
      </c>
      <c r="B11" s="2070" t="s">
        <v>3034</v>
      </c>
      <c r="C11" s="2966" t="s">
        <v>3104</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28" t="s">
        <v>3105</v>
      </c>
      <c r="C16" s="3029"/>
      <c r="D16" s="3030"/>
      <c r="E16" s="2084" t="s">
        <v>1802</v>
      </c>
      <c r="F16" s="3031" t="s">
        <v>3106</v>
      </c>
      <c r="G16" s="3032"/>
      <c r="H16" s="3032"/>
      <c r="I16" s="3033"/>
      <c r="J16" s="2031"/>
      <c r="K16" s="2081"/>
      <c r="L16" s="2082"/>
      <c r="M16" s="2082"/>
      <c r="N16" s="2083"/>
      <c r="O16" s="2082"/>
      <c r="P16" s="2083"/>
      <c r="Q16" s="2031"/>
      <c r="R16" s="2031"/>
    </row>
    <row r="17" spans="1:22" ht="18" customHeight="1">
      <c r="A17" s="2085" t="s">
        <v>1803</v>
      </c>
      <c r="B17" s="2037" t="s">
        <v>1804</v>
      </c>
      <c r="C17" s="1057">
        <f>'数据-汇总表'!E3</f>
        <v>92.57</v>
      </c>
      <c r="D17" s="2086" t="s">
        <v>1805</v>
      </c>
      <c r="E17" s="3034" t="s">
        <v>3108</v>
      </c>
      <c r="F17" s="3035"/>
      <c r="G17" s="3035"/>
      <c r="H17" s="3035"/>
      <c r="I17" s="3036"/>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37"/>
      <c r="F18" s="3038"/>
      <c r="G18" s="3038"/>
      <c r="H18" s="3038"/>
      <c r="I18" s="3039"/>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24" t="s">
        <v>1811</v>
      </c>
      <c r="C20" s="3025"/>
      <c r="D20" s="3026" t="s">
        <v>1812</v>
      </c>
      <c r="E20" s="3027"/>
      <c r="F20" s="2096"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3107</v>
      </c>
      <c r="C21" s="2098" t="s">
        <v>3109</v>
      </c>
      <c r="D21" s="2099"/>
      <c r="E21" s="2100"/>
      <c r="F21" s="2101"/>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41"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1"/>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1"/>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2"/>
      <c r="B30" s="2037" t="s">
        <v>1825</v>
      </c>
      <c r="C30" s="3043"/>
      <c r="D30" s="304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5"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40" t="s">
        <v>1835</v>
      </c>
      <c r="T34" s="2133" t="str">
        <f>NUMBERSTRING(7-K34,1)&amp;"通"</f>
        <v>七通</v>
      </c>
      <c r="U34" s="2031"/>
      <c r="V34" s="2031"/>
    </row>
    <row r="35" spans="1:22" ht="18" customHeight="1">
      <c r="A35" s="2134"/>
      <c r="B35" s="3047" t="s">
        <v>1836</v>
      </c>
      <c r="C35" s="3047"/>
      <c r="D35" s="3047"/>
      <c r="E35" s="3047"/>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92.57</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92.57</v>
      </c>
      <c r="H5" s="16">
        <f t="shared" ref="H5:AT5" si="0">SUM(H13:H656)</f>
        <v>92.57</v>
      </c>
      <c r="I5" s="16">
        <f t="shared" si="0"/>
        <v>92.57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92.57</v>
      </c>
      <c r="BA5" s="18">
        <f t="shared" si="1"/>
        <v>92.57</v>
      </c>
      <c r="BB5" s="18">
        <f t="shared" si="1"/>
        <v>92.57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3036</v>
      </c>
      <c r="E13" s="16">
        <f>IF($C$3="是",ROUND($A$3*G13/$B$3,2),ROUND($A$3*(G13-AT13)/$B$3,2))</f>
        <v>0</v>
      </c>
      <c r="F13" s="32"/>
      <c r="G13" s="33">
        <f>H13+AC13+AT13</f>
        <v>92.57</v>
      </c>
      <c r="H13" s="20">
        <f>SUMIF(I$12:AB$12,"总值",I13:AB13)</f>
        <v>92.57</v>
      </c>
      <c r="I13" s="2213">
        <v>92.57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0</v>
      </c>
      <c r="AZ13" s="16">
        <f>BA13+BL13</f>
        <v>92.57</v>
      </c>
      <c r="BA13" s="16">
        <f>SUM(BB13:BK13)</f>
        <v>92.57</v>
      </c>
      <c r="BB13" s="16">
        <f>IF($D13="是",I13-J13,0)</f>
        <v>92.57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9" t="s">
        <v>1932</v>
      </c>
      <c r="B2" s="3059"/>
      <c r="C2" s="3059"/>
      <c r="D2" s="970" t="s">
        <v>1908</v>
      </c>
      <c r="E2" s="2226" t="s">
        <v>1909</v>
      </c>
      <c r="F2" s="1395"/>
      <c r="G2" s="2227"/>
      <c r="H2" s="2228"/>
      <c r="I2" s="2229" t="s">
        <v>1933</v>
      </c>
      <c r="J2" s="1395"/>
      <c r="K2" s="1395"/>
      <c r="L2" s="1395"/>
      <c r="M2" s="1395"/>
      <c r="N2" s="1430"/>
      <c r="O2" s="1395"/>
      <c r="P2" s="1395"/>
    </row>
    <row r="3" spans="1:16" ht="15.75" thickBot="1">
      <c r="A3" s="3060" t="s">
        <v>1906</v>
      </c>
      <c r="B3" s="3060"/>
      <c r="C3" s="3060"/>
      <c r="D3" s="46">
        <f>'数据-基础表'!AY6</f>
        <v>0</v>
      </c>
      <c r="E3" s="46">
        <f>'数据-基础表'!AZ5</f>
        <v>92.57</v>
      </c>
      <c r="F3" s="1395"/>
      <c r="G3" s="1402"/>
      <c r="H3" s="1250" t="s">
        <v>1907</v>
      </c>
      <c r="I3" s="55" t="e">
        <f>ROUND('数据-基础表'!B3/'数据-基础表'!A3,2)</f>
        <v>#DIV/0!</v>
      </c>
      <c r="J3" s="1395"/>
      <c r="K3" s="1395"/>
      <c r="L3" s="1395"/>
      <c r="M3" s="1395"/>
      <c r="N3" s="1430"/>
      <c r="O3" s="1395"/>
      <c r="P3" s="1395"/>
    </row>
    <row r="4" spans="1:16" ht="15">
      <c r="A4" s="3061"/>
      <c r="B4" s="3062"/>
      <c r="C4" s="3063"/>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4" t="s">
        <v>1911</v>
      </c>
      <c r="C5" s="3064"/>
      <c r="D5" s="48">
        <f>ROUND($D$3*E5/$E$3,2)</f>
        <v>0</v>
      </c>
      <c r="E5" s="49">
        <f>SUMIF('数据-基础表'!$11:$11,"住宅",'数据-基础表'!$5:$5)</f>
        <v>92.57</v>
      </c>
      <c r="F5" s="1395"/>
      <c r="G5" s="1402"/>
      <c r="H5" s="1250" t="s">
        <v>1907</v>
      </c>
      <c r="I5" s="55" t="e">
        <f>ROUND(E31/D31,2)</f>
        <v>#DIV/0!</v>
      </c>
      <c r="J5" s="1395"/>
      <c r="K5" s="1395"/>
      <c r="L5" s="1395"/>
      <c r="M5" s="1395"/>
      <c r="N5" s="1395"/>
      <c r="O5" s="1395"/>
      <c r="P5" s="1395"/>
    </row>
    <row r="6" spans="1:16" ht="15" thickBot="1">
      <c r="A6" s="2233"/>
      <c r="B6" s="3064" t="s">
        <v>1912</v>
      </c>
      <c r="C6" s="3064"/>
      <c r="D6" s="48">
        <f>ROUND($D$3*E6/$E$3,2)</f>
        <v>0</v>
      </c>
      <c r="E6" s="49">
        <f>E3-E5</f>
        <v>0</v>
      </c>
      <c r="F6" s="1395"/>
      <c r="G6" s="2234" t="s">
        <v>1913</v>
      </c>
      <c r="H6" s="1402" t="s">
        <v>1914</v>
      </c>
      <c r="I6" s="942" t="e">
        <f>ROUND(F31/D31,2)</f>
        <v>#DIV/0!</v>
      </c>
      <c r="J6" s="1395"/>
      <c r="K6" s="1395"/>
      <c r="L6" s="1395"/>
      <c r="M6" s="1395"/>
      <c r="N6" s="1395"/>
      <c r="O6" s="1395"/>
      <c r="P6" s="1395"/>
    </row>
    <row r="7" spans="1:16" ht="15">
      <c r="A7" s="3056"/>
      <c r="B7" s="3057"/>
      <c r="C7" s="3058"/>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92.57</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92.57</v>
      </c>
      <c r="F16" s="1395"/>
      <c r="G16" s="2236"/>
      <c r="H16" s="2239" t="s">
        <v>1936</v>
      </c>
      <c r="I16" s="2240"/>
      <c r="J16" s="1395"/>
      <c r="K16" s="3053" t="s">
        <v>1936</v>
      </c>
      <c r="L16" s="3054"/>
      <c r="M16" s="3054"/>
      <c r="N16" s="3054"/>
      <c r="O16" s="3054"/>
      <c r="P16" s="3055"/>
    </row>
    <row r="17" spans="1:19" ht="15">
      <c r="A17" s="2241" t="s">
        <v>1937</v>
      </c>
      <c r="B17" s="2242" t="s">
        <v>1938</v>
      </c>
      <c r="C17" s="2243" t="s">
        <v>1939</v>
      </c>
      <c r="D17" s="2244" t="s">
        <v>1927</v>
      </c>
      <c r="E17" s="2245" t="s">
        <v>1928</v>
      </c>
      <c r="F17" s="2246"/>
      <c r="G17" s="2247"/>
      <c r="H17" s="2248" t="s">
        <v>1940</v>
      </c>
      <c r="I17" s="2249" t="s">
        <v>1925</v>
      </c>
      <c r="J17" s="1395"/>
      <c r="K17" s="3050" t="s">
        <v>1941</v>
      </c>
      <c r="L17" s="3051"/>
      <c r="M17" s="3052"/>
      <c r="N17" s="3050" t="s">
        <v>1942</v>
      </c>
      <c r="O17" s="3051"/>
      <c r="P17" s="3052"/>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92.57</v>
      </c>
      <c r="F19" s="57">
        <f>'数据-基础表'!I13</f>
        <v>92.57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92.57</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92.57</v>
      </c>
      <c r="F27" s="1396">
        <f>IF(SUM(F19:F26)=E8,SUM(F19:F26),"地上面积有误")</f>
        <v>92.57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92.57</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92.57</v>
      </c>
      <c r="F31" s="730">
        <f>F27+F30</f>
        <v>92.57</v>
      </c>
      <c r="G31" s="731">
        <f>G27+G30</f>
        <v>0</v>
      </c>
      <c r="H31" s="1395"/>
      <c r="I31" s="1395"/>
      <c r="J31" s="1395"/>
      <c r="K31" s="1395"/>
      <c r="L31" s="1395"/>
      <c r="M31" s="1395"/>
      <c r="N31" s="1395"/>
      <c r="O31" s="1395"/>
      <c r="P31" s="1395"/>
    </row>
    <row r="32" spans="1:19">
      <c r="A32" s="2232"/>
      <c r="B32" s="2232" t="s">
        <v>1960</v>
      </c>
      <c r="C32" s="2232"/>
      <c r="D32" s="2232"/>
      <c r="E32" s="1277">
        <f>SUMIF(C19:C26,"*住宅*",E19:E26)</f>
        <v>92.57</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D32" sqref="AD3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92.57</v>
      </c>
      <c r="L6" s="803">
        <v>3000</v>
      </c>
      <c r="M6" s="75">
        <f t="shared" ref="M6:M14" si="0">ROUND(K6*L6/10000,0)</f>
        <v>28</v>
      </c>
      <c r="N6" s="801">
        <f>ROUND(1-(1-0%)*(2018-2012)/60,2)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4500</v>
      </c>
      <c r="V6" s="79">
        <v>0.02</v>
      </c>
      <c r="W6" s="79">
        <v>0.1</v>
      </c>
      <c r="X6" s="1264"/>
      <c r="Y6" s="80">
        <f>N6</f>
        <v>0.9</v>
      </c>
      <c r="Z6" s="81"/>
      <c r="AA6" s="74"/>
      <c r="AB6" s="74"/>
      <c r="AC6" s="1264"/>
      <c r="AD6" s="82"/>
      <c r="AE6" s="1265">
        <f ca="1">IF(AN6="",0,SUMIF(INDIRECT("'"&amp;AN6&amp;"'"&amp;"!E:E"),$AE$5,INDIRECT("'"&amp;AN6&amp;"'"&amp;"!F:F")))</f>
        <v>42</v>
      </c>
      <c r="AF6" s="1806"/>
      <c r="AG6" s="147">
        <f>IF(AF6="",0,AE6-AF6)</f>
        <v>0</v>
      </c>
      <c r="AH6" s="83">
        <v>1</v>
      </c>
      <c r="AI6" s="85">
        <v>12</v>
      </c>
      <c r="AJ6" s="86"/>
      <c r="AK6" s="2972">
        <v>1.4999999999999999E-2</v>
      </c>
      <c r="AL6" s="88">
        <v>1.5E-3</v>
      </c>
      <c r="AM6" s="89">
        <v>0.01</v>
      </c>
      <c r="AN6" s="2308" t="s">
        <v>3053</v>
      </c>
      <c r="AO6" s="55">
        <f ca="1">SUMIF(INDIRECT("'"&amp;AN6&amp;"'"&amp;"!A:A"),"总价",INDIRECT("'"&amp;AN6&amp;"'"&amp;"!B:B"))</f>
        <v>99</v>
      </c>
      <c r="AP6" s="2309">
        <f>IF(C6="住宅",K6*L6,0)</f>
        <v>277710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92.57</v>
      </c>
      <c r="L16" s="102">
        <f>ROUND(M16*10000/SUM(K6:K14),0)</f>
        <v>3025</v>
      </c>
      <c r="M16" s="102">
        <f>SUM(M6:M14)</f>
        <v>28</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2</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4.7500000000000001E-2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2077</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3110</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92.57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304</v>
      </c>
      <c r="C5" s="1746">
        <f ca="1">ROUND(B5*10000/$B$1,0)</f>
        <v>32840</v>
      </c>
      <c r="D5" s="1746" t="e">
        <f ca="1">ROUND(B5*10000/$B$2,0)</f>
        <v>#DIV/0!</v>
      </c>
      <c r="E5" s="1745"/>
      <c r="F5" s="1743"/>
      <c r="G5" s="1743"/>
    </row>
    <row r="6" spans="1:10" ht="16.5">
      <c r="A6" s="1746" t="s">
        <v>1356</v>
      </c>
      <c r="B6" s="1746">
        <f ca="1">SUM(G14:G23)</f>
        <v>304</v>
      </c>
      <c r="C6" s="1746">
        <f ca="1">ROUND(B6*10000/$B$1,0)</f>
        <v>32840</v>
      </c>
      <c r="D6" s="1746" t="e">
        <f ca="1">ROUND(B6*10000/$B$2,0)</f>
        <v>#DIV/0!</v>
      </c>
      <c r="E6" s="1745"/>
      <c r="F6" s="1743"/>
      <c r="G6" s="1743"/>
    </row>
    <row r="7" spans="1:10" ht="16.5">
      <c r="A7" s="1746" t="s">
        <v>1364</v>
      </c>
      <c r="B7" s="1746">
        <f ca="1">SUM(H14:H23)</f>
        <v>304</v>
      </c>
      <c r="C7" s="1746">
        <f ca="1">ROUND(B7*10000/$B$1,0)</f>
        <v>32840</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92.57</v>
      </c>
      <c r="C14" s="1744">
        <f>结果表!C118</f>
        <v>0</v>
      </c>
      <c r="D14" s="1744">
        <f ca="1">典型户型修正!S22</f>
        <v>304</v>
      </c>
      <c r="E14" s="1744">
        <f ca="1">ROUND(D14*10000/B14,0)</f>
        <v>32840</v>
      </c>
      <c r="F14" s="1744" t="e">
        <f ca="1">ROUND(D14*10000/C14,0)</f>
        <v>#DIV/0!</v>
      </c>
      <c r="G14" s="1744">
        <f ca="1">结果表!D122</f>
        <v>304</v>
      </c>
      <c r="H14" s="1744">
        <f ca="1">D14</f>
        <v>304</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139" t="str">
        <f>项目基本情况!S2</f>
        <v>北京市朝阳区建国路29号兴隆家园38号楼4门102号住宅用房房地产</v>
      </c>
      <c r="B2" s="3140"/>
      <c r="C2" s="3140"/>
      <c r="D2" s="3140"/>
      <c r="E2" s="3140"/>
      <c r="F2" s="3140"/>
      <c r="G2" s="3140"/>
      <c r="H2" s="3140"/>
      <c r="I2" s="3141"/>
    </row>
    <row r="3" spans="1:12" ht="12.75">
      <c r="A3" s="3142" t="s">
        <v>2107</v>
      </c>
      <c r="B3" s="3143"/>
      <c r="C3" s="3143"/>
      <c r="D3" s="3143"/>
      <c r="E3" s="3143"/>
      <c r="F3" s="3143"/>
      <c r="G3" s="3143"/>
      <c r="H3" s="3143"/>
      <c r="I3" s="3143"/>
    </row>
    <row r="4" spans="1:12" ht="14.25">
      <c r="A4" s="2424" t="s">
        <v>2108</v>
      </c>
      <c r="B4" s="2425" t="s">
        <v>2109</v>
      </c>
      <c r="C4" s="2426" t="s">
        <v>3090</v>
      </c>
      <c r="D4" s="2426" t="s">
        <v>3053</v>
      </c>
      <c r="E4" s="3123" t="s">
        <v>2110</v>
      </c>
      <c r="F4" s="3136"/>
      <c r="G4" s="3136"/>
      <c r="H4" s="3136"/>
      <c r="I4" s="312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2111</v>
      </c>
      <c r="B5" s="3040">
        <v>25</v>
      </c>
      <c r="C5" s="3144"/>
      <c r="D5" s="3132"/>
      <c r="E5" s="140" t="s">
        <v>2112</v>
      </c>
      <c r="F5" s="2428"/>
      <c r="G5" s="2428"/>
      <c r="H5" s="2428"/>
      <c r="I5" s="1833"/>
    </row>
    <row r="6" spans="1:12" ht="12.75">
      <c r="A6" s="3114"/>
      <c r="B6" s="3040"/>
      <c r="C6" s="3146"/>
      <c r="D6" s="3132"/>
      <c r="E6" s="140" t="s">
        <v>2113</v>
      </c>
      <c r="F6" s="2428"/>
      <c r="G6" s="2428"/>
      <c r="H6" s="2428"/>
      <c r="I6" s="1833"/>
    </row>
    <row r="7" spans="1:12" ht="12.75">
      <c r="A7" s="3114"/>
      <c r="B7" s="3040"/>
      <c r="C7" s="3145"/>
      <c r="D7" s="3132"/>
      <c r="E7" s="140" t="s">
        <v>2114</v>
      </c>
      <c r="F7" s="2428"/>
      <c r="G7" s="2428"/>
      <c r="H7" s="2428"/>
      <c r="I7" s="1833"/>
    </row>
    <row r="8" spans="1:12" ht="12.75">
      <c r="A8" s="3114" t="s">
        <v>2115</v>
      </c>
      <c r="B8" s="3040">
        <v>15</v>
      </c>
      <c r="C8" s="3144"/>
      <c r="D8" s="3132"/>
      <c r="E8" s="140" t="s">
        <v>2116</v>
      </c>
      <c r="F8" s="2428"/>
      <c r="G8" s="2428"/>
      <c r="H8" s="2428"/>
      <c r="I8" s="1833"/>
    </row>
    <row r="9" spans="1:12" ht="12.75">
      <c r="A9" s="3114"/>
      <c r="B9" s="3040"/>
      <c r="C9" s="3145"/>
      <c r="D9" s="3132"/>
      <c r="E9" s="140" t="s">
        <v>2117</v>
      </c>
      <c r="F9" s="2428"/>
      <c r="G9" s="2428"/>
      <c r="H9" s="2428"/>
      <c r="I9" s="1833"/>
    </row>
    <row r="10" spans="1:12" ht="12.75">
      <c r="A10" s="3114" t="s">
        <v>2118</v>
      </c>
      <c r="B10" s="3040">
        <v>15</v>
      </c>
      <c r="C10" s="3144"/>
      <c r="D10" s="3132"/>
      <c r="E10" s="140" t="s">
        <v>2119</v>
      </c>
      <c r="F10" s="2428"/>
      <c r="G10" s="2428"/>
      <c r="H10" s="2428"/>
      <c r="I10" s="1833"/>
    </row>
    <row r="11" spans="1:12" ht="12.75">
      <c r="A11" s="3114"/>
      <c r="B11" s="3040"/>
      <c r="C11" s="3145"/>
      <c r="D11" s="3132"/>
      <c r="E11" s="140" t="s">
        <v>2120</v>
      </c>
      <c r="F11" s="2428"/>
      <c r="G11" s="2428"/>
      <c r="H11" s="2428"/>
      <c r="I11" s="1833"/>
    </row>
    <row r="12" spans="1:12" ht="12.75">
      <c r="A12" s="3114" t="s">
        <v>2121</v>
      </c>
      <c r="B12" s="3040">
        <v>15</v>
      </c>
      <c r="C12" s="3144"/>
      <c r="D12" s="3132"/>
      <c r="E12" s="140" t="s">
        <v>2122</v>
      </c>
      <c r="F12" s="2428"/>
      <c r="G12" s="2428"/>
      <c r="H12" s="2428"/>
      <c r="I12" s="1833"/>
    </row>
    <row r="13" spans="1:12" ht="12.75">
      <c r="A13" s="3114"/>
      <c r="B13" s="3040"/>
      <c r="C13" s="3145"/>
      <c r="D13" s="3132"/>
      <c r="E13" s="140" t="s">
        <v>2123</v>
      </c>
      <c r="F13" s="2428"/>
      <c r="G13" s="2428"/>
      <c r="H13" s="2428"/>
      <c r="I13" s="1833"/>
    </row>
    <row r="14" spans="1:12" ht="12.75">
      <c r="A14" s="3114" t="s">
        <v>2124</v>
      </c>
      <c r="B14" s="3040">
        <v>30</v>
      </c>
      <c r="C14" s="3144">
        <v>8</v>
      </c>
      <c r="D14" s="3132">
        <v>2</v>
      </c>
      <c r="E14" s="140" t="s">
        <v>2125</v>
      </c>
      <c r="F14" s="2428"/>
      <c r="G14" s="2428"/>
      <c r="H14" s="2428"/>
      <c r="I14" s="1833"/>
    </row>
    <row r="15" spans="1:12" ht="12.75">
      <c r="A15" s="3114"/>
      <c r="B15" s="3040"/>
      <c r="C15" s="3146"/>
      <c r="D15" s="3132"/>
      <c r="E15" s="140" t="s">
        <v>2126</v>
      </c>
      <c r="F15" s="2428"/>
      <c r="G15" s="2428"/>
      <c r="H15" s="2428"/>
      <c r="I15" s="1833"/>
    </row>
    <row r="16" spans="1:12" ht="12.75">
      <c r="A16" s="3114"/>
      <c r="B16" s="3040"/>
      <c r="C16" s="3145"/>
      <c r="D16" s="3132"/>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92.57</v>
      </c>
      <c r="M18" s="2427">
        <f>IF(C1="",'数据-汇总表'!E3,SUMIF(项目类型,C1,'数据-汇总表'!E17:E26))</f>
        <v>92.57</v>
      </c>
    </row>
    <row r="19" spans="1:35" ht="15">
      <c r="A19" s="2433" t="s">
        <v>2133</v>
      </c>
      <c r="B19" s="2434" t="s">
        <v>2134</v>
      </c>
      <c r="C19" s="143">
        <f ca="1">SUMIF(INDIRECT("'"&amp;C4&amp;"'"&amp;"!A:A"),结果表!B19,INDIRECT("'"&amp;C4&amp;"'"&amp;"!B:B"))</f>
        <v>355</v>
      </c>
      <c r="D19" s="144">
        <f ca="1">SUMIF(INDIRECT("'"&amp;D4&amp;"'"&amp;"!A:A"),结果表!B19,INDIRECT("'"&amp;D4&amp;"'"&amp;"!B:B"))</f>
        <v>99</v>
      </c>
      <c r="E19" s="2433" t="s">
        <v>2135</v>
      </c>
      <c r="F19" s="2434" t="s">
        <v>2134</v>
      </c>
      <c r="G19" s="145">
        <f ca="1">ROUND(C19*$C$18+D19*$D$18,0)</f>
        <v>304</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38393</v>
      </c>
      <c r="D20" s="147">
        <f ca="1">SUMIF(INDIRECT("'"&amp;D4&amp;"'"&amp;"!A:A"),结果表!B20,INDIRECT("'"&amp;D4&amp;"'"&amp;"!B:B"))</f>
        <v>10688</v>
      </c>
      <c r="E20" s="2436"/>
      <c r="F20" s="1250" t="s">
        <v>2138</v>
      </c>
      <c r="G20" s="148">
        <f ca="1">ROUND(C20*$C$18+D20*$D$18,0)</f>
        <v>32852</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2.5858585858585861</v>
      </c>
      <c r="E22" s="138"/>
      <c r="F22" s="138"/>
      <c r="G22" s="138"/>
      <c r="H22" s="138"/>
      <c r="I22" s="138"/>
    </row>
    <row r="23" spans="1:35" ht="13.5" thickBot="1">
      <c r="A23" s="2417"/>
      <c r="B23" s="2417"/>
      <c r="C23" s="2417"/>
      <c r="D23" s="2417"/>
      <c r="E23" s="138"/>
      <c r="F23" s="138"/>
      <c r="G23" s="138"/>
      <c r="H23" s="138"/>
      <c r="I23" s="138"/>
    </row>
    <row r="24" spans="1:35" ht="14.25">
      <c r="A24" s="3153" t="s">
        <v>2142</v>
      </c>
      <c r="B24" s="2434" t="s">
        <v>2134</v>
      </c>
      <c r="C24" s="145">
        <f>IF(B30=0,0,D30)</f>
        <v>0</v>
      </c>
      <c r="D24" s="2441"/>
      <c r="E24" s="138"/>
      <c r="F24" s="138"/>
      <c r="G24" s="138"/>
      <c r="H24" s="138"/>
      <c r="I24" s="138"/>
    </row>
    <row r="25" spans="1:35" ht="14.25">
      <c r="A25" s="3154"/>
      <c r="B25" s="1250" t="s">
        <v>2138</v>
      </c>
      <c r="C25" s="150">
        <f>IF(B30=0,0,C30)</f>
        <v>0</v>
      </c>
      <c r="D25" s="2442"/>
      <c r="E25" s="138"/>
      <c r="F25" s="138"/>
      <c r="G25" s="138"/>
      <c r="H25" s="138"/>
      <c r="I25" s="138"/>
      <c r="J25" s="2418" t="s">
        <v>3141</v>
      </c>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304</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133" t="s">
        <v>2156</v>
      </c>
      <c r="B36" s="2460" t="s">
        <v>2157</v>
      </c>
      <c r="C36" s="154"/>
      <c r="D36" s="2461"/>
      <c r="E36" s="2462"/>
      <c r="F36" s="2463"/>
      <c r="G36" s="138"/>
      <c r="H36" s="138"/>
      <c r="I36" s="138"/>
    </row>
    <row r="37" spans="1:15" ht="15.75" thickBot="1">
      <c r="A37" s="3134"/>
      <c r="B37" s="2266" t="s">
        <v>2158</v>
      </c>
      <c r="C37" s="156"/>
      <c r="D37" s="1395"/>
      <c r="E37" s="1395"/>
      <c r="F37" s="2463"/>
      <c r="G37" s="138"/>
      <c r="H37" s="138"/>
      <c r="I37" s="138"/>
    </row>
    <row r="38" spans="1:15" ht="15.75" thickBot="1">
      <c r="A38" s="3135"/>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150" t="s">
        <v>2170</v>
      </c>
      <c r="B45" s="3151"/>
      <c r="C45" s="3152"/>
      <c r="D45" s="164">
        <f ca="1">ROUND(H101*F45,0)</f>
        <v>304</v>
      </c>
      <c r="E45" s="165" t="s">
        <v>2171</v>
      </c>
      <c r="F45" s="166">
        <v>1</v>
      </c>
      <c r="G45" s="167" t="s">
        <v>2172</v>
      </c>
      <c r="H45" s="138"/>
      <c r="I45" s="138"/>
      <c r="J45" s="3069" t="s">
        <v>2173</v>
      </c>
      <c r="K45" s="3069"/>
      <c r="L45" s="3069"/>
      <c r="M45" s="3069"/>
      <c r="N45" s="3069"/>
      <c r="O45" s="3069"/>
    </row>
    <row r="46" spans="1:15" ht="14.25" customHeight="1">
      <c r="A46" s="3147" t="s">
        <v>2174</v>
      </c>
      <c r="B46" s="3148"/>
      <c r="C46" s="3148"/>
      <c r="D46" s="3148"/>
      <c r="E46" s="3148"/>
      <c r="F46" s="3148"/>
      <c r="G46" s="3149"/>
      <c r="H46" s="2479"/>
      <c r="I46" s="168"/>
      <c r="J46" s="1811">
        <v>1</v>
      </c>
      <c r="K46" s="3069" t="s">
        <v>2175</v>
      </c>
      <c r="L46" s="3069"/>
      <c r="M46" s="3070"/>
      <c r="N46" s="3070"/>
      <c r="O46" s="3070"/>
    </row>
    <row r="47" spans="1:15" ht="12" customHeight="1">
      <c r="A47" s="169" t="s">
        <v>2176</v>
      </c>
      <c r="B47" s="170"/>
      <c r="C47" s="171"/>
      <c r="D47" s="172" t="s">
        <v>2177</v>
      </c>
      <c r="E47" s="24" t="s">
        <v>2178</v>
      </c>
      <c r="F47" s="173" t="s">
        <v>2179</v>
      </c>
      <c r="G47" s="174" t="s">
        <v>2180</v>
      </c>
      <c r="H47" s="2479"/>
      <c r="I47" s="168"/>
      <c r="J47" s="1811">
        <v>2</v>
      </c>
      <c r="K47" s="3069" t="s">
        <v>2181</v>
      </c>
      <c r="L47" s="3069"/>
      <c r="M47" s="3071">
        <f>'数据-取费表'!B2</f>
        <v>43249</v>
      </c>
      <c r="N47" s="3071"/>
      <c r="O47" s="3071"/>
    </row>
    <row r="48" spans="1:15" ht="25.5">
      <c r="A48" s="3137" t="s">
        <v>2182</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069" t="s">
        <v>2185</v>
      </c>
      <c r="L48" s="3069"/>
      <c r="M48" s="3072">
        <f ca="1">H101</f>
        <v>304</v>
      </c>
      <c r="N48" s="3072"/>
      <c r="O48" s="3072"/>
    </row>
    <row r="49" spans="1:35" ht="25.5" customHeight="1">
      <c r="A49" s="176" t="s">
        <v>2186</v>
      </c>
      <c r="B49" s="3117" t="s">
        <v>2187</v>
      </c>
      <c r="C49" s="3117"/>
      <c r="D49" s="177">
        <v>0</v>
      </c>
      <c r="E49" s="23" t="s">
        <v>2188</v>
      </c>
      <c r="F49" s="28" t="s">
        <v>34</v>
      </c>
      <c r="G49" s="3098"/>
      <c r="H49" s="138"/>
      <c r="I49" s="2482"/>
      <c r="J49" s="1811">
        <v>4</v>
      </c>
      <c r="K49" s="3069" t="str">
        <f>IF(项目基本情况!E8="房地产抵押价值","房地产抵押价值","抵押担保权已注销时的房地产抵押价值")</f>
        <v>房地产抵押价值</v>
      </c>
      <c r="L49" s="3069"/>
      <c r="M49" s="3072">
        <f ca="1">IF(项目基本情况!E8="房地产抵押价值",H107,H109)</f>
        <v>304</v>
      </c>
      <c r="N49" s="3072"/>
      <c r="O49" s="3072"/>
    </row>
    <row r="50" spans="1:35" ht="25.5" customHeight="1">
      <c r="A50" s="178"/>
      <c r="B50" s="3117" t="s">
        <v>2189</v>
      </c>
      <c r="C50" s="3117"/>
      <c r="D50" s="179"/>
      <c r="E50" s="31"/>
      <c r="F50" s="180"/>
      <c r="G50" s="3099"/>
      <c r="H50" s="138"/>
      <c r="I50" s="2482"/>
      <c r="J50" s="3069" t="s">
        <v>2190</v>
      </c>
      <c r="K50" s="3069"/>
      <c r="L50" s="3069"/>
      <c r="M50" s="3069"/>
      <c r="N50" s="3069"/>
      <c r="O50" s="3069"/>
    </row>
    <row r="51" spans="1:35" ht="12" customHeight="1">
      <c r="A51" s="181"/>
      <c r="B51" s="3117" t="s">
        <v>2191</v>
      </c>
      <c r="C51" s="3117"/>
      <c r="D51" s="182"/>
      <c r="E51" s="30"/>
      <c r="F51" s="180"/>
      <c r="G51" s="3100"/>
      <c r="H51" s="138"/>
      <c r="I51" s="2482"/>
      <c r="J51" s="2483" t="s">
        <v>2192</v>
      </c>
      <c r="K51" s="3069" t="s">
        <v>2193</v>
      </c>
      <c r="L51" s="3069"/>
      <c r="M51" s="2483" t="s">
        <v>2194</v>
      </c>
      <c r="N51" s="2483" t="s">
        <v>2195</v>
      </c>
      <c r="O51" s="2483" t="s">
        <v>2196</v>
      </c>
    </row>
    <row r="52" spans="1:35" ht="24" customHeight="1">
      <c r="A52" s="183" t="s">
        <v>2197</v>
      </c>
      <c r="B52" s="3117" t="s">
        <v>2198</v>
      </c>
      <c r="C52" s="3117"/>
      <c r="D52" s="182">
        <f ca="1">ROUND(D45*'数据-取费表'!B41/(1+'数据-取费表'!C42),0)</f>
        <v>16</v>
      </c>
      <c r="E52" s="11" t="s">
        <v>2199</v>
      </c>
      <c r="F52" s="184">
        <f>'数据-取费表'!B41</f>
        <v>5.6000000000000001E-2</v>
      </c>
      <c r="G52" s="2484"/>
      <c r="H52" s="138"/>
      <c r="I52" s="2482"/>
      <c r="J52" s="1811">
        <v>1</v>
      </c>
      <c r="K52" s="3092" t="s">
        <v>2200</v>
      </c>
      <c r="L52" s="3092"/>
      <c r="M52" s="1754">
        <f>D48</f>
        <v>0</v>
      </c>
      <c r="N52" s="1811" t="str">
        <f>E48</f>
        <v>销售额×税（费）率</v>
      </c>
      <c r="O52" s="1755" t="str">
        <f>F48</f>
        <v>免征</v>
      </c>
    </row>
    <row r="53" spans="1:35" ht="12" customHeight="1">
      <c r="A53" s="183" t="s">
        <v>2201</v>
      </c>
      <c r="B53" s="3118" t="s">
        <v>2202</v>
      </c>
      <c r="C53" s="3119"/>
      <c r="D53" s="182">
        <f ca="1">ROUND(D45*'数据-取费表'!B41/(1+'数据-取费表'!C42),0)</f>
        <v>16</v>
      </c>
      <c r="E53" s="11" t="s">
        <v>2199</v>
      </c>
      <c r="F53" s="184">
        <f>'数据-取费表'!B41</f>
        <v>5.6000000000000001E-2</v>
      </c>
      <c r="G53" s="2484"/>
      <c r="H53" s="138"/>
      <c r="I53" s="2482"/>
      <c r="J53" s="1811">
        <v>2</v>
      </c>
      <c r="K53" s="3092" t="s">
        <v>2203</v>
      </c>
      <c r="L53" s="3092"/>
      <c r="M53" s="1754">
        <f t="shared" ref="M53:O54" ca="1" si="0">D55</f>
        <v>0</v>
      </c>
      <c r="N53" s="1811" t="str">
        <f t="shared" si="0"/>
        <v>销售额×税（费）率</v>
      </c>
      <c r="O53" s="1755">
        <f t="shared" si="0"/>
        <v>5.0000000000000001E-4</v>
      </c>
    </row>
    <row r="54" spans="1:35" ht="12" customHeight="1">
      <c r="A54" s="183" t="s">
        <v>2204</v>
      </c>
      <c r="B54" s="3118" t="s">
        <v>2205</v>
      </c>
      <c r="C54" s="3119"/>
      <c r="D54" s="182">
        <f ca="1">C68</f>
        <v>16</v>
      </c>
      <c r="E54" s="30" t="s">
        <v>2206</v>
      </c>
      <c r="F54" s="184">
        <f>'数据-取费表'!B41</f>
        <v>5.6000000000000001E-2</v>
      </c>
      <c r="G54" s="2484"/>
      <c r="H54" s="2485"/>
      <c r="I54" s="2482"/>
      <c r="J54" s="1811">
        <v>3</v>
      </c>
      <c r="K54" s="3092" t="s">
        <v>2207</v>
      </c>
      <c r="L54" s="3092"/>
      <c r="M54" s="1754">
        <f t="shared" ca="1" si="0"/>
        <v>172</v>
      </c>
      <c r="N54" s="1811" t="str">
        <f t="shared" si="0"/>
        <v>增值额×税（费）率</v>
      </c>
      <c r="O54" s="1756" t="str">
        <f t="shared" si="0"/>
        <v>——</v>
      </c>
    </row>
    <row r="55" spans="1:35" ht="24" customHeight="1">
      <c r="A55" s="3156" t="s">
        <v>2208</v>
      </c>
      <c r="B55" s="3138"/>
      <c r="C55" s="3138"/>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092" t="str">
        <f>IF(H59="非个人房产","——","个人所得税")</f>
        <v>——</v>
      </c>
      <c r="L55" s="3092"/>
      <c r="M55" s="1757" t="str">
        <f>D59</f>
        <v>——</v>
      </c>
      <c r="N55" s="1809" t="str">
        <f>E59</f>
        <v>——</v>
      </c>
      <c r="O55" s="1758" t="str">
        <f>F59</f>
        <v>——</v>
      </c>
    </row>
    <row r="56" spans="1:35" ht="24.75">
      <c r="A56" s="3156" t="s">
        <v>2211</v>
      </c>
      <c r="B56" s="3138"/>
      <c r="C56" s="3138"/>
      <c r="D56" s="185">
        <f ca="1">IF(H56="个人住宅",D57,D58)</f>
        <v>172</v>
      </c>
      <c r="E56" s="11" t="s">
        <v>2212</v>
      </c>
      <c r="F56" s="184" t="str">
        <f>IF(H56="正常",F58,"免征")</f>
        <v>——</v>
      </c>
      <c r="G56" s="2486" t="s">
        <v>2213</v>
      </c>
      <c r="H56" s="2487" t="s">
        <v>2210</v>
      </c>
      <c r="I56" s="2488"/>
      <c r="J56" s="1811"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2186</v>
      </c>
      <c r="B57" s="3123" t="s">
        <v>2214</v>
      </c>
      <c r="C57" s="3124"/>
      <c r="D57" s="187">
        <v>0</v>
      </c>
      <c r="E57" s="23" t="s">
        <v>2188</v>
      </c>
      <c r="F57" s="155"/>
      <c r="G57" s="2484"/>
      <c r="H57" s="2488"/>
      <c r="I57" s="2488"/>
      <c r="J57" s="3092">
        <f>IF(AND(J55="",J56=""),4,IF(项目基本情况!K6="上海银行",结果表!J56+1,结果表!J55+1))</f>
        <v>4</v>
      </c>
      <c r="K57" s="3092" t="s">
        <v>2215</v>
      </c>
      <c r="L57" s="2489" t="s">
        <v>2216</v>
      </c>
      <c r="M57" s="1759"/>
      <c r="N57" s="1760">
        <f ca="1">SUMIF(M52:M56,"&lt;9e307")</f>
        <v>172</v>
      </c>
      <c r="O57" s="2490"/>
      <c r="P57" s="1753">
        <f ca="1">N57/M49</f>
        <v>0.56578947368421051</v>
      </c>
    </row>
    <row r="58" spans="1:35" ht="24.75">
      <c r="A58" s="183" t="s">
        <v>2197</v>
      </c>
      <c r="B58" s="3123" t="s">
        <v>2217</v>
      </c>
      <c r="C58" s="3136"/>
      <c r="D58" s="185">
        <f ca="1">IF(H58="转让取得",C81,C97)</f>
        <v>172</v>
      </c>
      <c r="E58" s="11" t="s">
        <v>2212</v>
      </c>
      <c r="F58" s="24" t="s">
        <v>34</v>
      </c>
      <c r="G58" s="2484"/>
      <c r="H58" s="2487" t="s">
        <v>2218</v>
      </c>
      <c r="I58" s="2488"/>
      <c r="J58" s="3092"/>
      <c r="K58" s="3092"/>
      <c r="L58" s="2489" t="s">
        <v>2219</v>
      </c>
      <c r="M58" s="1761"/>
      <c r="N58" s="2491" t="str">
        <f ca="1">NUMBERSTRING(INT(N57*10000),2)&amp;"元整"</f>
        <v>壹佰柒拾贰万元整</v>
      </c>
      <c r="O58" s="2492"/>
    </row>
    <row r="59" spans="1:35" ht="24.75" thickBot="1">
      <c r="A59" s="3096" t="s">
        <v>2220</v>
      </c>
      <c r="B59" s="3097"/>
      <c r="C59" s="3097"/>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094">
        <f>J57+1</f>
        <v>5</v>
      </c>
      <c r="K59" s="3092" t="s">
        <v>2222</v>
      </c>
      <c r="L59" s="1811" t="s">
        <v>2216</v>
      </c>
      <c r="M59" s="1762"/>
      <c r="N59" s="1763">
        <f ca="1">M49-N57</f>
        <v>132</v>
      </c>
      <c r="O59" s="2494"/>
    </row>
    <row r="60" spans="1:35" ht="12" customHeight="1">
      <c r="A60" s="2495"/>
      <c r="B60" s="2417"/>
      <c r="C60" s="2417"/>
      <c r="D60" s="2417"/>
      <c r="E60" s="2165"/>
      <c r="F60" s="2488"/>
      <c r="G60" s="2488"/>
      <c r="H60" s="2496"/>
      <c r="I60" s="138"/>
      <c r="J60" s="3095"/>
      <c r="K60" s="3092"/>
      <c r="L60" s="2489" t="s">
        <v>2219</v>
      </c>
      <c r="M60" s="1761"/>
      <c r="N60" s="2491" t="str">
        <f ca="1">NUMBERSTRING(INT(N59*10000),2)&amp;"元整"</f>
        <v>壹佰叁拾贰万元整</v>
      </c>
      <c r="O60" s="2492"/>
    </row>
    <row r="61" spans="1:35" ht="13.5" thickBot="1">
      <c r="A61" s="3155" t="s">
        <v>2223</v>
      </c>
      <c r="B61" s="3155"/>
      <c r="C61" s="3155"/>
      <c r="D61" s="3155"/>
      <c r="E61" s="3155"/>
      <c r="F61" s="2488"/>
      <c r="G61" s="2488"/>
      <c r="H61" s="2496"/>
      <c r="I61" s="138"/>
      <c r="J61" s="1811">
        <f>J59+1</f>
        <v>6</v>
      </c>
      <c r="K61" s="3092" t="s">
        <v>2224</v>
      </c>
      <c r="L61" s="3092"/>
      <c r="M61" s="1764"/>
      <c r="N61" s="1765">
        <f ca="1">ROUND(N59*10000/'数据-汇总表'!E3,0)</f>
        <v>14259</v>
      </c>
      <c r="O61" s="2497"/>
    </row>
    <row r="62" spans="1:35" ht="12.75">
      <c r="A62" s="3112" t="s">
        <v>2225</v>
      </c>
      <c r="B62" s="3113"/>
      <c r="C62" s="1803"/>
      <c r="D62" s="1803" t="s">
        <v>2226</v>
      </c>
      <c r="E62" s="192" t="s">
        <v>2227</v>
      </c>
      <c r="F62" s="2488"/>
      <c r="G62" s="2488"/>
      <c r="H62" s="2496"/>
      <c r="I62" s="138"/>
    </row>
    <row r="63" spans="1:35" ht="12.75">
      <c r="A63" s="203" t="s">
        <v>775</v>
      </c>
      <c r="B63" s="193" t="s">
        <v>2228</v>
      </c>
      <c r="C63" s="194">
        <f ca="1">ROUND((C64+C65)/(1+'数据-取费表'!C42),0)</f>
        <v>290</v>
      </c>
      <c r="D63" s="195"/>
      <c r="E63" s="196"/>
      <c r="F63" s="2488"/>
      <c r="G63" s="2488"/>
      <c r="H63" s="2496"/>
      <c r="I63" s="138"/>
      <c r="J63" s="3077" t="s">
        <v>2229</v>
      </c>
      <c r="K63" s="2498" t="s">
        <v>2230</v>
      </c>
      <c r="L63" s="1752">
        <f ca="1">IF(M49&gt;10000,M49*0.5%,IF(AND(M49&gt;1000,M49&lt;=10000),M49*1%,IF(AND(M49&gt;100,M49&lt;=1000),M49*3%,IF(AND(M49&gt;10,M49&lt;=100),M49*5%,M49*8%))))</f>
        <v>9.1199999999999992</v>
      </c>
      <c r="M63" s="24">
        <f ca="1">ROUND(L63,1)</f>
        <v>9.1</v>
      </c>
      <c r="Z63" s="2422"/>
      <c r="AI63" s="2423"/>
    </row>
    <row r="64" spans="1:35" ht="14.25" customHeight="1">
      <c r="A64" s="197" t="s">
        <v>770</v>
      </c>
      <c r="B64" s="198" t="s">
        <v>2231</v>
      </c>
      <c r="C64" s="199">
        <f ca="1">D45</f>
        <v>304</v>
      </c>
      <c r="D64" s="200" t="s">
        <v>32</v>
      </c>
      <c r="E64" s="201"/>
      <c r="F64" s="2488"/>
      <c r="G64" s="2488"/>
      <c r="H64" s="2496"/>
      <c r="I64" s="138"/>
      <c r="J64" s="3077"/>
      <c r="K64" s="2498" t="s">
        <v>2232</v>
      </c>
      <c r="L64" s="1752">
        <f ca="1">IF(M49&gt;2000,M49*0.5%,IF(AND(M49&gt;1000,M49&lt;=2000),M49*0.6%,IF(AND(M49&gt;500,M49&lt;=1000),M49*0.7%,IF(AND(M49&gt;200,M49&lt;=500),M49*0.8%,IF(AND(M49&gt;100,M49&lt;=200),M49*0.9%,IF(AND(M49&gt;50,M49&lt;=100),M49*1%,IF(AND(M49&gt;20,M49&lt;=50),M49*1.5%,IF(AND(M49&gt;10,M49&lt;=20),M49*2%,IF(AND(M49&gt;1,M49&lt;=10),M49*2.5%)))))))))</f>
        <v>2.4319999999999999</v>
      </c>
      <c r="M64" s="24">
        <f t="shared" ref="M64:M65" ca="1" si="1">ROUND(L64,1)</f>
        <v>2.4</v>
      </c>
      <c r="N64" s="138" t="s">
        <v>2233</v>
      </c>
      <c r="Z64" s="2422"/>
      <c r="AI64" s="2423"/>
    </row>
    <row r="65" spans="1:35" ht="14.25" customHeight="1">
      <c r="A65" s="197" t="s">
        <v>771</v>
      </c>
      <c r="B65" s="198" t="s">
        <v>2234</v>
      </c>
      <c r="C65" s="202"/>
      <c r="D65" s="200"/>
      <c r="E65" s="201"/>
      <c r="F65" s="2488"/>
      <c r="G65" s="2488"/>
      <c r="H65" s="2496"/>
      <c r="I65" s="138"/>
      <c r="J65" s="3077"/>
      <c r="K65" s="2498" t="s">
        <v>2235</v>
      </c>
      <c r="L65" s="1752">
        <f ca="1">IF(M49&gt;1000,M49*0.1%,IF(AND(M49&gt;500,M49&lt;=1000),M49*0.5%,IF(AND(M49&gt;50,M49&lt;=500),M49*1%,IF(AND(M49&gt;1,M49&lt;=50),M49*1.5%))))</f>
        <v>3.04</v>
      </c>
      <c r="M65" s="24">
        <f t="shared" ca="1" si="1"/>
        <v>3</v>
      </c>
      <c r="N65" s="138" t="s">
        <v>2233</v>
      </c>
      <c r="Z65" s="2422"/>
      <c r="AI65" s="2423"/>
    </row>
    <row r="66" spans="1:35" ht="14.25" customHeight="1">
      <c r="A66" s="203" t="s">
        <v>772</v>
      </c>
      <c r="B66" s="204" t="s">
        <v>2236</v>
      </c>
      <c r="C66" s="205"/>
      <c r="D66" s="206" t="s">
        <v>32</v>
      </c>
      <c r="E66" s="1775" t="s">
        <v>1371</v>
      </c>
      <c r="F66" s="2488"/>
      <c r="G66" s="2488"/>
      <c r="H66" s="2496"/>
      <c r="I66" s="138"/>
      <c r="J66" s="3077"/>
      <c r="K66" s="2498" t="s">
        <v>2237</v>
      </c>
      <c r="L66" s="1752">
        <f ca="1">M49*0.5%</f>
        <v>1.52</v>
      </c>
      <c r="M66" s="24">
        <f ca="1">IF(L66&gt;0.5,0.5,ROUND(L66,0))</f>
        <v>0.5</v>
      </c>
      <c r="N66" s="138" t="s">
        <v>2238</v>
      </c>
      <c r="Z66" s="2422"/>
      <c r="AI66" s="2423"/>
    </row>
    <row r="67" spans="1:35" ht="14.25" customHeight="1">
      <c r="A67" s="203" t="s">
        <v>773</v>
      </c>
      <c r="B67" s="204" t="s">
        <v>2239</v>
      </c>
      <c r="C67" s="207">
        <f ca="1">C63-C66</f>
        <v>290</v>
      </c>
      <c r="D67" s="200" t="s">
        <v>32</v>
      </c>
      <c r="E67" s="201"/>
      <c r="F67" s="2488"/>
      <c r="G67" s="2488"/>
      <c r="H67" s="2496"/>
      <c r="I67" s="138"/>
      <c r="J67" s="3077"/>
      <c r="K67" s="2498" t="s">
        <v>2240</v>
      </c>
      <c r="L67" s="1752">
        <f ca="1">IF(M49&gt;=10000,(8.25+(M49-10000)*0.01%),IF(AND(M49&gt;=8000,M49&lt;10000),(7.85+(M49-8000)*0.02%),IF(AND(M49&gt;=5000,M49&lt;8000),(6.65+(M49-5000)*0.04%),IF(AND(M49&gt;=2000,M49&lt;5000),(4.25+(PM49-2000)*0.08%),IF(AND(M49&gt;=1000,M49&lt;2000),(2.75+(M49-1000)*0.15%),IF(AND(M49&gt;=100,M49&lt;1000),(0.5+(M49-100)*0.25%),IF(AND(M49&gt;0,M49&lt;100),M49*0.5%)))))))</f>
        <v>1.01</v>
      </c>
      <c r="M67" s="24">
        <f ca="1">ROUND(L67*0.9,1)</f>
        <v>0.9</v>
      </c>
      <c r="Z67" s="2422"/>
      <c r="AI67" s="2423"/>
    </row>
    <row r="68" spans="1:35" ht="14.25" customHeight="1" thickBot="1">
      <c r="A68" s="208" t="s">
        <v>774</v>
      </c>
      <c r="B68" s="209" t="s">
        <v>2241</v>
      </c>
      <c r="C68" s="210">
        <f ca="1">IF(C67&lt;=0,0,ROUND(C67*D68,0))</f>
        <v>16</v>
      </c>
      <c r="D68" s="211">
        <f>'数据-取费表'!B41</f>
        <v>5.6000000000000001E-2</v>
      </c>
      <c r="E68" s="212"/>
      <c r="F68" s="2488"/>
      <c r="G68" s="2488"/>
      <c r="H68" s="2496"/>
      <c r="I68" s="138"/>
      <c r="J68" s="3077"/>
      <c r="K68" s="2498" t="s">
        <v>2242</v>
      </c>
      <c r="L68" s="1752">
        <f ca="1">IF(M49&gt;10000,M49*0.5%,IF(AND(M49&gt;5000,M49&lt;=10000),M49*1%,IF(AND(M49&gt;1000,M49&lt;=5000),M49*2%,IF(AND(M49&gt;200,M49&lt;=1000),M49*3%,M49*5%))))</f>
        <v>9.1199999999999992</v>
      </c>
      <c r="M68" s="24">
        <f ca="1">ROUND(L68,1)</f>
        <v>9.1</v>
      </c>
      <c r="Z68" s="2422"/>
      <c r="AI68" s="2423"/>
    </row>
    <row r="69" spans="1:35" s="2445" customFormat="1" ht="16.5" customHeight="1">
      <c r="A69" s="2499"/>
      <c r="B69" s="2500"/>
      <c r="C69" s="2501"/>
      <c r="D69" s="2502"/>
      <c r="E69" s="2503"/>
      <c r="F69" s="2165"/>
      <c r="G69" s="2165"/>
      <c r="H69" s="2164"/>
      <c r="I69" s="2417"/>
      <c r="J69" s="3077"/>
      <c r="K69" s="2498" t="s">
        <v>2243</v>
      </c>
      <c r="L69" s="2504"/>
      <c r="M69" s="24">
        <f ca="1">ROUND(SUM(M63:M68),0)</f>
        <v>25</v>
      </c>
      <c r="N69" s="1753">
        <f ca="1">M69/M49</f>
        <v>8.2236842105263164E-2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1" t="s">
        <v>2244</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2" t="s">
        <v>2225</v>
      </c>
      <c r="B71" s="3113"/>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290</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2</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118" t="s">
        <v>2253</v>
      </c>
      <c r="F76" s="3117"/>
      <c r="G76" s="3117"/>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2</v>
      </c>
      <c r="D78" s="226">
        <f>'数据-取费表'!B43</f>
        <v>6.000000000000001E-3</v>
      </c>
      <c r="E78" s="3109" t="s">
        <v>2258</v>
      </c>
      <c r="F78" s="3110"/>
      <c r="G78" s="3110"/>
      <c r="H78" s="311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288</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172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2262</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2" t="s">
        <v>2225</v>
      </c>
      <c r="B84" s="3113"/>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290</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2</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109" t="s">
        <v>2271</v>
      </c>
      <c r="F91" s="3110"/>
      <c r="G91" s="3110"/>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109" t="s">
        <v>2275</v>
      </c>
      <c r="F92" s="3110"/>
      <c r="G92" s="3110"/>
      <c r="H92" s="311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2</v>
      </c>
      <c r="D93" s="226">
        <f>'数据-取费表'!B43</f>
        <v>6.000000000000001E-3</v>
      </c>
      <c r="E93" s="3109" t="s">
        <v>2258</v>
      </c>
      <c r="F93" s="3110"/>
      <c r="G93" s="3110"/>
      <c r="H93" s="311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157" t="s">
        <v>2279</v>
      </c>
      <c r="F94" s="3158"/>
      <c r="G94" s="3158"/>
      <c r="H94" s="315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288</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172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1" t="s">
        <v>2281</v>
      </c>
      <c r="B100" s="3062"/>
      <c r="C100" s="3062"/>
      <c r="D100" s="3093"/>
      <c r="E100" s="3062" t="s">
        <v>2282</v>
      </c>
      <c r="F100" s="3062"/>
      <c r="G100" s="3062"/>
      <c r="H100" s="3093"/>
      <c r="I100" s="138"/>
    </row>
    <row r="101" spans="1:35" ht="18.75" customHeight="1">
      <c r="A101" s="3101" t="s">
        <v>2283</v>
      </c>
      <c r="B101" s="3102"/>
      <c r="C101" s="736" t="str">
        <f>C4</f>
        <v>比较法-住宅</v>
      </c>
      <c r="D101" s="737" t="str">
        <f>D4</f>
        <v>收益法 (元)</v>
      </c>
      <c r="E101" s="3073" t="s">
        <v>2284</v>
      </c>
      <c r="F101" s="3074"/>
      <c r="G101" s="2519" t="s">
        <v>2285</v>
      </c>
      <c r="H101" s="1048">
        <f ca="1">H118</f>
        <v>304</v>
      </c>
      <c r="I101" s="138"/>
    </row>
    <row r="102" spans="1:35" ht="18.75" customHeight="1">
      <c r="A102" s="3103" t="s">
        <v>2286</v>
      </c>
      <c r="B102" s="2519" t="s">
        <v>2285</v>
      </c>
      <c r="C102" s="736">
        <f ca="1">C19</f>
        <v>355</v>
      </c>
      <c r="D102" s="737">
        <f ca="1">D19</f>
        <v>99</v>
      </c>
      <c r="E102" s="3073"/>
      <c r="F102" s="3074"/>
      <c r="G102" s="2519" t="s">
        <v>2287</v>
      </c>
      <c r="H102" s="371">
        <f ca="1">I118</f>
        <v>32840</v>
      </c>
      <c r="I102" s="138"/>
    </row>
    <row r="103" spans="1:35" ht="42.75" customHeight="1">
      <c r="A103" s="3103"/>
      <c r="B103" s="2519" t="s">
        <v>2287</v>
      </c>
      <c r="C103" s="738">
        <f ca="1">C20</f>
        <v>38393</v>
      </c>
      <c r="D103" s="739">
        <f ca="1">D20</f>
        <v>10688</v>
      </c>
      <c r="E103" s="3067" t="s">
        <v>2288</v>
      </c>
      <c r="F103" s="3068"/>
      <c r="G103" s="2520" t="s">
        <v>2289</v>
      </c>
      <c r="H103" s="1048">
        <f>IF(D36="正常操作",H104+H105+H106,H105+H106)</f>
        <v>0</v>
      </c>
      <c r="I103" s="138"/>
    </row>
    <row r="104" spans="1:35" ht="18.75" customHeight="1">
      <c r="A104" s="3103" t="s">
        <v>2290</v>
      </c>
      <c r="B104" s="2521" t="s">
        <v>2285</v>
      </c>
      <c r="C104" s="740">
        <f ca="1">H118</f>
        <v>304</v>
      </c>
      <c r="D104" s="741"/>
      <c r="E104" s="2266" t="s">
        <v>2291</v>
      </c>
      <c r="F104" s="2257"/>
      <c r="G104" s="2520" t="s">
        <v>2289</v>
      </c>
      <c r="H104" s="1049">
        <f>IF(D36="同一抵押权人同一抵押物续贷",C36&amp;"（未扣减，详见特别提示）",C36)</f>
        <v>0</v>
      </c>
      <c r="I104" s="138"/>
    </row>
    <row r="105" spans="1:35" ht="18.75" customHeight="1" thickBot="1">
      <c r="A105" s="3115"/>
      <c r="B105" s="2522" t="s">
        <v>2287</v>
      </c>
      <c r="C105" s="742">
        <f ca="1">I118</f>
        <v>32840</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4" t="str">
        <f>IF(项目基本情况!E8="已注销","——","3.房地产抵押价值")</f>
        <v>3.房地产抵押价值</v>
      </c>
      <c r="F107" s="3074"/>
      <c r="G107" s="2519" t="s">
        <v>2285</v>
      </c>
      <c r="H107" s="1048">
        <f ca="1">IF(E107="——","——",H101-H103)</f>
        <v>304</v>
      </c>
      <c r="I107" s="138"/>
    </row>
    <row r="108" spans="1:35" ht="18.75" customHeight="1">
      <c r="A108" s="138"/>
      <c r="B108" s="138"/>
      <c r="C108" s="138"/>
      <c r="D108" s="138"/>
      <c r="E108" s="3104"/>
      <c r="F108" s="3074"/>
      <c r="G108" s="2519" t="s">
        <v>2287</v>
      </c>
      <c r="H108" s="371">
        <f ca="1">ROUND(H107*10000/'数据-汇总表'!E3,0)</f>
        <v>32840</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9" t="s">
        <v>2285</v>
      </c>
      <c r="H109" s="348" t="str">
        <f>IF(E109="——","——",H101-H105-H106)</f>
        <v>——</v>
      </c>
      <c r="I109" s="138"/>
    </row>
    <row r="110" spans="1:35" ht="18.75" customHeight="1">
      <c r="A110" s="138"/>
      <c r="B110" s="138"/>
      <c r="C110" s="138"/>
      <c r="D110" s="138"/>
      <c r="E110" s="3104"/>
      <c r="F110" s="3074"/>
      <c r="G110" s="2519" t="s">
        <v>2287</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9" t="s">
        <v>2285</v>
      </c>
      <c r="H111" s="1048" t="str">
        <f>IF(E111="——","——",N59)</f>
        <v>——</v>
      </c>
      <c r="I111" s="138"/>
    </row>
    <row r="112" spans="1:35" ht="18.75" customHeight="1" thickBot="1">
      <c r="A112" s="138"/>
      <c r="B112" s="138"/>
      <c r="C112" s="138"/>
      <c r="D112" s="138"/>
      <c r="E112" s="3107"/>
      <c r="F112" s="3108"/>
      <c r="G112" s="2524" t="s">
        <v>2287</v>
      </c>
      <c r="H112" s="790" t="str">
        <f>IF(E111="——","——",N61)</f>
        <v>——</v>
      </c>
      <c r="I112" s="138"/>
    </row>
    <row r="113" spans="1:11" ht="18.75" customHeight="1">
      <c r="A113" s="138"/>
      <c r="B113" s="138"/>
      <c r="C113" s="138"/>
      <c r="D113" s="138"/>
      <c r="E113" s="3116" t="s">
        <v>2293</v>
      </c>
      <c r="F113" s="3116"/>
      <c r="G113" s="3116"/>
      <c r="H113" s="3116"/>
      <c r="I113" s="138"/>
    </row>
    <row r="114" spans="1:11" ht="3.75" customHeight="1">
      <c r="A114" s="2417"/>
      <c r="B114" s="2417"/>
      <c r="C114" s="2417"/>
      <c r="D114" s="2417"/>
      <c r="E114" s="2495"/>
      <c r="F114" s="2495"/>
      <c r="G114" s="2495"/>
      <c r="H114" s="2495"/>
      <c r="I114" s="2417"/>
    </row>
    <row r="115" spans="1:11" ht="18.75" customHeight="1">
      <c r="A115" s="3129" t="s">
        <v>2295</v>
      </c>
      <c r="B115" s="3130"/>
      <c r="C115" s="3130"/>
      <c r="D115" s="3130"/>
      <c r="E115" s="3130"/>
      <c r="F115" s="3130"/>
      <c r="G115" s="3130"/>
      <c r="H115" s="3130"/>
      <c r="I115" s="3131"/>
    </row>
    <row r="116" spans="1:11" ht="27" customHeight="1">
      <c r="A116" s="3040" t="s">
        <v>2296</v>
      </c>
      <c r="B116" s="3083" t="s">
        <v>2297</v>
      </c>
      <c r="C116" s="3083" t="s">
        <v>2298</v>
      </c>
      <c r="D116" s="3089" t="s">
        <v>2299</v>
      </c>
      <c r="E116" s="3090"/>
      <c r="F116" s="3125" t="s">
        <v>2300</v>
      </c>
      <c r="G116" s="3125"/>
      <c r="H116" s="3040" t="s">
        <v>2301</v>
      </c>
      <c r="I116" s="3040"/>
    </row>
    <row r="117" spans="1:11" ht="18.75" customHeight="1">
      <c r="A117" s="3040"/>
      <c r="B117" s="3084"/>
      <c r="C117" s="3084"/>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92.57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304</v>
      </c>
      <c r="I118" s="1797">
        <f ca="1">ROUND(IF(D32="楼面单价",C32,H118*10000/B118),0)</f>
        <v>32840</v>
      </c>
    </row>
    <row r="119" spans="1:11" ht="18.75" customHeight="1">
      <c r="A119" s="3040" t="s">
        <v>2305</v>
      </c>
      <c r="B119" s="3040"/>
      <c r="C119" s="3040"/>
      <c r="D119" s="3085" t="e">
        <f ca="1">NUMBERSTRING(INT(D118*10000),2)&amp;"元整"</f>
        <v>#REF!</v>
      </c>
      <c r="E119" s="3086"/>
      <c r="F119" s="3085" t="e">
        <f ca="1">NUMBERSTRING(INT(F118*10000),2)&amp;"元整"</f>
        <v>#REF!</v>
      </c>
      <c r="G119" s="3086"/>
      <c r="H119" s="3085" t="str">
        <f ca="1">NUMBERSTRING(INT(H118*10000),2)&amp;"元整"</f>
        <v>叁佰零肆万元整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2" t="str">
        <f>IF(D120=0,"故，本次评估不存在"&amp;A120,"故，本次评估"&amp;A120&amp;"为人民币"&amp;D120&amp;"万元整。")</f>
        <v>故，本次评估不存在估价师知悉的法定优先受偿款</v>
      </c>
    </row>
    <row r="121" spans="1:11" ht="18.75" customHeight="1">
      <c r="A121" s="3126" t="s">
        <v>2305</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304</v>
      </c>
      <c r="E122" s="3081"/>
      <c r="F122" s="3081"/>
      <c r="G122" s="3081"/>
      <c r="H122" s="3081"/>
      <c r="I122" s="3082"/>
    </row>
    <row r="123" spans="1:11" ht="18.75" customHeight="1">
      <c r="A123" s="3040" t="s">
        <v>2305</v>
      </c>
      <c r="B123" s="3040"/>
      <c r="C123" s="3040"/>
      <c r="D123" s="3085" t="str">
        <f ca="1">NUMBERSTRING(INT(D122*10000),2)&amp;"元整"</f>
        <v>叁佰零肆万元整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2305</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2305</v>
      </c>
      <c r="B127" s="3040"/>
      <c r="C127" s="3040"/>
      <c r="D127" s="3085" t="e">
        <f>NUMBERSTRING(INT(D126*10000),2)&amp;"元整"</f>
        <v>#VALUE!</v>
      </c>
      <c r="E127" s="3087"/>
      <c r="F127" s="3087"/>
      <c r="G127" s="3087"/>
      <c r="H127" s="3087"/>
      <c r="I127" s="3086"/>
    </row>
    <row r="128" spans="1:11" ht="21.75" customHeight="1">
      <c r="A128" s="3088" t="s">
        <v>2306</v>
      </c>
      <c r="B128" s="3088"/>
      <c r="C128" s="3088"/>
      <c r="D128" s="3088"/>
      <c r="E128" s="3088"/>
      <c r="F128" s="3088"/>
      <c r="G128" s="3088"/>
      <c r="H128" s="3088"/>
      <c r="I128" s="3088"/>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44</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4753</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92.57</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92.57</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5.0000000000000001E-4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5.0000000000000001E-4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32</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28</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92.57</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2</v>
      </c>
      <c r="D41" s="279">
        <f ca="1">C44</f>
        <v>5.0000000000000001E-4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v>
      </c>
      <c r="D42" s="282"/>
      <c r="E42" s="282"/>
      <c r="F42" s="283"/>
      <c r="G42" s="3160" t="s">
        <v>2397</v>
      </c>
    </row>
    <row r="43" spans="1:7" ht="13.5" customHeight="1">
      <c r="A43" s="954" t="s">
        <v>792</v>
      </c>
      <c r="B43" s="259" t="s">
        <v>2398</v>
      </c>
      <c r="C43" s="282">
        <f ca="1">ROUND(IF('数据-取费表'!B22&lt;=1,C39*F22*'数据-取费表'!B21/2,C39*(POWER((1+F22),'数据-取费表'!B21/2)-1)),0)</f>
        <v>0</v>
      </c>
      <c r="D43" s="282"/>
      <c r="E43" s="282"/>
      <c r="F43" s="283"/>
      <c r="G43" s="3161"/>
    </row>
    <row r="44" spans="1:7" ht="13.5" customHeight="1">
      <c r="A44" s="954" t="s">
        <v>793</v>
      </c>
      <c r="B44" s="259" t="s">
        <v>2399</v>
      </c>
      <c r="C44" s="282">
        <f ca="1">ROUND(IF('数据-取费表'!B22&lt;=1,C40*F22*'数据-取费表'!B21/2,C40*(POWER((1+F22),'数据-取费表'!B21/2)-1)),4)</f>
        <v>5.0000000000000001E-4</v>
      </c>
      <c r="D44" s="282"/>
      <c r="E44" s="282"/>
      <c r="F44" s="283"/>
      <c r="G44" s="3162"/>
    </row>
    <row r="45" spans="1:7" s="258" customFormat="1" ht="13.5" customHeight="1">
      <c r="A45" s="299" t="s">
        <v>2400</v>
      </c>
      <c r="B45" s="288" t="s">
        <v>2366</v>
      </c>
      <c r="C45" s="289">
        <f ca="1">C46</f>
        <v>6</v>
      </c>
      <c r="D45" s="279">
        <f ca="1">C47</f>
        <v>2E-3</v>
      </c>
      <c r="E45" s="280" t="s">
        <v>2392</v>
      </c>
      <c r="F45" s="290"/>
      <c r="G45" s="291" t="s">
        <v>2401</v>
      </c>
    </row>
    <row r="46" spans="1:7" s="258" customFormat="1" ht="13.5" customHeight="1">
      <c r="A46" s="954" t="s">
        <v>791</v>
      </c>
      <c r="B46" s="292" t="s">
        <v>2402</v>
      </c>
      <c r="C46" s="293">
        <f ca="1">ROUND((C33+C39)*F27,0)</f>
        <v>6</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43</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39</v>
      </c>
      <c r="D51" s="276"/>
      <c r="E51" s="276"/>
      <c r="F51" s="308"/>
      <c r="G51" s="278" t="s">
        <v>2413</v>
      </c>
    </row>
    <row r="52" spans="1:7" s="252" customFormat="1" ht="16.5" thickBot="1">
      <c r="A52" s="309" t="s">
        <v>2414</v>
      </c>
      <c r="B52" s="310"/>
      <c r="C52" s="311">
        <f ca="1">C31+C51</f>
        <v>44</v>
      </c>
      <c r="D52" s="310"/>
      <c r="E52" s="310"/>
      <c r="F52" s="310"/>
      <c r="G52" s="312"/>
    </row>
    <row r="55" spans="1:7" ht="15">
      <c r="B55" s="314" t="s">
        <v>2415</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北京市朝阳区建国路29号兴隆家园38号楼4门102号住宅用房房地产抵押价值预评估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44</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4753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18514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18514</v>
      </c>
      <c r="D8" s="266"/>
      <c r="E8" s="264"/>
      <c r="F8" s="265"/>
      <c r="G8" s="2551"/>
    </row>
    <row r="9" spans="1:8" s="258" customFormat="1" ht="13.5" customHeight="1">
      <c r="A9" s="953" t="s">
        <v>800</v>
      </c>
      <c r="B9" s="268" t="s">
        <v>2331</v>
      </c>
      <c r="C9" s="269">
        <f ca="1">ROUND(D9*E9,0)</f>
        <v>18514</v>
      </c>
      <c r="D9" s="1035">
        <f ca="1">IF(B1="",'数据-汇总表'!E5,IF(INDIRECT("'数据-取费表'!c"&amp;$G$1)="住宅",INDIRECT("'数据-取费表'!k"&amp;$G$1),0))</f>
        <v>92.57</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18514</v>
      </c>
      <c r="D19" s="1039">
        <f ca="1">D9+D10</f>
        <v>92.57</v>
      </c>
      <c r="E19" s="255">
        <f>'数据-取费表'!B31</f>
        <v>200</v>
      </c>
      <c r="F19" s="275"/>
      <c r="G19" s="2551"/>
    </row>
    <row r="20" spans="1:7" s="258" customFormat="1" ht="13.5" customHeight="1">
      <c r="A20" s="299" t="s">
        <v>2427</v>
      </c>
      <c r="B20" s="254" t="s">
        <v>2428</v>
      </c>
      <c r="C20" s="276">
        <f ca="1">ROUND((C5+C19)*F20,0)</f>
        <v>370</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3620</v>
      </c>
      <c r="D22" s="279">
        <f ca="1">C26</f>
        <v>5.0000000000000001E-4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4">
        <f ca="1">ROUND(IF('数据-取费表'!B22&lt;=1,C5*F22*'数据-取费表'!B22,C5*(POWER((1+F22),'数据-取费表'!B22)-1)),0)</f>
        <v>1801</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1801</v>
      </c>
      <c r="D24" s="282"/>
      <c r="E24" s="282"/>
      <c r="F24" s="283"/>
      <c r="G24" s="284" t="s">
        <v>2439</v>
      </c>
    </row>
    <row r="25" spans="1:7" s="258" customFormat="1" ht="24">
      <c r="A25" s="954" t="s">
        <v>2329</v>
      </c>
      <c r="B25" s="259" t="s">
        <v>2440</v>
      </c>
      <c r="C25" s="1384">
        <f ca="1">ROUND(IF('数据-取费表'!B22&lt;=1,C20*F22*'数据-取费表'!B22/2,C20*(POWER((1+F22),'数据-取费表'!B22/2)-1)),0)</f>
        <v>18</v>
      </c>
      <c r="D25" s="282"/>
      <c r="E25" s="285"/>
      <c r="F25" s="283"/>
      <c r="G25" s="286" t="s">
        <v>2441</v>
      </c>
    </row>
    <row r="26" spans="1:7" s="258" customFormat="1">
      <c r="A26" s="954" t="s">
        <v>795</v>
      </c>
      <c r="B26" s="259" t="s">
        <v>2364</v>
      </c>
      <c r="C26" s="282">
        <f ca="1">ROUND(IF('数据-取费表'!B22&lt;=1,F21*F22*'数据-取费表'!B22/2,F21*(POWER((1+F22),'数据-取费表'!B22/2)-1)),4)</f>
        <v>5.0000000000000001E-4</v>
      </c>
      <c r="D26" s="282"/>
      <c r="E26" s="285"/>
      <c r="F26" s="283"/>
      <c r="G26" s="287"/>
    </row>
    <row r="27" spans="1:7" s="258" customFormat="1" ht="24.75">
      <c r="A27" s="299" t="s">
        <v>2365</v>
      </c>
      <c r="B27" s="288" t="s">
        <v>2366</v>
      </c>
      <c r="C27" s="289">
        <f ca="1">C28</f>
        <v>7480</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7480</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51914</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317052</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277710</v>
      </c>
      <c r="D34" s="261"/>
      <c r="E34" s="264"/>
      <c r="F34" s="301"/>
      <c r="G34" s="263"/>
    </row>
    <row r="35" spans="1:7" ht="13.5" customHeight="1">
      <c r="A35" s="954" t="s">
        <v>796</v>
      </c>
      <c r="B35" s="259" t="s">
        <v>2380</v>
      </c>
      <c r="C35" s="264">
        <f ca="1">ROUND(C34*F35,0)</f>
        <v>8331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8331</v>
      </c>
      <c r="D36" s="264"/>
      <c r="E36" s="264"/>
      <c r="F36" s="303">
        <f>'数据-取费表'!B34</f>
        <v>0.03</v>
      </c>
      <c r="G36" s="304" t="s">
        <v>2383</v>
      </c>
    </row>
    <row r="37" spans="1:7" s="302" customFormat="1" ht="13.5" customHeight="1">
      <c r="A37" s="954" t="s">
        <v>798</v>
      </c>
      <c r="B37" s="259" t="s">
        <v>2384</v>
      </c>
      <c r="C37" s="293">
        <f ca="1">ROUND(E37*D37,0)</f>
        <v>18514</v>
      </c>
      <c r="D37" s="261">
        <f ca="1">D19</f>
        <v>92.57</v>
      </c>
      <c r="E37" s="293">
        <f>'数据-取费表'!B35</f>
        <v>200</v>
      </c>
      <c r="F37" s="303"/>
      <c r="G37" s="305"/>
    </row>
    <row r="38" spans="1:7" ht="13.5" customHeight="1">
      <c r="A38" s="954" t="s">
        <v>799</v>
      </c>
      <c r="B38" s="259" t="s">
        <v>2386</v>
      </c>
      <c r="C38" s="264">
        <f ca="1">ROUND(C34*F38,0)</f>
        <v>4166</v>
      </c>
      <c r="D38" s="264"/>
      <c r="E38" s="264"/>
      <c r="F38" s="303">
        <f>'数据-取费表'!B36</f>
        <v>1.4999999999999999E-2</v>
      </c>
      <c r="G38" s="263" t="s">
        <v>2381</v>
      </c>
    </row>
    <row r="39" spans="1:7" s="258" customFormat="1" ht="13.5" customHeight="1">
      <c r="A39" s="299" t="s">
        <v>2387</v>
      </c>
      <c r="B39" s="254" t="s">
        <v>2388</v>
      </c>
      <c r="C39" s="276">
        <f ca="1">ROUND(C33*F20,0)</f>
        <v>3171</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15211</v>
      </c>
      <c r="D41" s="279">
        <f ca="1">C44</f>
        <v>5.0000000000000001E-4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15060</v>
      </c>
      <c r="D42" s="282"/>
      <c r="E42" s="282"/>
      <c r="F42" s="283"/>
      <c r="G42" s="3160" t="s">
        <v>2444</v>
      </c>
    </row>
    <row r="43" spans="1:7" ht="13.5" customHeight="1">
      <c r="A43" s="954" t="s">
        <v>792</v>
      </c>
      <c r="B43" s="259" t="s">
        <v>2398</v>
      </c>
      <c r="C43" s="282">
        <f ca="1">ROUND(IF('数据-取费表'!B22&lt;=1,C39*F22*'数据-取费表'!B20/2,C39*(POWER((1+F22),'数据-取费表'!B20/2)-1)),0)</f>
        <v>151</v>
      </c>
      <c r="D43" s="282"/>
      <c r="E43" s="282"/>
      <c r="F43" s="283"/>
      <c r="G43" s="3161"/>
    </row>
    <row r="44" spans="1:7" ht="13.5" customHeight="1">
      <c r="A44" s="954" t="s">
        <v>793</v>
      </c>
      <c r="B44" s="259" t="s">
        <v>2399</v>
      </c>
      <c r="C44" s="282">
        <f ca="1">ROUND(IF('数据-取费表'!B22&lt;=1,C40*F22*'数据-取费表'!B20/2,C40*(POWER((1+F22),'数据-取费表'!B20/2)-1)),4)</f>
        <v>5.0000000000000001E-4</v>
      </c>
      <c r="D44" s="282"/>
      <c r="E44" s="282"/>
      <c r="F44" s="283"/>
      <c r="G44" s="3162"/>
    </row>
    <row r="45" spans="1:7" s="258" customFormat="1" ht="13.5" customHeight="1">
      <c r="A45" s="299" t="s">
        <v>2400</v>
      </c>
      <c r="B45" s="288" t="s">
        <v>2366</v>
      </c>
      <c r="C45" s="289">
        <f ca="1">C46</f>
        <v>64045</v>
      </c>
      <c r="D45" s="279">
        <f ca="1">C47</f>
        <v>2E-3</v>
      </c>
      <c r="E45" s="280" t="s">
        <v>2392</v>
      </c>
      <c r="F45" s="290"/>
      <c r="G45" s="291" t="s">
        <v>2401</v>
      </c>
    </row>
    <row r="46" spans="1:7" s="258" customFormat="1" ht="13.5" customHeight="1">
      <c r="A46" s="954" t="s">
        <v>791</v>
      </c>
      <c r="B46" s="292" t="s">
        <v>2402</v>
      </c>
      <c r="C46" s="293">
        <f ca="1">ROUND((C33+C39)*F27,0)</f>
        <v>64045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427616</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384854</v>
      </c>
      <c r="D51" s="276"/>
      <c r="E51" s="276"/>
      <c r="F51" s="308"/>
      <c r="G51" s="278" t="s">
        <v>2413</v>
      </c>
    </row>
    <row r="52" spans="1:7" s="252" customFormat="1" ht="16.5" thickBot="1">
      <c r="A52" s="309" t="s">
        <v>2414</v>
      </c>
      <c r="B52" s="310"/>
      <c r="C52" s="311">
        <f ca="1">C31+C51</f>
        <v>436768</v>
      </c>
      <c r="D52" s="310"/>
      <c r="E52" s="310"/>
      <c r="F52" s="310"/>
      <c r="G52" s="312"/>
    </row>
    <row r="55" spans="1:7" ht="15">
      <c r="B55" s="314" t="s">
        <v>2415</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92.57</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92.57</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92.57</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5" t="s">
        <v>1403</v>
      </c>
      <c r="C6" s="1299">
        <f ca="1">ROUND(F6*F8*F7*(1-F9)/10000,0)</f>
        <v>0</v>
      </c>
      <c r="D6" s="164" t="s">
        <v>3016</v>
      </c>
      <c r="E6" s="347" t="s">
        <v>1405</v>
      </c>
      <c r="F6" s="348">
        <f ca="1">INDIRECT("'数据-取费表'!u"&amp;$G$1)</f>
        <v>0</v>
      </c>
      <c r="G6" s="1853"/>
      <c r="H6" s="1294" t="s">
        <v>1035</v>
      </c>
      <c r="I6" s="3165" t="s">
        <v>1403</v>
      </c>
      <c r="J6" s="346">
        <f ca="1">ROUND(M6*M8*M7*(1-M9)/10000,0)</f>
        <v>0</v>
      </c>
      <c r="K6" s="164" t="s">
        <v>3015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3"/>
      <c r="H7" s="349"/>
      <c r="I7" s="3166"/>
      <c r="J7" s="351"/>
      <c r="K7" s="352"/>
      <c r="L7" s="347" t="s">
        <v>1406</v>
      </c>
      <c r="M7" s="348">
        <f ca="1">F7</f>
        <v>0</v>
      </c>
    </row>
    <row r="8" spans="1:37" ht="18" customHeight="1">
      <c r="A8" s="349"/>
      <c r="B8" s="3166"/>
      <c r="C8" s="351"/>
      <c r="D8" s="352"/>
      <c r="E8" s="347" t="s">
        <v>1407</v>
      </c>
      <c r="F8" s="348">
        <f ca="1">INDIRECT("'数据-取费表'!ai"&amp;$G$1)</f>
        <v>0</v>
      </c>
      <c r="G8" s="1853"/>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3" t="s">
        <v>1548</v>
      </c>
      <c r="L53" s="316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48" sqref="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355</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38393</v>
      </c>
      <c r="C3" s="400" t="s">
        <v>2522</v>
      </c>
      <c r="D3" s="399">
        <f>IF(D1="",'数据-汇总表'!E3,SUMIF('数据-汇总表'!$C19:$C33,D1,'数据-汇总表'!$E19:$E33))</f>
        <v>92.57</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1815"/>
      <c r="Y4" s="3173" t="s">
        <v>2529</v>
      </c>
      <c r="Z4" s="3174"/>
      <c r="AA4" s="3168" t="s">
        <v>2525</v>
      </c>
      <c r="AB4" s="3168" t="s">
        <v>2526</v>
      </c>
      <c r="AC4" s="3168" t="s">
        <v>2527</v>
      </c>
    </row>
    <row r="5" spans="1:29" ht="15">
      <c r="A5" s="404"/>
      <c r="B5" s="405"/>
      <c r="C5" s="3177" t="s">
        <v>3100</v>
      </c>
      <c r="D5" s="3178"/>
      <c r="E5" s="3177" t="s">
        <v>3100</v>
      </c>
      <c r="F5" s="3178"/>
      <c r="G5" s="3177" t="s">
        <v>3100</v>
      </c>
      <c r="H5" s="3178"/>
      <c r="I5" s="3177" t="s">
        <v>3100</v>
      </c>
      <c r="J5" s="3178"/>
      <c r="K5" s="2598"/>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171" t="s">
        <v>2537</v>
      </c>
      <c r="Q7" s="3197"/>
      <c r="R7" s="770" t="s">
        <v>23</v>
      </c>
      <c r="S7" s="771">
        <f t="shared" ref="S7:S15" si="0">F7</f>
        <v>100</v>
      </c>
      <c r="T7" s="770" t="s">
        <v>23</v>
      </c>
      <c r="U7" s="771">
        <f t="shared" ref="U7:U15" si="1">H7</f>
        <v>99.5</v>
      </c>
      <c r="V7" s="770" t="s">
        <v>23</v>
      </c>
      <c r="W7" s="771">
        <f t="shared" ref="W7:W15" si="2">J7</f>
        <v>99.5</v>
      </c>
      <c r="X7" s="772"/>
      <c r="Y7" s="3171" t="s">
        <v>2537</v>
      </c>
      <c r="Z7" s="3172"/>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1797"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1812" t="str">
        <f t="shared" si="6"/>
        <v>居住社区成熟度</v>
      </c>
      <c r="R15" s="774" t="s">
        <v>21</v>
      </c>
      <c r="S15" s="775">
        <f t="shared" si="0"/>
        <v>100</v>
      </c>
      <c r="T15" s="774" t="s">
        <v>21</v>
      </c>
      <c r="U15" s="775">
        <f t="shared" si="1"/>
        <v>100</v>
      </c>
      <c r="V15" s="774" t="s">
        <v>21</v>
      </c>
      <c r="W15" s="775">
        <f t="shared" si="2"/>
        <v>100</v>
      </c>
      <c r="X15" s="1815"/>
      <c r="Y15" s="3203"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1812" t="str">
        <f>B17</f>
        <v>交通便捷度</v>
      </c>
      <c r="R17" s="774" t="s">
        <v>21</v>
      </c>
      <c r="S17" s="775">
        <f>F17</f>
        <v>100</v>
      </c>
      <c r="T17" s="774" t="s">
        <v>21</v>
      </c>
      <c r="U17" s="775">
        <f>H17</f>
        <v>100</v>
      </c>
      <c r="V17" s="774" t="s">
        <v>21</v>
      </c>
      <c r="W17" s="775">
        <f>J17</f>
        <v>100</v>
      </c>
      <c r="X17" s="1815"/>
      <c r="Y17" s="3204"/>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1812" t="str">
        <f>B19</f>
        <v>公共配套设施</v>
      </c>
      <c r="R19" s="774" t="s">
        <v>21</v>
      </c>
      <c r="S19" s="775">
        <f>F19</f>
        <v>100</v>
      </c>
      <c r="T19" s="774" t="s">
        <v>21</v>
      </c>
      <c r="U19" s="775">
        <f>H19</f>
        <v>100</v>
      </c>
      <c r="V19" s="774" t="s">
        <v>21</v>
      </c>
      <c r="W19" s="775">
        <f>J19</f>
        <v>100</v>
      </c>
      <c r="X19" s="1815"/>
      <c r="Y19" s="3204"/>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1812" t="str">
        <f>B23</f>
        <v>自然及人文环境</v>
      </c>
      <c r="R23" s="774" t="s">
        <v>21</v>
      </c>
      <c r="S23" s="775">
        <f>F23</f>
        <v>100</v>
      </c>
      <c r="T23" s="774" t="s">
        <v>21</v>
      </c>
      <c r="U23" s="775">
        <f>H23</f>
        <v>100</v>
      </c>
      <c r="V23" s="774" t="s">
        <v>21</v>
      </c>
      <c r="W23" s="775">
        <f>J23</f>
        <v>100</v>
      </c>
      <c r="X23" s="1815"/>
      <c r="Y23" s="3204"/>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4"/>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3114</v>
      </c>
      <c r="D26" s="435">
        <v>100</v>
      </c>
      <c r="E26" s="2962" t="s">
        <v>3086</v>
      </c>
      <c r="F26" s="435">
        <f>SUMIF(88:88,E26,89:89)-SUMIF(88:88,C26,89:89)+100</f>
        <v>102</v>
      </c>
      <c r="G26" s="2962" t="s">
        <v>3114</v>
      </c>
      <c r="H26" s="435">
        <f>SUMIF(88:88,G26,89:89)-SUMIF(88:88,C26,89:89)+100</f>
        <v>100</v>
      </c>
      <c r="I26" s="2962" t="s">
        <v>3114</v>
      </c>
      <c r="J26" s="435">
        <f>SUMIF(88:88,I26,89:89)-SUMIF(88:88,C26,89:89)+100</f>
        <v>100</v>
      </c>
      <c r="K26" s="426">
        <v>2</v>
      </c>
      <c r="L26" s="1143"/>
      <c r="M26" s="1134"/>
      <c r="N26" s="1134"/>
      <c r="O26" s="1134"/>
      <c r="P26" s="3211"/>
      <c r="Q26" s="1812" t="str">
        <f t="shared" si="11"/>
        <v>朝向</v>
      </c>
      <c r="R26" s="774" t="s">
        <v>21</v>
      </c>
      <c r="S26" s="775">
        <f t="shared" si="12"/>
        <v>102</v>
      </c>
      <c r="T26" s="774" t="s">
        <v>21</v>
      </c>
      <c r="U26" s="775">
        <f t="shared" si="13"/>
        <v>100</v>
      </c>
      <c r="V26" s="774" t="s">
        <v>21</v>
      </c>
      <c r="W26" s="775">
        <f t="shared" si="14"/>
        <v>100</v>
      </c>
      <c r="X26" s="1815"/>
      <c r="Y26" s="3204"/>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3101</v>
      </c>
      <c r="F27" s="462">
        <f>SUMIF(90:90,E27,91:91)-SUMIF(90:90,C27,91:91)+100</f>
        <v>101</v>
      </c>
      <c r="G27" s="2947" t="s">
        <v>3101</v>
      </c>
      <c r="H27" s="462">
        <f>SUMIF(90:90,G27,91:91)-SUMIF(90:90,C27,91:91)+100</f>
        <v>101</v>
      </c>
      <c r="I27" s="2947" t="s">
        <v>3120</v>
      </c>
      <c r="J27" s="462">
        <f>SUMIF(90:90,I27,91:91)-SUMIF(90:90,C27,91:91)+100</f>
        <v>102</v>
      </c>
      <c r="K27" s="2601"/>
      <c r="L27" s="1135"/>
      <c r="M27" s="1136"/>
      <c r="N27" s="1136"/>
      <c r="O27" s="1136"/>
      <c r="P27" s="3211"/>
      <c r="Q27" s="1797" t="str">
        <f t="shared" si="11"/>
        <v>楼层</v>
      </c>
      <c r="R27" s="770" t="s">
        <v>21</v>
      </c>
      <c r="S27" s="771">
        <f t="shared" si="12"/>
        <v>101</v>
      </c>
      <c r="T27" s="770" t="s">
        <v>21</v>
      </c>
      <c r="U27" s="771">
        <f t="shared" si="13"/>
        <v>101</v>
      </c>
      <c r="V27" s="770" t="s">
        <v>21</v>
      </c>
      <c r="W27" s="771">
        <f t="shared" si="14"/>
        <v>102</v>
      </c>
      <c r="X27" s="772"/>
      <c r="Y27" s="3204"/>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1812">
        <f t="shared" si="11"/>
        <v>111</v>
      </c>
      <c r="R28" s="774" t="s">
        <v>21</v>
      </c>
      <c r="S28" s="775">
        <f t="shared" si="12"/>
        <v>100</v>
      </c>
      <c r="T28" s="774" t="s">
        <v>21</v>
      </c>
      <c r="U28" s="775">
        <f t="shared" si="13"/>
        <v>100</v>
      </c>
      <c r="V28" s="774" t="s">
        <v>21</v>
      </c>
      <c r="W28" s="775">
        <f t="shared" si="14"/>
        <v>100</v>
      </c>
      <c r="X28" s="1815"/>
      <c r="Y28" s="320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1812">
        <f t="shared" si="11"/>
        <v>111</v>
      </c>
      <c r="R29" s="774" t="s">
        <v>21</v>
      </c>
      <c r="S29" s="775">
        <f t="shared" si="12"/>
        <v>100</v>
      </c>
      <c r="T29" s="774" t="s">
        <v>21</v>
      </c>
      <c r="U29" s="775">
        <f t="shared" si="13"/>
        <v>100</v>
      </c>
      <c r="V29" s="774" t="s">
        <v>21</v>
      </c>
      <c r="W29" s="775">
        <f t="shared" si="14"/>
        <v>100</v>
      </c>
      <c r="X29" s="1815"/>
      <c r="Y29" s="320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1812">
        <f t="shared" si="11"/>
        <v>111</v>
      </c>
      <c r="R30" s="774" t="s">
        <v>21</v>
      </c>
      <c r="S30" s="775">
        <f t="shared" si="12"/>
        <v>100</v>
      </c>
      <c r="T30" s="774" t="s">
        <v>21</v>
      </c>
      <c r="U30" s="775">
        <f t="shared" si="13"/>
        <v>100</v>
      </c>
      <c r="V30" s="774" t="s">
        <v>21</v>
      </c>
      <c r="W30" s="775">
        <f t="shared" si="14"/>
        <v>100</v>
      </c>
      <c r="X30" s="1815"/>
      <c r="Y30" s="320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1812">
        <f t="shared" si="11"/>
        <v>111</v>
      </c>
      <c r="R31" s="774" t="s">
        <v>21</v>
      </c>
      <c r="S31" s="775">
        <f t="shared" si="12"/>
        <v>100</v>
      </c>
      <c r="T31" s="774" t="s">
        <v>21</v>
      </c>
      <c r="U31" s="775">
        <f t="shared" si="13"/>
        <v>100</v>
      </c>
      <c r="V31" s="774" t="s">
        <v>21</v>
      </c>
      <c r="W31" s="775">
        <f t="shared" si="14"/>
        <v>100</v>
      </c>
      <c r="X31" s="1815"/>
      <c r="Y31" s="3204"/>
      <c r="Z31" s="1816">
        <f t="shared" si="18"/>
        <v>111</v>
      </c>
      <c r="AA31" s="1813">
        <f t="shared" si="15"/>
        <v>1</v>
      </c>
      <c r="AB31" s="1813">
        <f t="shared" si="16"/>
        <v>1</v>
      </c>
      <c r="AC31" s="1813">
        <f t="shared" si="17"/>
        <v>1</v>
      </c>
    </row>
    <row r="32" spans="1:29" ht="15">
      <c r="A32" s="440" t="s">
        <v>2551</v>
      </c>
      <c r="B32" s="71" t="s">
        <v>2552</v>
      </c>
      <c r="C32" s="2617" t="s">
        <v>3121</v>
      </c>
      <c r="D32" s="467">
        <v>100</v>
      </c>
      <c r="E32" s="2617" t="s">
        <v>3121</v>
      </c>
      <c r="F32" s="461">
        <f>SUMIF(100:100,E32,101:101)-SUMIF(100:100,C32,101:101)+100</f>
        <v>100</v>
      </c>
      <c r="G32" s="2617" t="s">
        <v>3121</v>
      </c>
      <c r="H32" s="467">
        <f>SUMIF(100:100,G32,101:101)-SUMIF(100:100,C32,101:101)+100</f>
        <v>100</v>
      </c>
      <c r="I32" s="2617" t="s">
        <v>3121</v>
      </c>
      <c r="J32" s="435">
        <f>SUMIF(100:100,I32,101:101)-SUMIF(100:100,C32,101:101)+100</f>
        <v>100</v>
      </c>
      <c r="K32" s="426">
        <v>2</v>
      </c>
      <c r="L32" s="1143"/>
      <c r="M32" s="1134"/>
      <c r="N32" s="1134"/>
      <c r="O32" s="1134"/>
      <c r="P32" s="3205" t="s">
        <v>2553</v>
      </c>
      <c r="Q32" s="1812" t="str">
        <f t="shared" si="11"/>
        <v>建筑类型</v>
      </c>
      <c r="R32" s="774" t="s">
        <v>21</v>
      </c>
      <c r="S32" s="775">
        <f t="shared" si="12"/>
        <v>100</v>
      </c>
      <c r="T32" s="774" t="s">
        <v>21</v>
      </c>
      <c r="U32" s="775">
        <f t="shared" si="13"/>
        <v>100</v>
      </c>
      <c r="V32" s="774" t="s">
        <v>21</v>
      </c>
      <c r="W32" s="775">
        <f t="shared" si="14"/>
        <v>100</v>
      </c>
      <c r="X32" s="1815"/>
      <c r="Y32" s="3208"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92.57</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3124</v>
      </c>
      <c r="D34" s="435">
        <v>100</v>
      </c>
      <c r="E34" s="2618" t="s">
        <v>3124</v>
      </c>
      <c r="F34" s="461">
        <f>SUMIF(105:105,E34,106:106)-SUMIF(105:105,C34,106:106)+100</f>
        <v>100</v>
      </c>
      <c r="G34" s="2618" t="s">
        <v>3124</v>
      </c>
      <c r="H34" s="435">
        <f>SUMIF(105:105,G34,106:106)-SUMIF(105:105,C34,106:106)+100</f>
        <v>100</v>
      </c>
      <c r="I34" s="2618" t="s">
        <v>3124</v>
      </c>
      <c r="J34" s="435">
        <f>SUMIF(105:105,I34,106:106)-SUMIF(105:105,C34,106:106)+100</f>
        <v>100</v>
      </c>
      <c r="K34" s="426">
        <v>2</v>
      </c>
      <c r="L34" s="1143"/>
      <c r="M34" s="1134"/>
      <c r="N34" s="1134"/>
      <c r="O34" s="1134"/>
      <c r="P34" s="3206"/>
      <c r="Q34" s="1812" t="str">
        <f t="shared" si="11"/>
        <v>建筑结构</v>
      </c>
      <c r="R34" s="774" t="s">
        <v>21</v>
      </c>
      <c r="S34" s="775">
        <f t="shared" si="12"/>
        <v>100</v>
      </c>
      <c r="T34" s="774" t="s">
        <v>21</v>
      </c>
      <c r="U34" s="775">
        <f t="shared" si="13"/>
        <v>100</v>
      </c>
      <c r="V34" s="774" t="s">
        <v>21</v>
      </c>
      <c r="W34" s="775">
        <f t="shared" si="14"/>
        <v>100</v>
      </c>
      <c r="X34" s="1815"/>
      <c r="Y34" s="3208"/>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1812" t="str">
        <f t="shared" si="11"/>
        <v>建筑品质</v>
      </c>
      <c r="R35" s="774" t="s">
        <v>21</v>
      </c>
      <c r="S35" s="775">
        <f t="shared" si="12"/>
        <v>100</v>
      </c>
      <c r="T35" s="774" t="s">
        <v>21</v>
      </c>
      <c r="U35" s="775">
        <f t="shared" si="13"/>
        <v>100</v>
      </c>
      <c r="V35" s="774" t="s">
        <v>21</v>
      </c>
      <c r="W35" s="775">
        <f t="shared" si="14"/>
        <v>100</v>
      </c>
      <c r="X35" s="1815"/>
      <c r="Y35" s="3208"/>
      <c r="Z35" s="1816" t="str">
        <f t="shared" si="18"/>
        <v>建筑品质</v>
      </c>
      <c r="AA35" s="1813">
        <f t="shared" si="15"/>
        <v>1</v>
      </c>
      <c r="AB35" s="1813">
        <f t="shared" si="16"/>
        <v>1</v>
      </c>
      <c r="AC35" s="1813">
        <f t="shared" si="17"/>
        <v>1</v>
      </c>
    </row>
    <row r="36" spans="1:29" ht="15">
      <c r="A36" s="472"/>
      <c r="B36" s="422" t="s">
        <v>2557</v>
      </c>
      <c r="C36" s="2613" t="s">
        <v>3126</v>
      </c>
      <c r="D36" s="435">
        <v>100</v>
      </c>
      <c r="E36" s="2613" t="s">
        <v>3126</v>
      </c>
      <c r="F36" s="461">
        <f>SUMIF(109:109,E36,110:110)-SUMIF(109:109,C36,110:110)+100</f>
        <v>100</v>
      </c>
      <c r="G36" s="2613" t="s">
        <v>3126</v>
      </c>
      <c r="H36" s="435">
        <f>SUMIF(109:109,G36,110:110)-SUMIF(109:109,C36,110:110)+100</f>
        <v>100</v>
      </c>
      <c r="I36" s="2613" t="s">
        <v>3126</v>
      </c>
      <c r="J36" s="435">
        <f>SUMIF(109:109,I36,110:110)-SUMIF(109:109,C36,110:110)+100</f>
        <v>100</v>
      </c>
      <c r="K36" s="426">
        <v>2</v>
      </c>
      <c r="L36" s="1143"/>
      <c r="M36" s="1134"/>
      <c r="N36" s="1134"/>
      <c r="O36" s="1134"/>
      <c r="P36" s="3206"/>
      <c r="Q36" s="1812" t="str">
        <f t="shared" si="11"/>
        <v>公共部分装修</v>
      </c>
      <c r="R36" s="774" t="s">
        <v>21</v>
      </c>
      <c r="S36" s="775">
        <f t="shared" si="12"/>
        <v>100</v>
      </c>
      <c r="T36" s="774" t="s">
        <v>21</v>
      </c>
      <c r="U36" s="775">
        <f t="shared" si="13"/>
        <v>100</v>
      </c>
      <c r="V36" s="774" t="s">
        <v>21</v>
      </c>
      <c r="W36" s="775">
        <f t="shared" si="14"/>
        <v>100</v>
      </c>
      <c r="X36" s="1815"/>
      <c r="Y36" s="3208"/>
      <c r="Z36" s="1816" t="str">
        <f t="shared" si="18"/>
        <v>公共部分装修</v>
      </c>
      <c r="AA36" s="1813">
        <f t="shared" si="15"/>
        <v>1</v>
      </c>
      <c r="AB36" s="1813">
        <f t="shared" si="16"/>
        <v>1</v>
      </c>
      <c r="AC36" s="1813">
        <f t="shared" si="17"/>
        <v>1</v>
      </c>
    </row>
    <row r="37" spans="1:29" s="117" customFormat="1" ht="15">
      <c r="A37" s="473"/>
      <c r="B37" s="422" t="s">
        <v>2558</v>
      </c>
      <c r="C37" s="474">
        <f>'数据-取费表'!N6</f>
        <v>0.9</v>
      </c>
      <c r="D37" s="136">
        <v>100</v>
      </c>
      <c r="E37" s="474">
        <f>C37</f>
        <v>0.9</v>
      </c>
      <c r="F37" s="425">
        <f>LOOKUP(E37,112:112,113:113)-LOOKUP(C37,112:112,113:113)+100</f>
        <v>100</v>
      </c>
      <c r="G37" s="476">
        <f>C37</f>
        <v>0.9</v>
      </c>
      <c r="H37" s="136">
        <f>LOOKUP(G37,112:112,113:113)-LOOKUP(C37,112:112,113:113)+100</f>
        <v>100</v>
      </c>
      <c r="I37" s="475">
        <f>C37</f>
        <v>0.9</v>
      </c>
      <c r="J37" s="136">
        <f>LOOKUP(I37,112:112,113:113)-LOOKUP(C37,112:112,113:113)+100</f>
        <v>100</v>
      </c>
      <c r="K37" s="426">
        <v>1</v>
      </c>
      <c r="L37" s="1135"/>
      <c r="M37" s="1136"/>
      <c r="N37" s="1136"/>
      <c r="O37" s="1136"/>
      <c r="P37" s="3206"/>
      <c r="Q37" s="1797" t="str">
        <f t="shared" si="11"/>
        <v>成新度</v>
      </c>
      <c r="R37" s="770" t="s">
        <v>21</v>
      </c>
      <c r="S37" s="771">
        <f t="shared" si="12"/>
        <v>100</v>
      </c>
      <c r="T37" s="770" t="s">
        <v>21</v>
      </c>
      <c r="U37" s="771">
        <f t="shared" si="13"/>
        <v>100</v>
      </c>
      <c r="V37" s="770" t="s">
        <v>21</v>
      </c>
      <c r="W37" s="771">
        <f t="shared" si="14"/>
        <v>100</v>
      </c>
      <c r="X37" s="772"/>
      <c r="Y37" s="3208"/>
      <c r="Z37" s="55" t="str">
        <f t="shared" si="18"/>
        <v>成新度</v>
      </c>
      <c r="AA37" s="773">
        <f t="shared" si="15"/>
        <v>1</v>
      </c>
      <c r="AB37" s="773">
        <f t="shared" si="16"/>
        <v>1</v>
      </c>
      <c r="AC37" s="773">
        <f t="shared" si="17"/>
        <v>1</v>
      </c>
    </row>
    <row r="38" spans="1:29" ht="15">
      <c r="A38" s="472"/>
      <c r="B38" s="422" t="s">
        <v>2559</v>
      </c>
      <c r="C38" s="2613" t="s">
        <v>3128</v>
      </c>
      <c r="D38" s="435">
        <v>100</v>
      </c>
      <c r="E38" s="2613" t="s">
        <v>3128</v>
      </c>
      <c r="F38" s="461">
        <f>SUMIF(114:114,E38,115:115)-SUMIF(114:114,C38,115:115)+100</f>
        <v>100</v>
      </c>
      <c r="G38" s="2613" t="s">
        <v>3128</v>
      </c>
      <c r="H38" s="435">
        <f>SUMIF(114:114,G38,115:115)-SUMIF(114:114,C38,115:115)+100</f>
        <v>100</v>
      </c>
      <c r="I38" s="2613" t="s">
        <v>3128</v>
      </c>
      <c r="J38" s="435">
        <f>SUMIF(114:114,I38,115:115)-SUMIF(114:114,C38,115:115)+100</f>
        <v>100</v>
      </c>
      <c r="K38" s="426">
        <v>2</v>
      </c>
      <c r="L38" s="1143"/>
      <c r="M38" s="1134"/>
      <c r="N38" s="1134"/>
      <c r="O38" s="1134"/>
      <c r="P38" s="3206" t="s">
        <v>2553</v>
      </c>
      <c r="Q38" s="1812" t="str">
        <f t="shared" si="11"/>
        <v>物业管理</v>
      </c>
      <c r="R38" s="774" t="s">
        <v>21</v>
      </c>
      <c r="S38" s="775">
        <f t="shared" si="12"/>
        <v>100</v>
      </c>
      <c r="T38" s="774" t="s">
        <v>21</v>
      </c>
      <c r="U38" s="775">
        <f t="shared" si="13"/>
        <v>100</v>
      </c>
      <c r="V38" s="774" t="s">
        <v>21</v>
      </c>
      <c r="W38" s="775">
        <f t="shared" si="14"/>
        <v>100</v>
      </c>
      <c r="X38" s="1815"/>
      <c r="Y38" s="3208"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1812" t="str">
        <f t="shared" si="11"/>
        <v>市政基础设施</v>
      </c>
      <c r="R39" s="774" t="s">
        <v>21</v>
      </c>
      <c r="S39" s="775">
        <f t="shared" si="12"/>
        <v>100</v>
      </c>
      <c r="T39" s="774" t="s">
        <v>21</v>
      </c>
      <c r="U39" s="775">
        <f t="shared" si="13"/>
        <v>100</v>
      </c>
      <c r="V39" s="774" t="s">
        <v>21</v>
      </c>
      <c r="W39" s="775">
        <f t="shared" si="14"/>
        <v>100</v>
      </c>
      <c r="X39" s="1815"/>
      <c r="Y39" s="3208"/>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1812" t="str">
        <f t="shared" si="11"/>
        <v>房型</v>
      </c>
      <c r="R40" s="774" t="s">
        <v>21</v>
      </c>
      <c r="S40" s="775">
        <f t="shared" si="12"/>
        <v>100</v>
      </c>
      <c r="T40" s="774" t="s">
        <v>21</v>
      </c>
      <c r="U40" s="775">
        <f t="shared" si="13"/>
        <v>100</v>
      </c>
      <c r="V40" s="774" t="s">
        <v>21</v>
      </c>
      <c r="W40" s="775">
        <f t="shared" si="14"/>
        <v>100</v>
      </c>
      <c r="X40" s="1815"/>
      <c r="Y40" s="3208"/>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3">
        <f t="shared" si="15"/>
        <v>1</v>
      </c>
      <c r="AB41" s="1813">
        <f t="shared" si="16"/>
        <v>1</v>
      </c>
      <c r="AC41" s="1813">
        <f t="shared" si="17"/>
        <v>1</v>
      </c>
    </row>
    <row r="42" spans="1:29" ht="15">
      <c r="A42" s="472"/>
      <c r="B42" s="422" t="s">
        <v>2563</v>
      </c>
      <c r="C42" s="2970" t="s">
        <v>3137</v>
      </c>
      <c r="D42" s="435">
        <v>100</v>
      </c>
      <c r="E42" s="2613" t="s">
        <v>3126</v>
      </c>
      <c r="F42" s="461">
        <f>SUMIF(122:122,E42,123:123)-SUMIF(122:122,C42,123:123)+100</f>
        <v>102</v>
      </c>
      <c r="G42" s="2613" t="s">
        <v>3137</v>
      </c>
      <c r="H42" s="435">
        <f>SUMIF(122:122,G42,123:123)-SUMIF(122:122,C42,123:123)+100</f>
        <v>100</v>
      </c>
      <c r="I42" s="2613" t="s">
        <v>3137</v>
      </c>
      <c r="J42" s="435">
        <f>SUMIF(122:122,I42,123:123)-SUMIF(122:122,C42,123:123)+100</f>
        <v>100</v>
      </c>
      <c r="K42" s="426">
        <v>2</v>
      </c>
      <c r="L42" s="1143"/>
      <c r="M42" s="1134"/>
      <c r="N42" s="1134"/>
      <c r="O42" s="1134"/>
      <c r="P42" s="3206"/>
      <c r="Q42" s="1812" t="str">
        <f t="shared" si="11"/>
        <v>内部装修</v>
      </c>
      <c r="R42" s="774" t="s">
        <v>21</v>
      </c>
      <c r="S42" s="775">
        <f t="shared" si="12"/>
        <v>102</v>
      </c>
      <c r="T42" s="774" t="s">
        <v>21</v>
      </c>
      <c r="U42" s="775">
        <f t="shared" si="13"/>
        <v>100</v>
      </c>
      <c r="V42" s="774" t="s">
        <v>21</v>
      </c>
      <c r="W42" s="775">
        <f t="shared" si="14"/>
        <v>100</v>
      </c>
      <c r="X42" s="1815"/>
      <c r="Y42" s="3208"/>
      <c r="Z42" s="1816" t="str">
        <f t="shared" si="18"/>
        <v>内部装修</v>
      </c>
      <c r="AA42" s="1813">
        <f t="shared" si="15"/>
        <v>0.98039215686274506</v>
      </c>
      <c r="AB42" s="1813">
        <f t="shared" si="16"/>
        <v>1</v>
      </c>
      <c r="AC42" s="1813">
        <f t="shared" si="17"/>
        <v>1</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1812" t="str">
        <f t="shared" si="11"/>
        <v>内部装修维护情况</v>
      </c>
      <c r="R43" s="774" t="s">
        <v>21</v>
      </c>
      <c r="S43" s="775">
        <f t="shared" si="12"/>
        <v>100</v>
      </c>
      <c r="T43" s="774" t="s">
        <v>21</v>
      </c>
      <c r="U43" s="775">
        <f t="shared" si="13"/>
        <v>100</v>
      </c>
      <c r="V43" s="774" t="s">
        <v>21</v>
      </c>
      <c r="W43" s="775">
        <f t="shared" si="14"/>
        <v>100</v>
      </c>
      <c r="X43" s="1815"/>
      <c r="Y43" s="320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1797">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1812">
        <f t="shared" si="11"/>
        <v>111</v>
      </c>
      <c r="R45" s="774" t="s">
        <v>21</v>
      </c>
      <c r="S45" s="775">
        <f t="shared" si="12"/>
        <v>100</v>
      </c>
      <c r="T45" s="774" t="s">
        <v>21</v>
      </c>
      <c r="U45" s="775">
        <f t="shared" si="13"/>
        <v>100</v>
      </c>
      <c r="V45" s="774" t="s">
        <v>21</v>
      </c>
      <c r="W45" s="775">
        <f t="shared" si="14"/>
        <v>100</v>
      </c>
      <c r="X45" s="1815"/>
      <c r="Y45" s="3208"/>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1812">
        <f t="shared" si="11"/>
        <v>111</v>
      </c>
      <c r="R46" s="774" t="s">
        <v>20</v>
      </c>
      <c r="S46" s="775">
        <f t="shared" si="12"/>
        <v>100</v>
      </c>
      <c r="T46" s="774" t="s">
        <v>20</v>
      </c>
      <c r="U46" s="775">
        <f t="shared" si="13"/>
        <v>100</v>
      </c>
      <c r="V46" s="774" t="s">
        <v>20</v>
      </c>
      <c r="W46" s="775">
        <f t="shared" si="14"/>
        <v>100</v>
      </c>
      <c r="X46" s="1815"/>
      <c r="Y46" s="3209"/>
      <c r="Z46" s="1816">
        <f t="shared" si="18"/>
        <v>111</v>
      </c>
      <c r="AA46" s="1813">
        <f t="shared" si="15"/>
        <v>1</v>
      </c>
      <c r="AB46" s="1813">
        <f t="shared" si="16"/>
        <v>1</v>
      </c>
      <c r="AC46" s="1813">
        <f t="shared" si="17"/>
        <v>1</v>
      </c>
    </row>
    <row r="47" spans="1:29" ht="15">
      <c r="A47" s="479" t="s">
        <v>2565</v>
      </c>
      <c r="B47" s="480"/>
      <c r="C47" s="1410" t="s">
        <v>19</v>
      </c>
      <c r="D47" s="1411"/>
      <c r="E47" s="1412">
        <v>39000</v>
      </c>
      <c r="F47" s="1413"/>
      <c r="G47" s="1414">
        <v>40000</v>
      </c>
      <c r="H47" s="1415"/>
      <c r="I47" s="1412">
        <v>40000</v>
      </c>
      <c r="J47" s="1415"/>
      <c r="K47" s="2619"/>
      <c r="L47" s="1146"/>
      <c r="M47" s="1147"/>
      <c r="N47" s="1134"/>
      <c r="O47" s="1147"/>
      <c r="P47" s="3201" t="str">
        <f>A47</f>
        <v>成交单价（元/平方米）</v>
      </c>
      <c r="Q47" s="3201"/>
      <c r="R47" s="3202">
        <f>E47</f>
        <v>39000</v>
      </c>
      <c r="S47" s="3202"/>
      <c r="T47" s="3202">
        <f>G47</f>
        <v>40000</v>
      </c>
      <c r="U47" s="3202"/>
      <c r="V47" s="3202">
        <f>I47</f>
        <v>40000</v>
      </c>
      <c r="W47" s="3202"/>
      <c r="X47" s="759"/>
      <c r="Y47" s="781"/>
      <c r="Z47" s="759"/>
      <c r="AA47" s="759"/>
      <c r="AB47" s="759"/>
      <c r="AC47" s="759"/>
    </row>
    <row r="48" spans="1:29" ht="15.75" thickBot="1">
      <c r="A48" s="486" t="s">
        <v>2566</v>
      </c>
      <c r="B48" s="487"/>
      <c r="C48" s="1416">
        <f>R49</f>
        <v>38393</v>
      </c>
      <c r="D48" s="1417"/>
      <c r="E48" s="1418">
        <f>R48</f>
        <v>36747</v>
      </c>
      <c r="F48" s="1418"/>
      <c r="G48" s="1416">
        <f>T48</f>
        <v>39409</v>
      </c>
      <c r="H48" s="1417"/>
      <c r="I48" s="1418">
        <f>V48</f>
        <v>39023</v>
      </c>
      <c r="J48" s="1417"/>
      <c r="K48" s="2620"/>
      <c r="L48" s="1146"/>
      <c r="M48" s="1147"/>
      <c r="N48" s="1147"/>
      <c r="O48" s="1147"/>
      <c r="P48" s="3201" t="str">
        <f>A48</f>
        <v>比较价值（元/平方米）</v>
      </c>
      <c r="Q48" s="3201"/>
      <c r="R48" s="3202">
        <f>IF(F1="售价",ROUND(PRODUCT(R47,AA7:AA46),0),ROUND(PRODUCT(R47,AA7:AA46),1))</f>
        <v>36747</v>
      </c>
      <c r="S48" s="3202"/>
      <c r="T48" s="3202">
        <f>IF(F1="售价",ROUND(PRODUCT(T47,AB7:AB46),0),ROUND(PRODUCT(T47,AB7:AB46),1))</f>
        <v>39409</v>
      </c>
      <c r="U48" s="3202"/>
      <c r="V48" s="3202">
        <f>IF(F1="售价",ROUND(PRODUCT(V47,AC7:AC46),0),ROUND(PRODUCT(V47,AC7:AC46),1))</f>
        <v>39023</v>
      </c>
      <c r="W48" s="3202"/>
      <c r="X48" s="759"/>
      <c r="Y48" s="759"/>
      <c r="Z48" s="759"/>
      <c r="AA48" s="759"/>
      <c r="AB48" s="759"/>
      <c r="AC48" s="759"/>
    </row>
    <row r="49" spans="1:29" ht="15.75" thickBot="1">
      <c r="A49" s="492" t="s">
        <v>2567</v>
      </c>
      <c r="B49" s="493"/>
      <c r="C49" s="1419">
        <f>R49</f>
        <v>38393</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38393</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6.13111274389746E-2</v>
      </c>
      <c r="F52" s="500" t="str">
        <f>IF(OR(E52&gt;=0.3,E52&lt;=-0.3),"超过30%","")</f>
        <v/>
      </c>
      <c r="G52" s="499">
        <f>IF(G47&lt;G48,G48/G47-1,G47/G48-1)</f>
        <v>1.4996574386561434E-2</v>
      </c>
      <c r="H52" s="500" t="str">
        <f>IF(OR(G52&gt;=0.3,G52&lt;=-0.3),"超过30%","")</f>
        <v/>
      </c>
      <c r="I52" s="499">
        <f>IF(I47&lt;I48,I48/I47-1,I47/I48-1)</f>
        <v>2.5036516925915464E-2</v>
      </c>
      <c r="J52" s="500" t="str">
        <f>IF(OR(I52&gt;=0.3,I52&lt;=-0.3),"超过30%","")</f>
        <v/>
      </c>
      <c r="K52" s="1108"/>
      <c r="L52" s="1109"/>
      <c r="M52" s="1147"/>
      <c r="N52" s="1147"/>
      <c r="O52" s="1147"/>
    </row>
    <row r="53" spans="1:29" ht="13.5" customHeight="1">
      <c r="A53" s="1147"/>
      <c r="B53" s="1147"/>
      <c r="C53" s="497" t="s">
        <v>2569</v>
      </c>
      <c r="D53" s="501"/>
      <c r="E53" s="499">
        <f>IF(E48&lt;G48,G48/E48-1,E48/G48-1)</f>
        <v>7.2441287724168024E-2</v>
      </c>
      <c r="F53" s="500" t="str">
        <f>IF(OR(E53&gt;=0.2,E53&lt;=-0.2),"超过20%","")</f>
        <v/>
      </c>
      <c r="G53" s="499">
        <f>IF(G48&lt;I48,I48/G48-1,G48/I48-1)</f>
        <v>9.8916023883350856E-3</v>
      </c>
      <c r="H53" s="500" t="str">
        <f>IF(OR(G53&gt;=0.2,G53&lt;=-0.2),"超过20%","")</f>
        <v/>
      </c>
      <c r="I53" s="499">
        <f>IF(I48&lt;E48,E48/I48-1,I48/E48-1)</f>
        <v>6.1937028873105371E-2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2.564102564102555E-2</v>
      </c>
      <c r="F54" s="500" t="str">
        <f>IF(OR(E54&gt;=0.3,E54&lt;=-0.3),"超过30%","")</f>
        <v/>
      </c>
      <c r="G54" s="499">
        <f>IF(G47&lt;I47,I47/G47-1,G47/I47-1)</f>
        <v>0</v>
      </c>
      <c r="H54" s="500" t="str">
        <f>IF(OR(G54&gt;=0.3,G54&lt;=-0.3),"超过30%","")</f>
        <v/>
      </c>
      <c r="I54" s="499">
        <f>IF(I47&lt;E47,E47/I47-1,I47/E47-1)</f>
        <v>2.564102564102555E-2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3116</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3122</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3127</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3129</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99</v>
      </c>
      <c r="C2" s="1847" t="s">
        <v>1591</v>
      </c>
      <c r="D2" s="1940">
        <f ca="1">C40+J29+L46</f>
        <v>989398</v>
      </c>
      <c r="E2" s="1848" t="s">
        <v>1592</v>
      </c>
      <c r="F2" s="1849"/>
      <c r="G2" s="1850"/>
      <c r="H2" s="1842"/>
      <c r="I2" s="1842"/>
      <c r="J2" s="1842"/>
      <c r="K2" s="1843"/>
      <c r="L2" s="1842"/>
      <c r="M2" s="1842"/>
    </row>
    <row r="3" spans="1:37" ht="18" customHeight="1" thickBot="1">
      <c r="A3" s="1851" t="s">
        <v>1593</v>
      </c>
      <c r="B3" s="1852">
        <f ca="1">IF(ISERROR(D2/F43),0,ROUND(D2/F43,0))</f>
        <v>10688</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48661</v>
      </c>
      <c r="D5" s="1824" t="s">
        <v>1601</v>
      </c>
      <c r="E5" s="1296"/>
      <c r="F5" s="1297"/>
      <c r="G5" s="1853"/>
      <c r="H5" s="344">
        <v>1</v>
      </c>
      <c r="I5" s="345" t="s">
        <v>1600</v>
      </c>
      <c r="J5" s="1295">
        <f ca="1">J6+J10+J12</f>
        <v>0</v>
      </c>
      <c r="K5" s="1824" t="s">
        <v>1601</v>
      </c>
      <c r="L5" s="1296"/>
      <c r="M5" s="1297"/>
    </row>
    <row r="6" spans="1:37" ht="18" customHeight="1">
      <c r="A6" s="1294" t="s">
        <v>1035</v>
      </c>
      <c r="B6" s="3165" t="s">
        <v>1403</v>
      </c>
      <c r="C6" s="1299">
        <f ca="1">ROUND(F6*F8*F7*(1-F9),0)</f>
        <v>48600</v>
      </c>
      <c r="D6" s="164" t="s">
        <v>3013</v>
      </c>
      <c r="E6" s="347" t="s">
        <v>1405</v>
      </c>
      <c r="F6" s="348">
        <f ca="1">INDIRECT("'数据-取费表'!u"&amp;$G$1)</f>
        <v>4500</v>
      </c>
      <c r="G6" s="1853"/>
      <c r="H6" s="1294" t="s">
        <v>1035</v>
      </c>
      <c r="I6" s="3165" t="s">
        <v>1403</v>
      </c>
      <c r="J6" s="346">
        <f ca="1">ROUND(M6*M8*M7*(1-M9),0)</f>
        <v>0</v>
      </c>
      <c r="K6" s="1836" t="s">
        <v>3014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v>
      </c>
      <c r="G7" s="1853"/>
      <c r="H7" s="349"/>
      <c r="I7" s="3166"/>
      <c r="J7" s="351"/>
      <c r="K7" s="352"/>
      <c r="L7" s="347" t="s">
        <v>1406</v>
      </c>
      <c r="M7" s="348">
        <f ca="1">F7</f>
        <v>1</v>
      </c>
    </row>
    <row r="8" spans="1:37" ht="18" customHeight="1">
      <c r="A8" s="349"/>
      <c r="B8" s="3166"/>
      <c r="C8" s="351"/>
      <c r="D8" s="352"/>
      <c r="E8" s="347" t="s">
        <v>1407</v>
      </c>
      <c r="F8" s="348">
        <f ca="1">INDIRECT("'数据-取费表'!ai"&amp;$G$1)</f>
        <v>12</v>
      </c>
      <c r="G8" s="1853"/>
      <c r="H8" s="349"/>
      <c r="I8" s="3166"/>
      <c r="J8" s="351"/>
      <c r="K8" s="352"/>
      <c r="L8" s="347" t="s">
        <v>1407</v>
      </c>
      <c r="M8" s="348">
        <f ca="1">INDIRECT("'数据-取费表'!ai"&amp;$G$1)</f>
        <v>12</v>
      </c>
    </row>
    <row r="9" spans="1:37" ht="18" customHeight="1">
      <c r="A9" s="349"/>
      <c r="B9" s="3167"/>
      <c r="C9" s="351"/>
      <c r="D9" s="352"/>
      <c r="E9" s="347" t="s">
        <v>1408</v>
      </c>
      <c r="F9" s="357">
        <f ca="1">INDIRECT("'数据-取费表'!w"&amp;$G$1)</f>
        <v>0.1</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61</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384854</v>
      </c>
      <c r="D13" s="1334" t="s">
        <v>1415</v>
      </c>
      <c r="E13" s="1334" t="s">
        <v>1416</v>
      </c>
      <c r="F13" s="1335">
        <f ca="1">INDIRECT("'数据-取费表'!y"&amp;$G$1)</f>
        <v>0.9</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277710</v>
      </c>
      <c r="D14" s="1802" t="s">
        <v>1418</v>
      </c>
      <c r="E14" s="1796"/>
      <c r="F14" s="364"/>
      <c r="G14" s="1853"/>
      <c r="H14" s="1204" t="s">
        <v>1035</v>
      </c>
      <c r="I14" s="347" t="s">
        <v>1419</v>
      </c>
      <c r="J14" s="24">
        <f ca="1">C29</f>
        <v>427616</v>
      </c>
      <c r="K14" s="15"/>
      <c r="L14" s="982"/>
      <c r="M14" s="983"/>
    </row>
    <row r="15" spans="1:37" s="1860" customFormat="1" ht="18" customHeight="1" thickBot="1">
      <c r="A15" s="1204" t="s">
        <v>1036</v>
      </c>
      <c r="B15" s="347" t="s">
        <v>1420</v>
      </c>
      <c r="C15" s="24">
        <f ca="1">ROUND(C14*F15,0)</f>
        <v>8331</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8331</v>
      </c>
      <c r="D16" s="347" t="s">
        <v>1421</v>
      </c>
      <c r="E16" s="347" t="s">
        <v>1422</v>
      </c>
      <c r="F16" s="367">
        <f ca="1">IF(INDIRECT("'数据-取费表'!c"&amp;$G$1)="住宅",'数据-取费表'!B34,0)</f>
        <v>0.03</v>
      </c>
      <c r="G16" s="1853"/>
      <c r="H16" s="1332" t="s">
        <v>1030</v>
      </c>
      <c r="I16" s="1333" t="s">
        <v>1424</v>
      </c>
      <c r="J16" s="355">
        <f ca="1">ROUND(J17+J22+J23+J24,0)</f>
        <v>6414</v>
      </c>
      <c r="K16" s="1340" t="s">
        <v>1425</v>
      </c>
      <c r="L16" s="1341"/>
      <c r="M16" s="1297"/>
    </row>
    <row r="17" spans="1:37" s="1860" customFormat="1" ht="18" customHeight="1">
      <c r="A17" s="1204" t="s">
        <v>1390</v>
      </c>
      <c r="B17" s="347" t="s">
        <v>1426</v>
      </c>
      <c r="C17" s="24">
        <f ca="1">ROUND(F17*(F43+INDIRECT("'数据-取费表'!S"&amp;$G$1)),0)</f>
        <v>18514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4166</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317052</v>
      </c>
      <c r="D19" s="140" t="s">
        <v>1436</v>
      </c>
      <c r="E19" s="1820"/>
      <c r="F19" s="26"/>
      <c r="G19" s="1853"/>
      <c r="H19" s="1204" t="s">
        <v>1036</v>
      </c>
      <c r="I19" s="347" t="s">
        <v>1437</v>
      </c>
      <c r="J19" s="24">
        <f ca="1">IF(K19="按租金收入计税",ROUND(J5*M19,0),ROUND(C29*M19*0.7,0))</f>
        <v>3592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3171</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6414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15211</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-6414</v>
      </c>
      <c r="K25" s="1348" t="s">
        <v>1464</v>
      </c>
      <c r="L25" s="1349"/>
      <c r="M25" s="1350"/>
    </row>
    <row r="26" spans="1:37" ht="18" customHeight="1">
      <c r="A26" s="1204" t="s">
        <v>1034</v>
      </c>
      <c r="B26" s="347" t="s">
        <v>1465</v>
      </c>
      <c r="C26" s="24">
        <f ca="1">ROUND((C19+C20)*F26,0)</f>
        <v>64045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427616</v>
      </c>
      <c r="D29" s="1345"/>
      <c r="E29" s="1343"/>
      <c r="F29" s="1346"/>
      <c r="G29" s="1856"/>
      <c r="H29" s="380" t="s">
        <v>1033</v>
      </c>
      <c r="I29" s="381" t="s">
        <v>1479</v>
      </c>
      <c r="J29" s="382">
        <f ca="1">ROUND(J26/(1+F40)^F41,0)</f>
        <v>0</v>
      </c>
      <c r="K29" s="383" t="s">
        <v>1480</v>
      </c>
      <c r="L29" s="384"/>
      <c r="M29" s="385">
        <f ca="1">INDIRECT("'数据-取费表'!k"&amp;$G$1)</f>
        <v>92.57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9911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2433</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2973" t="s">
        <v>3140</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6414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577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486.6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38750</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989398</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ROUND(C40/F43,0)</f>
        <v>10688</v>
      </c>
      <c r="D43" s="383" t="s">
        <v>1488</v>
      </c>
      <c r="E43" s="384" t="s">
        <v>1489</v>
      </c>
      <c r="F43" s="385">
        <f ca="1">INDIRECT("'数据-取费表'!k"&amp;$G$1)</f>
        <v>92.57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-1167898</v>
      </c>
      <c r="D45" s="1942" t="s">
        <v>1604</v>
      </c>
      <c r="E45" s="1868"/>
      <c r="F45" s="1868"/>
      <c r="O45" s="1871" t="s">
        <v>1519</v>
      </c>
      <c r="P45" s="1841"/>
      <c r="Q45" s="1841"/>
      <c r="R45" s="1841"/>
    </row>
    <row r="46" spans="1:18" s="1844" customFormat="1" ht="13.5" thickBot="1">
      <c r="A46" s="1872" t="s">
        <v>1520</v>
      </c>
      <c r="C46" s="1873">
        <f ca="1">ROUND(C45/10000,0)</f>
        <v>-117</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989398</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427616</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130996</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3" t="s">
        <v>1548</v>
      </c>
      <c r="L53" s="3164"/>
      <c r="O53" s="1886" t="s">
        <v>1046</v>
      </c>
      <c r="P53" s="1887" t="s">
        <v>1549</v>
      </c>
      <c r="Q53" s="1888">
        <f ca="1">Q47+Q48</f>
        <v>989398</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384854</v>
      </c>
      <c r="D56" s="1916"/>
      <c r="E56" s="1917"/>
      <c r="F56" s="1909"/>
      <c r="I56" s="1918" t="s">
        <v>1554</v>
      </c>
      <c r="J56" s="1919" t="s">
        <v>3039</v>
      </c>
      <c r="K56" s="1889" t="s">
        <v>1555</v>
      </c>
      <c r="L56" s="1892">
        <f ca="1">IF(L48&lt;J51,"——",L48-J51)</f>
        <v>9.61</v>
      </c>
      <c r="O56" s="1886" t="s">
        <v>1040</v>
      </c>
      <c r="P56" s="1887" t="s">
        <v>1528</v>
      </c>
      <c r="Q56" s="1888">
        <f ca="1">C40+J29</f>
        <v>989398</v>
      </c>
      <c r="R56" s="1888" t="s">
        <v>1529</v>
      </c>
    </row>
    <row r="57" spans="1:18" s="1844" customFormat="1" ht="24.75" thickBot="1">
      <c r="A57" s="1920"/>
      <c r="B57" s="1172" t="s">
        <v>1478</v>
      </c>
      <c r="C57" s="282">
        <f ca="1">C29</f>
        <v>427616</v>
      </c>
      <c r="D57" s="1921"/>
      <c r="E57" s="1922"/>
      <c r="F57" s="1923"/>
      <c r="I57" s="1924" t="s">
        <v>1556</v>
      </c>
      <c r="J57" s="1925" t="str">
        <f ca="1">IF(OR(M47="住宅",J51&lt;L48,J56="是"),"——",J51-L48)</f>
        <v>——</v>
      </c>
      <c r="K57" s="1889" t="s">
        <v>1605</v>
      </c>
      <c r="L57" s="1892">
        <f ca="1">IF(L48&lt;J51,"——",IF(L55="比较法",L49,IF(L55="基准地价",L50,L51)))</f>
        <v>130996</v>
      </c>
      <c r="O57" s="1886" t="s">
        <v>1041</v>
      </c>
      <c r="P57" s="1887" t="s">
        <v>1606</v>
      </c>
      <c r="Q57" s="1888">
        <f ca="1">L60</f>
        <v>0</v>
      </c>
      <c r="R57" s="1888" t="s">
        <v>1607</v>
      </c>
    </row>
    <row r="58" spans="1:18" s="1844" customFormat="1" ht="24.75" thickBot="1">
      <c r="A58" s="360" t="s">
        <v>1030</v>
      </c>
      <c r="B58" s="1180" t="s">
        <v>1424</v>
      </c>
      <c r="C58" s="361">
        <f ca="1">ROUND(C59+C64+C65+C66,0)</f>
        <v>6991</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989398</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6414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577</v>
      </c>
      <c r="D65" s="1186" t="s">
        <v>1454</v>
      </c>
      <c r="E65" s="1172" t="s">
        <v>1455</v>
      </c>
      <c r="F65" s="376">
        <f t="shared" ca="1" si="0"/>
        <v>1.5E-3</v>
      </c>
      <c r="I65" s="1931" t="s">
        <v>1579</v>
      </c>
      <c r="J65" s="1932">
        <v>40</v>
      </c>
      <c r="K65" s="1932">
        <v>30</v>
      </c>
      <c r="L65" s="1932">
        <v>50</v>
      </c>
      <c r="M65" s="1934">
        <v>0.02</v>
      </c>
      <c r="O65" s="1886" t="s">
        <v>1040</v>
      </c>
      <c r="P65" s="1887" t="s">
        <v>1580</v>
      </c>
      <c r="Q65" s="1888">
        <f ca="1">C40+J29</f>
        <v>989398</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-6991</v>
      </c>
      <c r="D67" s="1185" t="s">
        <v>1464</v>
      </c>
      <c r="E67" s="1190"/>
      <c r="F67" s="1191"/>
      <c r="O67" s="1896" t="s">
        <v>1042</v>
      </c>
      <c r="P67" s="1887" t="s">
        <v>1562</v>
      </c>
      <c r="Q67" s="1935">
        <f ca="1">L51</f>
        <v>130996</v>
      </c>
      <c r="R67" s="1888" t="s">
        <v>1582</v>
      </c>
    </row>
    <row r="68" spans="1:18" s="1844" customFormat="1" ht="16.5" thickBot="1">
      <c r="A68" s="1169" t="s">
        <v>1032</v>
      </c>
      <c r="B68" s="1170" t="s">
        <v>1485</v>
      </c>
      <c r="C68" s="346">
        <f ca="1">ROUND(C67*(1-((1+F70)/(1+F68))^F69)/(F68-F70),0)</f>
        <v>-178500</v>
      </c>
      <c r="D68" s="1187" t="s">
        <v>1469</v>
      </c>
      <c r="E68" s="1172" t="s">
        <v>1470</v>
      </c>
      <c r="F68" s="357">
        <f ca="1">F40</f>
        <v>4.4999999999999998E-2</v>
      </c>
      <c r="O68" s="1896" t="s">
        <v>1043</v>
      </c>
      <c r="P68" s="1936" t="s">
        <v>1583</v>
      </c>
      <c r="Q68" s="1888">
        <f ca="1">ROUND(Q69-Q70*Q71,0)</f>
        <v>6037</v>
      </c>
      <c r="R68" s="1888" t="s">
        <v>1051</v>
      </c>
    </row>
    <row r="69" spans="1:18" s="1844" customFormat="1" ht="13.5" thickBot="1">
      <c r="A69" s="1173"/>
      <c r="B69" s="1174"/>
      <c r="C69" s="351"/>
      <c r="D69" s="1192" t="s">
        <v>1473</v>
      </c>
      <c r="E69" s="1172" t="s">
        <v>1474</v>
      </c>
      <c r="F69" s="379">
        <f ca="1">F41</f>
        <v>42</v>
      </c>
      <c r="O69" s="1896" t="s">
        <v>1048</v>
      </c>
      <c r="P69" s="1936" t="s">
        <v>1584</v>
      </c>
      <c r="Q69" s="1888">
        <f ca="1">C39</f>
        <v>38750</v>
      </c>
      <c r="R69" s="1888" t="s">
        <v>1529</v>
      </c>
    </row>
    <row r="70" spans="1:18" s="1844" customFormat="1" ht="13.5" thickBot="1">
      <c r="A70" s="1176"/>
      <c r="B70" s="1177"/>
      <c r="C70" s="355"/>
      <c r="D70" s="1188"/>
      <c r="E70" s="1172" t="s">
        <v>1477</v>
      </c>
      <c r="F70" s="1278">
        <f ca="1">F42</f>
        <v>0.02</v>
      </c>
      <c r="O70" s="1896" t="s">
        <v>1049</v>
      </c>
      <c r="P70" s="1936" t="s">
        <v>1585</v>
      </c>
      <c r="Q70" s="1888">
        <f ca="1">C13</f>
        <v>384854</v>
      </c>
      <c r="R70" s="1888" t="s">
        <v>1529</v>
      </c>
    </row>
    <row r="71" spans="1:18" s="1844" customFormat="1" ht="13.5" thickBot="1">
      <c r="A71" s="1193" t="s">
        <v>1033</v>
      </c>
      <c r="B71" s="1194" t="s">
        <v>1487</v>
      </c>
      <c r="C71" s="382">
        <f ca="1">ROUND(C68/F71,0)</f>
        <v>-1928</v>
      </c>
      <c r="D71" s="1195" t="s">
        <v>1488</v>
      </c>
      <c r="E71" s="1196" t="s">
        <v>1489</v>
      </c>
      <c r="F71" s="385">
        <f ca="1">F43</f>
        <v>92.57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32713</v>
      </c>
      <c r="D75" s="1844"/>
      <c r="E75" s="1844"/>
      <c r="F75" s="1844"/>
      <c r="K75" s="1870"/>
      <c r="L75" s="1844"/>
      <c r="O75" s="1886" t="s">
        <v>1046</v>
      </c>
      <c r="P75" s="1887" t="s">
        <v>1549</v>
      </c>
      <c r="Q75" s="1888">
        <f ca="1">Q65+Q66</f>
        <v>989398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0.15600000000000003</v>
      </c>
    </row>
    <row r="80" spans="1:18">
      <c r="B80" s="386" t="s">
        <v>1511</v>
      </c>
      <c r="C80" s="318">
        <f ca="1">ROUND(C75/C39,3)</f>
        <v>0.84399999999999997</v>
      </c>
    </row>
    <row r="81" spans="2:3">
      <c r="B81" s="314" t="s">
        <v>1512</v>
      </c>
      <c r="C81" s="282"/>
    </row>
    <row r="82" spans="2:3">
      <c r="B82" s="317" t="s">
        <v>1513</v>
      </c>
      <c r="C82" s="319">
        <f ca="1">1-C83</f>
        <v>0.61099999999999999</v>
      </c>
    </row>
    <row r="83" spans="2:3">
      <c r="B83" s="317" t="s">
        <v>1514</v>
      </c>
      <c r="C83" s="318">
        <f ca="1">ROUND(C13/C40,3)</f>
        <v>0.38900000000000001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99</v>
      </c>
      <c r="C2" s="2567" t="s">
        <v>2507</v>
      </c>
      <c r="D2" s="2568" t="s">
        <v>2508</v>
      </c>
      <c r="E2" s="2569">
        <f>SUM(E6:E13)</f>
        <v>92.57</v>
      </c>
    </row>
    <row r="3" spans="1:6" ht="15.75">
      <c r="A3" s="2565" t="s">
        <v>1395</v>
      </c>
      <c r="B3" s="2566">
        <f ca="1">ROUND(B2*10000/E2,0)</f>
        <v>10695</v>
      </c>
      <c r="C3" s="2567" t="s">
        <v>2515</v>
      </c>
      <c r="D3" s="2570"/>
      <c r="E3" s="2571"/>
    </row>
    <row r="4" spans="1:6" ht="15.75">
      <c r="A4" s="2572"/>
      <c r="B4" s="2570"/>
      <c r="C4" s="2570"/>
      <c r="D4" s="2570"/>
      <c r="E4" s="2571"/>
    </row>
    <row r="5" spans="1:6" ht="15">
      <c r="A5" s="2573" t="s">
        <v>2509</v>
      </c>
      <c r="B5" s="3212" t="s">
        <v>2510</v>
      </c>
      <c r="C5" s="3212"/>
      <c r="D5" s="2574"/>
      <c r="E5" s="2575" t="s">
        <v>2511</v>
      </c>
      <c r="F5" s="2576" t="s">
        <v>2512</v>
      </c>
    </row>
    <row r="6" spans="1:6">
      <c r="A6" s="2577" t="str">
        <f>'数据-取费表'!AN6</f>
        <v>收益法 (元)</v>
      </c>
      <c r="B6" s="2576">
        <f ca="1">IF(F6="是",'数据-取费表'!AO6,0)</f>
        <v>99</v>
      </c>
      <c r="C6" s="2567" t="s">
        <v>2507</v>
      </c>
      <c r="D6" s="2570"/>
      <c r="E6" s="2578">
        <f>IF(OR(A6=0,F6="否"),0,'数据-取费表'!K6+'数据-取费表'!S6)</f>
        <v>92.57</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18" t="s">
        <v>1077</v>
      </c>
      <c r="B2" s="3219" t="s">
        <v>1078</v>
      </c>
      <c r="C2" s="3219"/>
      <c r="D2" s="1304" t="s">
        <v>1079</v>
      </c>
      <c r="E2" s="1304" t="s">
        <v>1080</v>
      </c>
      <c r="F2" s="1304" t="s">
        <v>1081</v>
      </c>
      <c r="G2" s="1304" t="s">
        <v>1082</v>
      </c>
      <c r="H2" s="1304" t="s">
        <v>1083</v>
      </c>
      <c r="I2" s="1305" t="s">
        <v>1084</v>
      </c>
    </row>
    <row r="3" spans="1:9">
      <c r="A3" s="3218"/>
      <c r="B3" s="3219" t="s">
        <v>1085</v>
      </c>
      <c r="C3" s="3219"/>
      <c r="D3" s="1306"/>
      <c r="E3" s="1304"/>
      <c r="F3" s="1307"/>
      <c r="G3" s="1307"/>
      <c r="H3" s="1308"/>
      <c r="I3" s="1309">
        <f>ROUND(D3*E3*F3*G3*H3/10000,0)</f>
        <v>0</v>
      </c>
    </row>
    <row r="4" spans="1:9">
      <c r="A4" s="3218"/>
      <c r="B4" s="3219" t="s">
        <v>1086</v>
      </c>
      <c r="C4" s="3219"/>
      <c r="D4" s="1306"/>
      <c r="E4" s="1304"/>
      <c r="F4" s="1307"/>
      <c r="G4" s="1307"/>
      <c r="H4" s="1308"/>
      <c r="I4" s="1309">
        <f t="shared" ref="I4:I9" si="0">ROUND(D4*E4*F4*G4*H4/10000,0)</f>
        <v>0</v>
      </c>
    </row>
    <row r="5" spans="1:9">
      <c r="A5" s="3218"/>
      <c r="B5" s="3219" t="s">
        <v>1087</v>
      </c>
      <c r="C5" s="3219"/>
      <c r="D5" s="1306"/>
      <c r="E5" s="1304"/>
      <c r="F5" s="1307"/>
      <c r="G5" s="1307"/>
      <c r="H5" s="1308"/>
      <c r="I5" s="1309">
        <f t="shared" si="0"/>
        <v>0</v>
      </c>
    </row>
    <row r="6" spans="1:9">
      <c r="A6" s="3218"/>
      <c r="B6" s="3219" t="s">
        <v>1088</v>
      </c>
      <c r="C6" s="3219"/>
      <c r="D6" s="1306"/>
      <c r="E6" s="1304"/>
      <c r="F6" s="1307"/>
      <c r="G6" s="1307"/>
      <c r="H6" s="1308"/>
      <c r="I6" s="1309">
        <f t="shared" si="0"/>
        <v>0</v>
      </c>
    </row>
    <row r="7" spans="1:9">
      <c r="A7" s="3218"/>
      <c r="B7" s="3219" t="s">
        <v>1089</v>
      </c>
      <c r="C7" s="3219"/>
      <c r="D7" s="1306"/>
      <c r="E7" s="1304"/>
      <c r="F7" s="1307"/>
      <c r="G7" s="1307"/>
      <c r="H7" s="1308"/>
      <c r="I7" s="1309">
        <f t="shared" si="0"/>
        <v>0</v>
      </c>
    </row>
    <row r="8" spans="1:9">
      <c r="A8" s="3218"/>
      <c r="B8" s="3219" t="s">
        <v>1090</v>
      </c>
      <c r="C8" s="3219"/>
      <c r="D8" s="1306"/>
      <c r="E8" s="1304"/>
      <c r="F8" s="1307"/>
      <c r="G8" s="1307"/>
      <c r="H8" s="1308"/>
      <c r="I8" s="1309">
        <f t="shared" si="0"/>
        <v>0</v>
      </c>
    </row>
    <row r="9" spans="1:9">
      <c r="A9" s="3218"/>
      <c r="B9" s="3219" t="s">
        <v>1091</v>
      </c>
      <c r="C9" s="3219"/>
      <c r="D9" s="1306"/>
      <c r="E9" s="1304"/>
      <c r="F9" s="1307"/>
      <c r="G9" s="1307"/>
      <c r="H9" s="1308"/>
      <c r="I9" s="1309">
        <f t="shared" si="0"/>
        <v>0</v>
      </c>
    </row>
    <row r="10" spans="1:9">
      <c r="A10" s="3218"/>
      <c r="B10" s="3220" t="s">
        <v>1092</v>
      </c>
      <c r="C10" s="3220"/>
      <c r="D10" s="1310"/>
      <c r="E10" s="1310" t="e">
        <f>ROUND(D1*10000/D10/H9,0)</f>
        <v>#DIV/0!</v>
      </c>
      <c r="F10" s="1311"/>
      <c r="G10" s="1311"/>
      <c r="H10" s="1312"/>
      <c r="I10" s="1313">
        <f>SUM(I3:I9)</f>
        <v>0</v>
      </c>
    </row>
    <row r="11" spans="1:9" ht="14.25">
      <c r="A11" s="3218" t="s">
        <v>1093</v>
      </c>
      <c r="B11" s="3219" t="s">
        <v>1094</v>
      </c>
      <c r="C11" s="3219"/>
      <c r="D11" s="1306" t="s">
        <v>1095</v>
      </c>
      <c r="E11" s="1306" t="s">
        <v>1096</v>
      </c>
      <c r="F11" s="1307" t="s">
        <v>1097</v>
      </c>
      <c r="G11" s="1307" t="s">
        <v>1083</v>
      </c>
      <c r="H11" s="1314" t="s">
        <v>1098</v>
      </c>
      <c r="I11" s="1305" t="s">
        <v>1084</v>
      </c>
    </row>
    <row r="12" spans="1:9">
      <c r="A12" s="3218"/>
      <c r="B12" s="3219" t="s">
        <v>1099</v>
      </c>
      <c r="C12" s="3219"/>
      <c r="D12" s="1306"/>
      <c r="E12" s="1306"/>
      <c r="F12" s="1307"/>
      <c r="G12" s="1308"/>
      <c r="H12" s="1315"/>
      <c r="I12" s="1305">
        <f>ROUND(D12*E12*F12*G12/10000,0)</f>
        <v>0</v>
      </c>
    </row>
    <row r="13" spans="1:9">
      <c r="A13" s="3218"/>
      <c r="B13" s="3219" t="s">
        <v>1100</v>
      </c>
      <c r="C13" s="3219"/>
      <c r="D13" s="1306"/>
      <c r="E13" s="1306"/>
      <c r="F13" s="1307"/>
      <c r="G13" s="1308"/>
      <c r="H13" s="1315"/>
      <c r="I13" s="1305">
        <f>ROUND(D13*E13*F13*G13/10000,0)</f>
        <v>0</v>
      </c>
    </row>
    <row r="14" spans="1:9">
      <c r="A14" s="3218"/>
      <c r="B14" s="3219" t="s">
        <v>1101</v>
      </c>
      <c r="C14" s="3219"/>
      <c r="D14" s="1306"/>
      <c r="E14" s="1306"/>
      <c r="F14" s="1307"/>
      <c r="G14" s="1308"/>
      <c r="H14" s="1315"/>
      <c r="I14" s="1305">
        <f>ROUND(D14*E14*F14*G14/10000,0)</f>
        <v>0</v>
      </c>
    </row>
    <row r="15" spans="1:9">
      <c r="A15" s="3218"/>
      <c r="B15" s="3220" t="s">
        <v>1092</v>
      </c>
      <c r="C15" s="3220"/>
      <c r="D15" s="1310"/>
      <c r="E15" s="1310">
        <f>SUM(E12:E14)</f>
        <v>0</v>
      </c>
      <c r="F15" s="1311"/>
      <c r="G15" s="1308"/>
      <c r="H15" s="1315"/>
      <c r="I15" s="1316">
        <f>SUM(I12:I14)</f>
        <v>0</v>
      </c>
    </row>
    <row r="16" spans="1:9" ht="24">
      <c r="A16" s="3218" t="s">
        <v>1102</v>
      </c>
      <c r="B16" s="3219" t="s">
        <v>1103</v>
      </c>
      <c r="C16" s="3219"/>
      <c r="D16" s="1306" t="s">
        <v>1079</v>
      </c>
      <c r="E16" s="1317" t="s">
        <v>1104</v>
      </c>
      <c r="F16" s="1307" t="s">
        <v>1105</v>
      </c>
      <c r="G16" s="1308" t="s">
        <v>1083</v>
      </c>
      <c r="H16" s="1314" t="s">
        <v>1098</v>
      </c>
      <c r="I16" s="1305" t="s">
        <v>1084</v>
      </c>
    </row>
    <row r="17" spans="1:9" ht="14.25">
      <c r="A17" s="3218"/>
      <c r="B17" s="3219" t="s">
        <v>1106</v>
      </c>
      <c r="C17" s="3219"/>
      <c r="D17" s="1306"/>
      <c r="E17" s="1306"/>
      <c r="F17" s="1307"/>
      <c r="G17" s="1308"/>
      <c r="H17" s="1318"/>
      <c r="I17" s="1319">
        <f>ROUND(D17*E17*F17*G17/10000,0)</f>
        <v>0</v>
      </c>
    </row>
    <row r="18" spans="1:9" ht="14.25">
      <c r="A18" s="3218"/>
      <c r="B18" s="3219" t="s">
        <v>1107</v>
      </c>
      <c r="C18" s="3219"/>
      <c r="D18" s="1306"/>
      <c r="E18" s="1306"/>
      <c r="F18" s="1307"/>
      <c r="G18" s="1308"/>
      <c r="H18" s="1318"/>
      <c r="I18" s="1319">
        <f>ROUND(D18*E18*F18*G18/10000,0)</f>
        <v>0</v>
      </c>
    </row>
    <row r="19" spans="1:9" ht="14.25">
      <c r="A19" s="3218"/>
      <c r="B19" s="3219" t="s">
        <v>1108</v>
      </c>
      <c r="C19" s="3219"/>
      <c r="D19" s="1306"/>
      <c r="E19" s="1306"/>
      <c r="F19" s="1307"/>
      <c r="G19" s="1308"/>
      <c r="H19" s="1318"/>
      <c r="I19" s="1319">
        <f>ROUND(D19*E19*F19*G19/10000,0)</f>
        <v>0</v>
      </c>
    </row>
    <row r="20" spans="1:9">
      <c r="A20" s="3218"/>
      <c r="B20" s="3220" t="s">
        <v>1092</v>
      </c>
      <c r="C20" s="3220"/>
      <c r="D20" s="1310">
        <f>SUM(D17:D19)</f>
        <v>0</v>
      </c>
      <c r="E20" s="1310"/>
      <c r="F20" s="1311"/>
      <c r="G20" s="1308"/>
      <c r="H20" s="1315"/>
      <c r="I20" s="1316">
        <f>SUM(I17:I19)</f>
        <v>0</v>
      </c>
    </row>
    <row r="21" spans="1:9">
      <c r="A21" s="3218"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29">
        <f>C27-C30-C31-C32</f>
        <v>0</v>
      </c>
      <c r="F26" s="3229"/>
      <c r="G26" s="3229"/>
      <c r="H26" s="1740" t="s">
        <v>1340</v>
      </c>
    </row>
    <row r="27" spans="1:9">
      <c r="A27" s="1327">
        <v>1</v>
      </c>
      <c r="B27" s="1328" t="s">
        <v>1118</v>
      </c>
      <c r="C27" s="1328">
        <f>C28+C29</f>
        <v>0</v>
      </c>
      <c r="D27" s="1328"/>
      <c r="E27" s="3230"/>
      <c r="F27" s="3230"/>
      <c r="G27" s="3230"/>
    </row>
    <row r="28" spans="1:9">
      <c r="A28" s="1329" t="s">
        <v>1119</v>
      </c>
      <c r="B28" s="1328" t="s">
        <v>1120</v>
      </c>
      <c r="C28" s="1328"/>
      <c r="D28" s="1328"/>
      <c r="E28" s="3230"/>
      <c r="F28" s="3230"/>
      <c r="G28" s="323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31" t="s">
        <v>1129</v>
      </c>
      <c r="B33" s="3232"/>
      <c r="C33" s="3232"/>
      <c r="D33" s="3233"/>
      <c r="E33" s="3229"/>
      <c r="F33" s="3229"/>
      <c r="G33" s="3229"/>
    </row>
    <row r="34" spans="1:7" hidden="1">
      <c r="A34" s="1331">
        <v>1</v>
      </c>
      <c r="B34" s="1328" t="s">
        <v>1130</v>
      </c>
      <c r="C34" s="1328"/>
      <c r="D34" s="1328"/>
      <c r="E34" s="3230"/>
      <c r="F34" s="3230"/>
      <c r="G34" s="3230"/>
    </row>
    <row r="35" spans="1:7" hidden="1">
      <c r="A35" s="1331">
        <v>2</v>
      </c>
      <c r="B35" s="1328" t="s">
        <v>1131</v>
      </c>
      <c r="C35" s="1328"/>
      <c r="D35" s="1328"/>
      <c r="E35" s="3230"/>
      <c r="F35" s="3230"/>
      <c r="G35" s="3230"/>
    </row>
    <row r="36" spans="1:7" hidden="1">
      <c r="A36" s="1331">
        <v>3</v>
      </c>
      <c r="B36" s="1328" t="s">
        <v>1132</v>
      </c>
      <c r="C36" s="1328"/>
      <c r="D36" s="1328"/>
      <c r="E36" s="3230"/>
      <c r="F36" s="3230"/>
      <c r="G36" s="3230"/>
    </row>
    <row r="37" spans="1:7" hidden="1">
      <c r="A37" s="1331">
        <v>4</v>
      </c>
      <c r="B37" s="1328" t="s">
        <v>1133</v>
      </c>
      <c r="C37" s="1328"/>
      <c r="D37" s="1328"/>
      <c r="E37" s="3230"/>
      <c r="F37" s="3230"/>
      <c r="G37" s="3230"/>
    </row>
    <row r="38" spans="1:7" hidden="1">
      <c r="A38" s="3231" t="s">
        <v>1134</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92.57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96"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96"/>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96"/>
      <c r="AC6" s="3170"/>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2548</v>
      </c>
      <c r="Q15" s="1812" t="str">
        <f t="shared" si="6"/>
        <v>商业繁华度</v>
      </c>
      <c r="R15" s="774" t="s">
        <v>17</v>
      </c>
      <c r="S15" s="775">
        <f t="shared" si="0"/>
        <v>100</v>
      </c>
      <c r="T15" s="774" t="s">
        <v>17</v>
      </c>
      <c r="U15" s="775">
        <f t="shared" si="1"/>
        <v>100</v>
      </c>
      <c r="V15" s="774" t="s">
        <v>17</v>
      </c>
      <c r="W15" s="775">
        <f t="shared" si="2"/>
        <v>100</v>
      </c>
      <c r="X15" s="1815"/>
      <c r="Y15" s="320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2" t="str">
        <f>B23</f>
        <v>自然及人文环境</v>
      </c>
      <c r="R23" s="774" t="s">
        <v>17</v>
      </c>
      <c r="S23" s="775">
        <f>F23</f>
        <v>100</v>
      </c>
      <c r="T23" s="774" t="s">
        <v>17</v>
      </c>
      <c r="U23" s="775">
        <f>H23</f>
        <v>100</v>
      </c>
      <c r="V23" s="774" t="s">
        <v>17</v>
      </c>
      <c r="W23" s="775">
        <f>J23</f>
        <v>100</v>
      </c>
      <c r="X23" s="1815"/>
      <c r="Y23" s="3204"/>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2" t="str">
        <f t="shared" ref="Q25:Q46" si="11">B25</f>
        <v>临街状况</v>
      </c>
      <c r="R25" s="774" t="s">
        <v>17</v>
      </c>
      <c r="S25" s="775">
        <f>F25</f>
        <v>100</v>
      </c>
      <c r="T25" s="774" t="s">
        <v>17</v>
      </c>
      <c r="U25" s="775">
        <f>H25</f>
        <v>100</v>
      </c>
      <c r="V25" s="774" t="s">
        <v>17</v>
      </c>
      <c r="W25" s="775">
        <f>J25</f>
        <v>100</v>
      </c>
      <c r="X25" s="1815"/>
      <c r="Y25" s="3204"/>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2" t="str">
        <f t="shared" si="11"/>
        <v>平面位置/可视性</v>
      </c>
      <c r="R26" s="774" t="s">
        <v>17</v>
      </c>
      <c r="S26" s="775">
        <f>F26</f>
        <v>100</v>
      </c>
      <c r="T26" s="774" t="s">
        <v>17</v>
      </c>
      <c r="U26" s="775">
        <f>H26</f>
        <v>100</v>
      </c>
      <c r="V26" s="774" t="s">
        <v>17</v>
      </c>
      <c r="W26" s="775">
        <f>J26</f>
        <v>100</v>
      </c>
      <c r="X26" s="1815"/>
      <c r="Y26" s="3204"/>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1"/>
      <c r="Q27" s="1797" t="str">
        <f t="shared" si="11"/>
        <v>人流量</v>
      </c>
      <c r="R27" s="770" t="s">
        <v>17</v>
      </c>
      <c r="S27" s="771">
        <f>F27</f>
        <v>100</v>
      </c>
      <c r="T27" s="770" t="s">
        <v>17</v>
      </c>
      <c r="U27" s="771">
        <f>H27</f>
        <v>100</v>
      </c>
      <c r="V27" s="770" t="s">
        <v>17</v>
      </c>
      <c r="W27" s="771">
        <f>J27</f>
        <v>100</v>
      </c>
      <c r="X27" s="772"/>
      <c r="Y27" s="320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2">
        <f t="shared" si="11"/>
        <v>111</v>
      </c>
      <c r="R29" s="774" t="s">
        <v>17</v>
      </c>
      <c r="S29" s="775">
        <f t="shared" si="12"/>
        <v>100</v>
      </c>
      <c r="T29" s="774" t="s">
        <v>17</v>
      </c>
      <c r="U29" s="775">
        <f t="shared" si="13"/>
        <v>100</v>
      </c>
      <c r="V29" s="774" t="s">
        <v>17</v>
      </c>
      <c r="W29" s="775">
        <f t="shared" si="14"/>
        <v>100</v>
      </c>
      <c r="X29" s="1815"/>
      <c r="Y29" s="320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5" t="s">
        <v>2553</v>
      </c>
      <c r="Q32" s="1812" t="str">
        <f t="shared" si="11"/>
        <v>商业类型</v>
      </c>
      <c r="R32" s="774" t="s">
        <v>17</v>
      </c>
      <c r="S32" s="775">
        <f t="shared" si="12"/>
        <v>100</v>
      </c>
      <c r="T32" s="774" t="s">
        <v>17</v>
      </c>
      <c r="U32" s="775">
        <f t="shared" si="13"/>
        <v>100</v>
      </c>
      <c r="V32" s="774" t="s">
        <v>17</v>
      </c>
      <c r="W32" s="775">
        <f t="shared" si="14"/>
        <v>100</v>
      </c>
      <c r="X32" s="1815"/>
      <c r="Y32" s="320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6"/>
      <c r="Q34" s="1812" t="str">
        <f t="shared" si="11"/>
        <v>建筑结构</v>
      </c>
      <c r="R34" s="774" t="s">
        <v>17</v>
      </c>
      <c r="S34" s="775">
        <f t="shared" si="12"/>
        <v>100</v>
      </c>
      <c r="T34" s="774" t="s">
        <v>17</v>
      </c>
      <c r="U34" s="775">
        <f t="shared" si="13"/>
        <v>100</v>
      </c>
      <c r="V34" s="774" t="s">
        <v>17</v>
      </c>
      <c r="W34" s="775">
        <f t="shared" si="14"/>
        <v>100</v>
      </c>
      <c r="X34" s="1815"/>
      <c r="Y34" s="3208"/>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6"/>
      <c r="Q35" s="1812" t="str">
        <f t="shared" si="11"/>
        <v>公共部分装修</v>
      </c>
      <c r="R35" s="774" t="s">
        <v>17</v>
      </c>
      <c r="S35" s="775">
        <f t="shared" si="12"/>
        <v>100</v>
      </c>
      <c r="T35" s="774" t="s">
        <v>17</v>
      </c>
      <c r="U35" s="775">
        <f t="shared" si="13"/>
        <v>100</v>
      </c>
      <c r="V35" s="774" t="s">
        <v>17</v>
      </c>
      <c r="W35" s="775">
        <f t="shared" si="14"/>
        <v>100</v>
      </c>
      <c r="X35" s="1815"/>
      <c r="Y35" s="320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2" t="str">
        <f t="shared" si="11"/>
        <v>成新度</v>
      </c>
      <c r="R36" s="774" t="s">
        <v>17</v>
      </c>
      <c r="S36" s="775" t="e">
        <f t="shared" si="12"/>
        <v>#N/A</v>
      </c>
      <c r="T36" s="774" t="s">
        <v>17</v>
      </c>
      <c r="U36" s="775" t="e">
        <f t="shared" si="13"/>
        <v>#N/A</v>
      </c>
      <c r="V36" s="774" t="s">
        <v>17</v>
      </c>
      <c r="W36" s="775" t="e">
        <f t="shared" si="14"/>
        <v>#N/A</v>
      </c>
      <c r="X36" s="1815"/>
      <c r="Y36" s="3208"/>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6"/>
      <c r="Q37" s="1797"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6" t="s">
        <v>2553</v>
      </c>
      <c r="Q38" s="1812" t="str">
        <f t="shared" si="11"/>
        <v>业态</v>
      </c>
      <c r="R38" s="774" t="s">
        <v>17</v>
      </c>
      <c r="S38" s="775">
        <f t="shared" si="12"/>
        <v>100</v>
      </c>
      <c r="T38" s="774" t="s">
        <v>17</v>
      </c>
      <c r="U38" s="775">
        <f t="shared" si="13"/>
        <v>100</v>
      </c>
      <c r="V38" s="774" t="s">
        <v>17</v>
      </c>
      <c r="W38" s="775">
        <f t="shared" si="14"/>
        <v>100</v>
      </c>
      <c r="X38" s="1815"/>
      <c r="Y38" s="3208"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6"/>
      <c r="Q39" s="1812" t="str">
        <f t="shared" si="11"/>
        <v>层高</v>
      </c>
      <c r="R39" s="774" t="s">
        <v>17</v>
      </c>
      <c r="S39" s="775">
        <f t="shared" si="12"/>
        <v>100</v>
      </c>
      <c r="T39" s="774" t="s">
        <v>17</v>
      </c>
      <c r="U39" s="775">
        <f t="shared" si="13"/>
        <v>100</v>
      </c>
      <c r="V39" s="774" t="s">
        <v>17</v>
      </c>
      <c r="W39" s="775">
        <f t="shared" si="14"/>
        <v>100</v>
      </c>
      <c r="X39" s="1815"/>
      <c r="Y39" s="320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2" t="str">
        <f t="shared" si="11"/>
        <v>单套建筑面积</v>
      </c>
      <c r="R40" s="774" t="s">
        <v>17</v>
      </c>
      <c r="S40" s="775">
        <f t="shared" si="12"/>
        <v>100</v>
      </c>
      <c r="T40" s="774" t="s">
        <v>17</v>
      </c>
      <c r="U40" s="775">
        <f t="shared" si="13"/>
        <v>100</v>
      </c>
      <c r="V40" s="774" t="s">
        <v>17</v>
      </c>
      <c r="W40" s="775">
        <f t="shared" si="14"/>
        <v>100</v>
      </c>
      <c r="X40" s="1815"/>
      <c r="Y40" s="320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6"/>
      <c r="Q42" s="1812" t="str">
        <f t="shared" si="11"/>
        <v>内部装修</v>
      </c>
      <c r="R42" s="774" t="s">
        <v>17</v>
      </c>
      <c r="S42" s="775">
        <f t="shared" si="12"/>
        <v>100</v>
      </c>
      <c r="T42" s="774" t="s">
        <v>17</v>
      </c>
      <c r="U42" s="775">
        <f t="shared" si="13"/>
        <v>100</v>
      </c>
      <c r="V42" s="774" t="s">
        <v>17</v>
      </c>
      <c r="W42" s="775">
        <f t="shared" si="14"/>
        <v>100</v>
      </c>
      <c r="X42" s="1815"/>
      <c r="Y42" s="3208"/>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6"/>
      <c r="Q43" s="1812" t="str">
        <f t="shared" si="11"/>
        <v>内部装修维护情况</v>
      </c>
      <c r="R43" s="774" t="s">
        <v>17</v>
      </c>
      <c r="S43" s="775">
        <f t="shared" si="12"/>
        <v>100</v>
      </c>
      <c r="T43" s="774" t="s">
        <v>17</v>
      </c>
      <c r="U43" s="775">
        <f t="shared" si="13"/>
        <v>100</v>
      </c>
      <c r="V43" s="774" t="s">
        <v>17</v>
      </c>
      <c r="W43" s="775">
        <f t="shared" si="14"/>
        <v>100</v>
      </c>
      <c r="X43" s="1815"/>
      <c r="Y43" s="320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7">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2">
        <f t="shared" si="11"/>
        <v>111</v>
      </c>
      <c r="R45" s="774" t="s">
        <v>17</v>
      </c>
      <c r="S45" s="775">
        <f t="shared" si="12"/>
        <v>100</v>
      </c>
      <c r="T45" s="774" t="s">
        <v>17</v>
      </c>
      <c r="U45" s="775">
        <f t="shared" si="13"/>
        <v>100</v>
      </c>
      <c r="V45" s="774" t="s">
        <v>17</v>
      </c>
      <c r="W45" s="775">
        <f t="shared" si="14"/>
        <v>100</v>
      </c>
      <c r="X45" s="1815"/>
      <c r="Y45" s="320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92.57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243" t="s">
        <v>2639</v>
      </c>
      <c r="Q4" s="3244"/>
      <c r="R4" s="3238" t="s">
        <v>2635</v>
      </c>
      <c r="S4" s="3239"/>
      <c r="T4" s="3238" t="s">
        <v>2636</v>
      </c>
      <c r="U4" s="3239"/>
      <c r="V4" s="3247" t="s">
        <v>2637</v>
      </c>
      <c r="W4" s="3247"/>
      <c r="X4" s="2668"/>
      <c r="Y4" s="3238" t="s">
        <v>2639</v>
      </c>
      <c r="Z4" s="3239"/>
      <c r="AA4" s="3237" t="s">
        <v>2635</v>
      </c>
      <c r="AB4" s="3237" t="s">
        <v>2636</v>
      </c>
      <c r="AC4" s="3240" t="s">
        <v>2637</v>
      </c>
    </row>
    <row r="5" spans="1:29" ht="15">
      <c r="A5" s="404"/>
      <c r="B5" s="405"/>
      <c r="C5" s="3236" t="s">
        <v>2530</v>
      </c>
      <c r="D5" s="3178"/>
      <c r="E5" s="3234" t="s">
        <v>2531</v>
      </c>
      <c r="F5" s="3235"/>
      <c r="G5" s="3236" t="s">
        <v>2532</v>
      </c>
      <c r="H5" s="3178"/>
      <c r="I5" s="3236" t="s">
        <v>2533</v>
      </c>
      <c r="J5" s="3178"/>
      <c r="K5" s="610"/>
      <c r="L5" s="1133"/>
      <c r="M5" s="1134"/>
      <c r="N5" s="1134"/>
      <c r="O5" s="1134"/>
      <c r="P5" s="3245"/>
      <c r="Q5" s="3191"/>
      <c r="R5" s="3175"/>
      <c r="S5" s="3176"/>
      <c r="T5" s="3175"/>
      <c r="U5" s="3176"/>
      <c r="V5" s="3196"/>
      <c r="W5" s="3196"/>
      <c r="X5" s="1815"/>
      <c r="Y5" s="3175"/>
      <c r="Z5" s="3176"/>
      <c r="AA5" s="3169"/>
      <c r="AB5" s="3169"/>
      <c r="AC5" s="3241"/>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246"/>
      <c r="Q6" s="3193"/>
      <c r="R6" s="3175"/>
      <c r="S6" s="3176"/>
      <c r="T6" s="3194"/>
      <c r="U6" s="3195"/>
      <c r="V6" s="3196"/>
      <c r="W6" s="3196"/>
      <c r="X6" s="1815"/>
      <c r="Y6" s="3194"/>
      <c r="Z6" s="3195"/>
      <c r="AA6" s="3170"/>
      <c r="AB6" s="3170"/>
      <c r="AC6" s="3242"/>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2540</v>
      </c>
      <c r="Q8" s="3172"/>
      <c r="R8" s="770" t="s">
        <v>17</v>
      </c>
      <c r="S8" s="771">
        <f t="shared" si="0"/>
        <v>0</v>
      </c>
      <c r="T8" s="770" t="s">
        <v>17</v>
      </c>
      <c r="U8" s="771">
        <f t="shared" si="1"/>
        <v>0</v>
      </c>
      <c r="V8" s="770" t="s">
        <v>17</v>
      </c>
      <c r="W8" s="771">
        <f t="shared" si="2"/>
        <v>0</v>
      </c>
      <c r="X8" s="772"/>
      <c r="Y8" s="3171" t="s">
        <v>2540</v>
      </c>
      <c r="Z8" s="3172"/>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2548</v>
      </c>
      <c r="Q15" s="1812" t="str">
        <f t="shared" si="6"/>
        <v>办公集聚程度</v>
      </c>
      <c r="R15" s="774" t="s">
        <v>17</v>
      </c>
      <c r="S15" s="775">
        <f t="shared" si="0"/>
        <v>100</v>
      </c>
      <c r="T15" s="774" t="s">
        <v>17</v>
      </c>
      <c r="U15" s="775">
        <f t="shared" si="1"/>
        <v>100</v>
      </c>
      <c r="V15" s="774" t="s">
        <v>17</v>
      </c>
      <c r="W15" s="775">
        <f t="shared" si="2"/>
        <v>100</v>
      </c>
      <c r="X15" s="1815"/>
      <c r="Y15" s="3203"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1"/>
      <c r="Q22" s="1812"/>
      <c r="R22" s="774"/>
      <c r="S22" s="775"/>
      <c r="T22" s="774"/>
      <c r="U22" s="775"/>
      <c r="V22" s="774"/>
      <c r="W22" s="775"/>
      <c r="X22" s="1815"/>
      <c r="Y22" s="3204"/>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1"/>
      <c r="Q25" s="1812" t="str">
        <f>B25</f>
        <v>毗邻道路的类型与等级</v>
      </c>
      <c r="R25" s="774" t="s">
        <v>17</v>
      </c>
      <c r="S25" s="775">
        <f>F25</f>
        <v>100</v>
      </c>
      <c r="T25" s="774" t="s">
        <v>17</v>
      </c>
      <c r="U25" s="775">
        <f>H25</f>
        <v>100</v>
      </c>
      <c r="V25" s="774" t="s">
        <v>17</v>
      </c>
      <c r="W25" s="775">
        <f>J25</f>
        <v>100</v>
      </c>
      <c r="X25" s="1815"/>
      <c r="Y25" s="320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211"/>
      <c r="Q26" s="1812"/>
      <c r="R26" s="774"/>
      <c r="S26" s="775"/>
      <c r="T26" s="774"/>
      <c r="U26" s="775"/>
      <c r="V26" s="774"/>
      <c r="W26" s="775"/>
      <c r="X26" s="1815"/>
      <c r="Y26" s="3204"/>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2" t="str">
        <f t="shared" ref="Q27:Q47" si="11">B27</f>
        <v>楼层</v>
      </c>
      <c r="R27" s="774" t="s">
        <v>17</v>
      </c>
      <c r="S27" s="775">
        <f>F27</f>
        <v>100</v>
      </c>
      <c r="T27" s="774" t="s">
        <v>17</v>
      </c>
      <c r="U27" s="775">
        <f>H27</f>
        <v>100</v>
      </c>
      <c r="V27" s="774" t="s">
        <v>17</v>
      </c>
      <c r="W27" s="775">
        <f>J27</f>
        <v>100</v>
      </c>
      <c r="X27" s="1815"/>
      <c r="Y27" s="3204"/>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1"/>
      <c r="Q28" s="1797" t="str">
        <f t="shared" si="11"/>
        <v>朝向</v>
      </c>
      <c r="R28" s="770" t="s">
        <v>17</v>
      </c>
      <c r="S28" s="771">
        <f>F28</f>
        <v>100</v>
      </c>
      <c r="T28" s="770" t="s">
        <v>17</v>
      </c>
      <c r="U28" s="771">
        <f>H28</f>
        <v>100</v>
      </c>
      <c r="V28" s="770" t="s">
        <v>17</v>
      </c>
      <c r="W28" s="771">
        <f>J28</f>
        <v>100</v>
      </c>
      <c r="X28" s="772"/>
      <c r="Y28" s="3204"/>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1"/>
      <c r="Q29" s="1812">
        <f t="shared" si="11"/>
        <v>111</v>
      </c>
      <c r="R29" s="774" t="s">
        <v>17</v>
      </c>
      <c r="S29" s="775">
        <f t="shared" ref="S29:S47" si="12">F29</f>
        <v>100</v>
      </c>
      <c r="T29" s="774" t="s">
        <v>17</v>
      </c>
      <c r="U29" s="775">
        <f t="shared" ref="U29:U47" si="13">H29</f>
        <v>100</v>
      </c>
      <c r="V29" s="774" t="s">
        <v>17</v>
      </c>
      <c r="W29" s="775">
        <f t="shared" ref="W29:W47" si="14">J29</f>
        <v>100</v>
      </c>
      <c r="X29" s="1815"/>
      <c r="Y29" s="3204"/>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1"/>
      <c r="Q32" s="1812">
        <f t="shared" si="11"/>
        <v>111</v>
      </c>
      <c r="R32" s="774" t="s">
        <v>17</v>
      </c>
      <c r="S32" s="775">
        <f t="shared" si="12"/>
        <v>100</v>
      </c>
      <c r="T32" s="774" t="s">
        <v>17</v>
      </c>
      <c r="U32" s="775">
        <f t="shared" si="13"/>
        <v>100</v>
      </c>
      <c r="V32" s="774" t="s">
        <v>17</v>
      </c>
      <c r="W32" s="775">
        <f t="shared" si="14"/>
        <v>100</v>
      </c>
      <c r="X32" s="1815"/>
      <c r="Y32" s="3204"/>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5" t="s">
        <v>2553</v>
      </c>
      <c r="Q33" s="1812" t="str">
        <f t="shared" si="11"/>
        <v>建筑类型</v>
      </c>
      <c r="R33" s="774" t="s">
        <v>17</v>
      </c>
      <c r="S33" s="775">
        <f t="shared" si="12"/>
        <v>100</v>
      </c>
      <c r="T33" s="774" t="s">
        <v>17</v>
      </c>
      <c r="U33" s="775">
        <f t="shared" si="13"/>
        <v>100</v>
      </c>
      <c r="V33" s="774" t="s">
        <v>17</v>
      </c>
      <c r="W33" s="775">
        <f t="shared" si="14"/>
        <v>100</v>
      </c>
      <c r="X33" s="1815"/>
      <c r="Y33" s="3208"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2" t="str">
        <f t="shared" si="11"/>
        <v>建筑结构</v>
      </c>
      <c r="R35" s="774" t="s">
        <v>17</v>
      </c>
      <c r="S35" s="775">
        <f t="shared" si="12"/>
        <v>100</v>
      </c>
      <c r="T35" s="774" t="s">
        <v>17</v>
      </c>
      <c r="U35" s="775">
        <f t="shared" si="13"/>
        <v>100</v>
      </c>
      <c r="V35" s="774" t="s">
        <v>17</v>
      </c>
      <c r="W35" s="775">
        <f t="shared" si="14"/>
        <v>100</v>
      </c>
      <c r="X35" s="1815"/>
      <c r="Y35" s="3208"/>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2" t="str">
        <f t="shared" si="11"/>
        <v>公共部分装修</v>
      </c>
      <c r="R36" s="774" t="s">
        <v>17</v>
      </c>
      <c r="S36" s="775">
        <f t="shared" si="12"/>
        <v>100</v>
      </c>
      <c r="T36" s="774" t="s">
        <v>17</v>
      </c>
      <c r="U36" s="775">
        <f t="shared" si="13"/>
        <v>100</v>
      </c>
      <c r="V36" s="774" t="s">
        <v>17</v>
      </c>
      <c r="W36" s="775">
        <f t="shared" si="14"/>
        <v>100</v>
      </c>
      <c r="X36" s="1815"/>
      <c r="Y36" s="3208"/>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2" t="str">
        <f t="shared" si="11"/>
        <v>成新度</v>
      </c>
      <c r="R37" s="774" t="s">
        <v>17</v>
      </c>
      <c r="S37" s="775" t="e">
        <f t="shared" si="12"/>
        <v>#N/A</v>
      </c>
      <c r="T37" s="774" t="s">
        <v>17</v>
      </c>
      <c r="U37" s="775" t="e">
        <f t="shared" si="13"/>
        <v>#N/A</v>
      </c>
      <c r="V37" s="774" t="s">
        <v>17</v>
      </c>
      <c r="W37" s="775" t="e">
        <f t="shared" si="14"/>
        <v>#N/A</v>
      </c>
      <c r="X37" s="1815"/>
      <c r="Y37" s="3208"/>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7"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2553</v>
      </c>
      <c r="Q39" s="1812" t="str">
        <f t="shared" si="11"/>
        <v>物业管理</v>
      </c>
      <c r="R39" s="774" t="s">
        <v>17</v>
      </c>
      <c r="S39" s="775">
        <f t="shared" si="12"/>
        <v>100</v>
      </c>
      <c r="T39" s="774" t="s">
        <v>17</v>
      </c>
      <c r="U39" s="775">
        <f t="shared" si="13"/>
        <v>100</v>
      </c>
      <c r="V39" s="774" t="s">
        <v>17</v>
      </c>
      <c r="W39" s="775">
        <f t="shared" si="14"/>
        <v>100</v>
      </c>
      <c r="X39" s="1815"/>
      <c r="Y39" s="3208"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2" t="str">
        <f t="shared" si="11"/>
        <v>市政基础设施</v>
      </c>
      <c r="R40" s="774" t="s">
        <v>17</v>
      </c>
      <c r="S40" s="775">
        <f t="shared" si="12"/>
        <v>100</v>
      </c>
      <c r="T40" s="774" t="s">
        <v>17</v>
      </c>
      <c r="U40" s="775">
        <f t="shared" si="13"/>
        <v>100</v>
      </c>
      <c r="V40" s="774" t="s">
        <v>17</v>
      </c>
      <c r="W40" s="775">
        <f t="shared" si="14"/>
        <v>100</v>
      </c>
      <c r="X40" s="1815"/>
      <c r="Y40" s="3208"/>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2" t="str">
        <f t="shared" si="11"/>
        <v>层高</v>
      </c>
      <c r="R41" s="774" t="s">
        <v>17</v>
      </c>
      <c r="S41" s="775">
        <f t="shared" si="12"/>
        <v>100</v>
      </c>
      <c r="T41" s="774" t="s">
        <v>17</v>
      </c>
      <c r="U41" s="775">
        <f t="shared" si="13"/>
        <v>100</v>
      </c>
      <c r="V41" s="774" t="s">
        <v>17</v>
      </c>
      <c r="W41" s="775">
        <f t="shared" si="14"/>
        <v>100</v>
      </c>
      <c r="X41" s="1815"/>
      <c r="Y41" s="3208"/>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2" t="str">
        <f t="shared" si="11"/>
        <v>内部装修</v>
      </c>
      <c r="R43" s="774" t="s">
        <v>17</v>
      </c>
      <c r="S43" s="775">
        <f t="shared" si="12"/>
        <v>100</v>
      </c>
      <c r="T43" s="774" t="s">
        <v>17</v>
      </c>
      <c r="U43" s="775">
        <f t="shared" si="13"/>
        <v>100</v>
      </c>
      <c r="V43" s="774" t="s">
        <v>17</v>
      </c>
      <c r="W43" s="775">
        <f t="shared" si="14"/>
        <v>100</v>
      </c>
      <c r="X43" s="1815"/>
      <c r="Y43" s="3208"/>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6"/>
      <c r="Q44" s="1812" t="str">
        <f t="shared" si="11"/>
        <v>内部装修维护情况</v>
      </c>
      <c r="R44" s="774" t="s">
        <v>17</v>
      </c>
      <c r="S44" s="775">
        <f t="shared" si="12"/>
        <v>100</v>
      </c>
      <c r="T44" s="774" t="s">
        <v>17</v>
      </c>
      <c r="U44" s="775">
        <f t="shared" si="13"/>
        <v>100</v>
      </c>
      <c r="V44" s="774" t="s">
        <v>17</v>
      </c>
      <c r="W44" s="775">
        <f t="shared" si="14"/>
        <v>100</v>
      </c>
      <c r="X44" s="1815"/>
      <c r="Y44" s="3208"/>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7">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2">
        <f t="shared" si="11"/>
        <v>111</v>
      </c>
      <c r="R47" s="774" t="s">
        <v>17</v>
      </c>
      <c r="S47" s="775">
        <f t="shared" si="12"/>
        <v>100</v>
      </c>
      <c r="T47" s="774" t="s">
        <v>17</v>
      </c>
      <c r="U47" s="775">
        <f t="shared" si="13"/>
        <v>100</v>
      </c>
      <c r="V47" s="774" t="s">
        <v>17</v>
      </c>
      <c r="W47" s="775">
        <f t="shared" si="14"/>
        <v>100</v>
      </c>
      <c r="X47" s="1815"/>
      <c r="Y47" s="3209"/>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92.57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204"/>
      <c r="Q24" s="1812"/>
      <c r="R24" s="774"/>
      <c r="S24" s="775"/>
      <c r="T24" s="774"/>
      <c r="U24" s="775"/>
      <c r="V24" s="774"/>
      <c r="W24" s="775"/>
      <c r="X24" s="1815"/>
      <c r="Y24" s="320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2">
        <f>B25</f>
        <v>111</v>
      </c>
      <c r="R25" s="774" t="s">
        <v>17</v>
      </c>
      <c r="S25" s="775">
        <f>F25</f>
        <v>100</v>
      </c>
      <c r="T25" s="774" t="s">
        <v>17</v>
      </c>
      <c r="U25" s="775">
        <f>H25</f>
        <v>100</v>
      </c>
      <c r="V25" s="774" t="s">
        <v>17</v>
      </c>
      <c r="W25" s="775">
        <f>J25</f>
        <v>100</v>
      </c>
      <c r="X25" s="1815"/>
      <c r="Y25" s="320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2">
        <f t="shared" ref="Q26:Q40" si="11">B26</f>
        <v>111</v>
      </c>
      <c r="R26" s="774" t="s">
        <v>17</v>
      </c>
      <c r="S26" s="775">
        <f>F26</f>
        <v>100</v>
      </c>
      <c r="T26" s="774" t="s">
        <v>17</v>
      </c>
      <c r="U26" s="775">
        <f>H26</f>
        <v>100</v>
      </c>
      <c r="V26" s="774" t="s">
        <v>17</v>
      </c>
      <c r="W26" s="775">
        <f>J26</f>
        <v>100</v>
      </c>
      <c r="X26" s="1815"/>
      <c r="Y26" s="320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7">
        <f t="shared" si="11"/>
        <v>111</v>
      </c>
      <c r="R27" s="770" t="s">
        <v>17</v>
      </c>
      <c r="S27" s="771">
        <f>F27</f>
        <v>100</v>
      </c>
      <c r="T27" s="770" t="s">
        <v>17</v>
      </c>
      <c r="U27" s="771">
        <f>H27</f>
        <v>100</v>
      </c>
      <c r="V27" s="770" t="s">
        <v>17</v>
      </c>
      <c r="W27" s="771">
        <f>J27</f>
        <v>100</v>
      </c>
      <c r="X27" s="772"/>
      <c r="Y27" s="320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2">
        <f t="shared" si="11"/>
        <v>111</v>
      </c>
      <c r="R28" s="774" t="s">
        <v>17</v>
      </c>
      <c r="S28" s="775">
        <f t="shared" ref="S28:S40" si="12">F28</f>
        <v>100</v>
      </c>
      <c r="T28" s="774" t="s">
        <v>17</v>
      </c>
      <c r="U28" s="775">
        <f t="shared" ref="U28:U40" si="13">H28</f>
        <v>100</v>
      </c>
      <c r="V28" s="774" t="s">
        <v>17</v>
      </c>
      <c r="W28" s="775">
        <f t="shared" ref="W28:W40" si="14">J28</f>
        <v>100</v>
      </c>
      <c r="X28" s="1815"/>
      <c r="Y28" s="3204"/>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2" t="s">
        <v>2553</v>
      </c>
      <c r="Q29" s="1812" t="str">
        <f t="shared" si="11"/>
        <v>建筑类型</v>
      </c>
      <c r="R29" s="774" t="s">
        <v>17</v>
      </c>
      <c r="S29" s="775">
        <f t="shared" si="12"/>
        <v>100</v>
      </c>
      <c r="T29" s="774" t="s">
        <v>17</v>
      </c>
      <c r="U29" s="775">
        <f t="shared" si="13"/>
        <v>100</v>
      </c>
      <c r="V29" s="774" t="s">
        <v>17</v>
      </c>
      <c r="W29" s="775">
        <f t="shared" si="14"/>
        <v>100</v>
      </c>
      <c r="X29" s="1815"/>
      <c r="Y29" s="320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2" t="str">
        <f t="shared" si="11"/>
        <v>建筑结构</v>
      </c>
      <c r="R31" s="774" t="s">
        <v>17</v>
      </c>
      <c r="S31" s="775">
        <f t="shared" si="12"/>
        <v>100</v>
      </c>
      <c r="T31" s="774" t="s">
        <v>17</v>
      </c>
      <c r="U31" s="775">
        <f t="shared" si="13"/>
        <v>100</v>
      </c>
      <c r="V31" s="774" t="s">
        <v>17</v>
      </c>
      <c r="W31" s="775">
        <f t="shared" si="14"/>
        <v>100</v>
      </c>
      <c r="X31" s="1815"/>
      <c r="Y31" s="320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2" t="str">
        <f t="shared" si="11"/>
        <v>公共部分装修</v>
      </c>
      <c r="R32" s="774" t="s">
        <v>17</v>
      </c>
      <c r="S32" s="775">
        <f t="shared" si="12"/>
        <v>100</v>
      </c>
      <c r="T32" s="774" t="s">
        <v>17</v>
      </c>
      <c r="U32" s="775">
        <f t="shared" si="13"/>
        <v>100</v>
      </c>
      <c r="V32" s="774" t="s">
        <v>17</v>
      </c>
      <c r="W32" s="775">
        <f t="shared" si="14"/>
        <v>100</v>
      </c>
      <c r="X32" s="1815"/>
      <c r="Y32" s="320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2" t="str">
        <f t="shared" si="11"/>
        <v>成新度</v>
      </c>
      <c r="R33" s="774" t="s">
        <v>17</v>
      </c>
      <c r="S33" s="775" t="e">
        <f t="shared" si="12"/>
        <v>#N/A</v>
      </c>
      <c r="T33" s="774" t="s">
        <v>17</v>
      </c>
      <c r="U33" s="775" t="e">
        <f t="shared" si="13"/>
        <v>#N/A</v>
      </c>
      <c r="V33" s="774" t="s">
        <v>17</v>
      </c>
      <c r="W33" s="775" t="e">
        <f t="shared" si="14"/>
        <v>#N/A</v>
      </c>
      <c r="X33" s="1815"/>
      <c r="Y33" s="320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7"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2553</v>
      </c>
      <c r="Q35" s="1812" t="str">
        <f t="shared" si="11"/>
        <v>市政基础设施</v>
      </c>
      <c r="R35" s="774" t="s">
        <v>17</v>
      </c>
      <c r="S35" s="775">
        <f t="shared" si="12"/>
        <v>100</v>
      </c>
      <c r="T35" s="774" t="s">
        <v>17</v>
      </c>
      <c r="U35" s="775">
        <f t="shared" si="13"/>
        <v>100</v>
      </c>
      <c r="V35" s="774" t="s">
        <v>17</v>
      </c>
      <c r="W35" s="775">
        <f t="shared" si="14"/>
        <v>100</v>
      </c>
      <c r="X35" s="1815"/>
      <c r="Y35" s="320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2" t="str">
        <f t="shared" si="11"/>
        <v>内部装修</v>
      </c>
      <c r="R36" s="774" t="s">
        <v>17</v>
      </c>
      <c r="S36" s="775">
        <f t="shared" si="12"/>
        <v>100</v>
      </c>
      <c r="T36" s="774" t="s">
        <v>17</v>
      </c>
      <c r="U36" s="775">
        <f t="shared" si="13"/>
        <v>100</v>
      </c>
      <c r="V36" s="774" t="s">
        <v>17</v>
      </c>
      <c r="W36" s="775">
        <f t="shared" si="14"/>
        <v>100</v>
      </c>
      <c r="X36" s="1815"/>
      <c r="Y36" s="320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2" t="str">
        <f t="shared" si="11"/>
        <v>内部装修状况</v>
      </c>
      <c r="R37" s="774" t="s">
        <v>17</v>
      </c>
      <c r="S37" s="775">
        <f t="shared" si="12"/>
        <v>100</v>
      </c>
      <c r="T37" s="774" t="s">
        <v>17</v>
      </c>
      <c r="U37" s="775">
        <f t="shared" si="13"/>
        <v>100</v>
      </c>
      <c r="V37" s="774" t="s">
        <v>17</v>
      </c>
      <c r="W37" s="775">
        <f t="shared" si="14"/>
        <v>100</v>
      </c>
      <c r="X37" s="1815"/>
      <c r="Y37" s="320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2">
        <f t="shared" si="11"/>
        <v>111</v>
      </c>
      <c r="R39" s="774" t="s">
        <v>17</v>
      </c>
      <c r="S39" s="775">
        <f t="shared" si="12"/>
        <v>100</v>
      </c>
      <c r="T39" s="774" t="s">
        <v>17</v>
      </c>
      <c r="U39" s="775">
        <f t="shared" si="13"/>
        <v>100</v>
      </c>
      <c r="V39" s="774" t="s">
        <v>17</v>
      </c>
      <c r="W39" s="775">
        <f t="shared" si="14"/>
        <v>100</v>
      </c>
      <c r="X39" s="1815"/>
      <c r="Y39" s="320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2">
        <f t="shared" si="11"/>
        <v>111</v>
      </c>
      <c r="R40" s="774" t="s">
        <v>17</v>
      </c>
      <c r="S40" s="775">
        <f t="shared" si="12"/>
        <v>100</v>
      </c>
      <c r="T40" s="774" t="s">
        <v>17</v>
      </c>
      <c r="U40" s="775">
        <f t="shared" si="13"/>
        <v>100</v>
      </c>
      <c r="V40" s="774" t="s">
        <v>17</v>
      </c>
      <c r="W40" s="775">
        <f t="shared" si="14"/>
        <v>100</v>
      </c>
      <c r="X40" s="1815"/>
      <c r="Y40" s="3209"/>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92.57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92.57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4"/>
      <c r="Q15" s="1812"/>
      <c r="R15" s="774"/>
      <c r="S15" s="775"/>
      <c r="T15" s="774"/>
      <c r="U15" s="775"/>
      <c r="V15" s="774"/>
      <c r="W15" s="775"/>
      <c r="X15" s="1815"/>
      <c r="Y15" s="3204"/>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204"/>
      <c r="Q17" s="1812"/>
      <c r="R17" s="774"/>
      <c r="S17" s="775"/>
      <c r="T17" s="774"/>
      <c r="U17" s="775"/>
      <c r="V17" s="774"/>
      <c r="W17" s="775"/>
      <c r="X17" s="1815"/>
      <c r="Y17" s="3204"/>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204"/>
      <c r="Q19" s="1812"/>
      <c r="R19" s="774"/>
      <c r="S19" s="775"/>
      <c r="T19" s="774"/>
      <c r="U19" s="775"/>
      <c r="V19" s="774"/>
      <c r="W19" s="775"/>
      <c r="X19" s="1815"/>
      <c r="Y19" s="3204"/>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4"/>
      <c r="Q21" s="1812"/>
      <c r="R21" s="774"/>
      <c r="S21" s="775"/>
      <c r="T21" s="774"/>
      <c r="U21" s="775"/>
      <c r="V21" s="774"/>
      <c r="W21" s="775"/>
      <c r="X21" s="1815"/>
      <c r="Y21" s="320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2">
        <f t="shared" ref="Q24:Q36"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2" t="str">
        <f t="shared" si="11"/>
        <v>公共部分装修</v>
      </c>
      <c r="R28" s="774" t="s">
        <v>17</v>
      </c>
      <c r="S28" s="775">
        <f t="shared" si="12"/>
        <v>100</v>
      </c>
      <c r="T28" s="774" t="s">
        <v>17</v>
      </c>
      <c r="U28" s="775">
        <f t="shared" si="13"/>
        <v>100</v>
      </c>
      <c r="V28" s="774" t="s">
        <v>17</v>
      </c>
      <c r="W28" s="775">
        <f t="shared" si="14"/>
        <v>100</v>
      </c>
      <c r="X28" s="1815"/>
      <c r="Y28" s="320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2" t="str">
        <f t="shared" si="11"/>
        <v>成新率</v>
      </c>
      <c r="R29" s="774" t="s">
        <v>17</v>
      </c>
      <c r="S29" s="775" t="e">
        <f t="shared" si="12"/>
        <v>#N/A</v>
      </c>
      <c r="T29" s="774" t="s">
        <v>17</v>
      </c>
      <c r="U29" s="775" t="e">
        <f t="shared" si="13"/>
        <v>#N/A</v>
      </c>
      <c r="V29" s="774" t="s">
        <v>17</v>
      </c>
      <c r="W29" s="775" t="e">
        <f t="shared" si="14"/>
        <v>#N/A</v>
      </c>
      <c r="X29" s="1815"/>
      <c r="Y29" s="320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2" t="str">
        <f t="shared" si="11"/>
        <v>物业等级</v>
      </c>
      <c r="R30" s="774" t="s">
        <v>17</v>
      </c>
      <c r="S30" s="775">
        <f t="shared" si="12"/>
        <v>100</v>
      </c>
      <c r="T30" s="774" t="s">
        <v>17</v>
      </c>
      <c r="U30" s="775">
        <f t="shared" si="13"/>
        <v>100</v>
      </c>
      <c r="V30" s="774" t="s">
        <v>17</v>
      </c>
      <c r="W30" s="775">
        <f t="shared" si="14"/>
        <v>100</v>
      </c>
      <c r="X30" s="1815"/>
      <c r="Y30" s="320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7"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2553</v>
      </c>
      <c r="Q32" s="1812" t="str">
        <f t="shared" si="11"/>
        <v>车位类型</v>
      </c>
      <c r="R32" s="774" t="s">
        <v>17</v>
      </c>
      <c r="S32" s="775">
        <f t="shared" si="12"/>
        <v>100</v>
      </c>
      <c r="T32" s="774" t="s">
        <v>17</v>
      </c>
      <c r="U32" s="775">
        <f t="shared" si="13"/>
        <v>100</v>
      </c>
      <c r="V32" s="774" t="s">
        <v>17</v>
      </c>
      <c r="W32" s="775">
        <f t="shared" si="14"/>
        <v>100</v>
      </c>
      <c r="X32" s="1815"/>
      <c r="Y32" s="320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2" t="str">
        <f t="shared" si="11"/>
        <v>是否直接入户</v>
      </c>
      <c r="R33" s="774" t="s">
        <v>17</v>
      </c>
      <c r="S33" s="775">
        <f t="shared" si="12"/>
        <v>100</v>
      </c>
      <c r="T33" s="774" t="s">
        <v>17</v>
      </c>
      <c r="U33" s="775">
        <f t="shared" si="13"/>
        <v>100</v>
      </c>
      <c r="V33" s="774" t="s">
        <v>17</v>
      </c>
      <c r="W33" s="775">
        <f t="shared" si="14"/>
        <v>100</v>
      </c>
      <c r="X33" s="1815"/>
      <c r="Y33" s="320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2">
        <f t="shared" si="11"/>
        <v>111</v>
      </c>
      <c r="R36" s="774" t="s">
        <v>17</v>
      </c>
      <c r="S36" s="775">
        <f t="shared" si="12"/>
        <v>100</v>
      </c>
      <c r="T36" s="774" t="s">
        <v>17</v>
      </c>
      <c r="U36" s="775">
        <f t="shared" si="13"/>
        <v>100</v>
      </c>
      <c r="V36" s="774" t="s">
        <v>17</v>
      </c>
      <c r="W36" s="775">
        <f t="shared" si="14"/>
        <v>100</v>
      </c>
      <c r="X36" s="1815"/>
      <c r="Y36" s="3208"/>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4"/>
      <c r="Q15" s="1812"/>
      <c r="R15" s="774"/>
      <c r="S15" s="775"/>
      <c r="T15" s="774"/>
      <c r="U15" s="775"/>
      <c r="V15" s="774"/>
      <c r="W15" s="775"/>
      <c r="X15" s="1815"/>
      <c r="Y15" s="3204"/>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204"/>
      <c r="Q17" s="1812"/>
      <c r="R17" s="774"/>
      <c r="S17" s="775"/>
      <c r="T17" s="774"/>
      <c r="U17" s="775"/>
      <c r="V17" s="774"/>
      <c r="W17" s="775"/>
      <c r="X17" s="1815"/>
      <c r="Y17" s="3204"/>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204"/>
      <c r="Q19" s="1812"/>
      <c r="R19" s="774"/>
      <c r="S19" s="775"/>
      <c r="T19" s="774"/>
      <c r="U19" s="775"/>
      <c r="V19" s="774"/>
      <c r="W19" s="775"/>
      <c r="X19" s="1815"/>
      <c r="Y19" s="3204"/>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4"/>
      <c r="Q21" s="1812"/>
      <c r="R21" s="774"/>
      <c r="S21" s="775"/>
      <c r="T21" s="774"/>
      <c r="U21" s="775"/>
      <c r="V21" s="774"/>
      <c r="W21" s="775"/>
      <c r="X21" s="1815"/>
      <c r="Y21" s="320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2">
        <f t="shared" ref="Q24:Q34"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2"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2" t="str">
        <f t="shared" si="11"/>
        <v>物业等级</v>
      </c>
      <c r="R28" s="774" t="s">
        <v>17</v>
      </c>
      <c r="S28" s="775">
        <f t="shared" si="12"/>
        <v>100</v>
      </c>
      <c r="T28" s="774" t="s">
        <v>17</v>
      </c>
      <c r="U28" s="775">
        <f t="shared" si="13"/>
        <v>100</v>
      </c>
      <c r="V28" s="774" t="s">
        <v>17</v>
      </c>
      <c r="W28" s="775">
        <f t="shared" si="14"/>
        <v>100</v>
      </c>
      <c r="X28" s="1815"/>
      <c r="Y28" s="320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2" t="str">
        <f t="shared" si="11"/>
        <v>有无电梯</v>
      </c>
      <c r="R29" s="774" t="s">
        <v>17</v>
      </c>
      <c r="S29" s="775">
        <f t="shared" si="12"/>
        <v>100</v>
      </c>
      <c r="T29" s="774" t="s">
        <v>17</v>
      </c>
      <c r="U29" s="775">
        <f t="shared" si="13"/>
        <v>100</v>
      </c>
      <c r="V29" s="774" t="s">
        <v>17</v>
      </c>
      <c r="W29" s="775">
        <f t="shared" si="14"/>
        <v>100</v>
      </c>
      <c r="X29" s="1815"/>
      <c r="Y29" s="320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2" t="str">
        <f t="shared" si="11"/>
        <v>建筑面积</v>
      </c>
      <c r="R30" s="774" t="s">
        <v>17</v>
      </c>
      <c r="S30" s="775" t="e">
        <f t="shared" si="12"/>
        <v>#N/A</v>
      </c>
      <c r="T30" s="774" t="s">
        <v>17</v>
      </c>
      <c r="U30" s="775" t="e">
        <f t="shared" si="13"/>
        <v>#N/A</v>
      </c>
      <c r="V30" s="774" t="s">
        <v>17</v>
      </c>
      <c r="W30" s="775" t="e">
        <f t="shared" si="14"/>
        <v>#N/A</v>
      </c>
      <c r="X30" s="1815"/>
      <c r="Y30" s="320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7"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2553</v>
      </c>
      <c r="Q32" s="1812">
        <f t="shared" si="11"/>
        <v>111</v>
      </c>
      <c r="R32" s="774" t="s">
        <v>17</v>
      </c>
      <c r="S32" s="775">
        <f t="shared" si="12"/>
        <v>100</v>
      </c>
      <c r="T32" s="774" t="s">
        <v>17</v>
      </c>
      <c r="U32" s="775">
        <f t="shared" si="13"/>
        <v>100</v>
      </c>
      <c r="V32" s="774" t="s">
        <v>17</v>
      </c>
      <c r="W32" s="775">
        <f t="shared" si="14"/>
        <v>100</v>
      </c>
      <c r="X32" s="1815"/>
      <c r="Y32" s="3208"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2">
        <f t="shared" si="11"/>
        <v>111</v>
      </c>
      <c r="R33" s="774" t="s">
        <v>17</v>
      </c>
      <c r="S33" s="775">
        <f t="shared" si="12"/>
        <v>100</v>
      </c>
      <c r="T33" s="774" t="s">
        <v>17</v>
      </c>
      <c r="U33" s="775">
        <f t="shared" si="13"/>
        <v>100</v>
      </c>
      <c r="V33" s="774" t="s">
        <v>17</v>
      </c>
      <c r="W33" s="775">
        <f t="shared" si="14"/>
        <v>100</v>
      </c>
      <c r="X33" s="1815"/>
      <c r="Y33" s="3208"/>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30"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30"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2548</v>
      </c>
      <c r="Q15" s="1812" t="str">
        <f t="shared" si="6"/>
        <v>居住社区成熟度</v>
      </c>
      <c r="R15" s="774" t="s">
        <v>17</v>
      </c>
      <c r="S15" s="775">
        <f t="shared" si="0"/>
        <v>100</v>
      </c>
      <c r="T15" s="774" t="s">
        <v>17</v>
      </c>
      <c r="U15" s="775">
        <f t="shared" si="1"/>
        <v>100</v>
      </c>
      <c r="V15" s="774" t="s">
        <v>17</v>
      </c>
      <c r="W15" s="775">
        <f t="shared" si="2"/>
        <v>100</v>
      </c>
      <c r="X15" s="1815"/>
      <c r="Y15" s="3203"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2" t="str">
        <f>B17</f>
        <v>商业繁华度</v>
      </c>
      <c r="R17" s="774" t="s">
        <v>17</v>
      </c>
      <c r="S17" s="775">
        <f>F17</f>
        <v>100</v>
      </c>
      <c r="T17" s="774" t="s">
        <v>17</v>
      </c>
      <c r="U17" s="775">
        <f>H17</f>
        <v>100</v>
      </c>
      <c r="V17" s="774" t="s">
        <v>17</v>
      </c>
      <c r="W17" s="775">
        <f>J17</f>
        <v>100</v>
      </c>
      <c r="X17" s="1815"/>
      <c r="Y17" s="320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2" t="str">
        <f>B19</f>
        <v>办公集聚程度</v>
      </c>
      <c r="R19" s="774" t="s">
        <v>17</v>
      </c>
      <c r="S19" s="775">
        <f>F19</f>
        <v>100</v>
      </c>
      <c r="T19" s="774" t="s">
        <v>17</v>
      </c>
      <c r="U19" s="775">
        <f>H19</f>
        <v>100</v>
      </c>
      <c r="V19" s="774" t="s">
        <v>17</v>
      </c>
      <c r="W19" s="775">
        <f>J19</f>
        <v>100</v>
      </c>
      <c r="X19" s="1815"/>
      <c r="Y19" s="320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2" t="str">
        <f>B21</f>
        <v>交通便捷度</v>
      </c>
      <c r="R21" s="774" t="s">
        <v>17</v>
      </c>
      <c r="S21" s="775">
        <f>F21</f>
        <v>100</v>
      </c>
      <c r="T21" s="774" t="s">
        <v>17</v>
      </c>
      <c r="U21" s="775">
        <f>H21</f>
        <v>100</v>
      </c>
      <c r="V21" s="774" t="s">
        <v>17</v>
      </c>
      <c r="W21" s="775">
        <f>J21</f>
        <v>100</v>
      </c>
      <c r="X21" s="1815"/>
      <c r="Y21" s="3204"/>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2" t="str">
        <f t="shared" ref="Q23:Q37" si="8">B23</f>
        <v>区域土地利用方向</v>
      </c>
      <c r="R23" s="774" t="s">
        <v>17</v>
      </c>
      <c r="S23" s="775">
        <f>F23</f>
        <v>100</v>
      </c>
      <c r="T23" s="774" t="s">
        <v>17</v>
      </c>
      <c r="U23" s="775">
        <f>H23</f>
        <v>100</v>
      </c>
      <c r="V23" s="774" t="s">
        <v>17</v>
      </c>
      <c r="W23" s="775">
        <f>J23</f>
        <v>100</v>
      </c>
      <c r="X23" s="1815"/>
      <c r="Y23" s="320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204"/>
      <c r="Q24" s="1812"/>
      <c r="R24" s="774"/>
      <c r="S24" s="775"/>
      <c r="T24" s="774"/>
      <c r="U24" s="775"/>
      <c r="V24" s="774"/>
      <c r="W24" s="775"/>
      <c r="X24" s="1815"/>
      <c r="Y24" s="3204"/>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2" t="str">
        <f t="shared" si="8"/>
        <v>自然及人文环境状况</v>
      </c>
      <c r="R25" s="774" t="s">
        <v>17</v>
      </c>
      <c r="S25" s="775">
        <f>F25</f>
        <v>100</v>
      </c>
      <c r="T25" s="774" t="s">
        <v>17</v>
      </c>
      <c r="U25" s="775">
        <f>H25</f>
        <v>100</v>
      </c>
      <c r="V25" s="774" t="s">
        <v>17</v>
      </c>
      <c r="W25" s="775">
        <f>J25</f>
        <v>100</v>
      </c>
      <c r="X25" s="1815"/>
      <c r="Y25" s="320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204"/>
      <c r="Q26" s="1812"/>
      <c r="R26" s="774"/>
      <c r="S26" s="775"/>
      <c r="T26" s="774"/>
      <c r="U26" s="775"/>
      <c r="V26" s="774"/>
      <c r="W26" s="775"/>
      <c r="X26" s="1815"/>
      <c r="Y26" s="3204"/>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7" t="str">
        <f t="shared" si="8"/>
        <v>公共配套设施</v>
      </c>
      <c r="R27" s="770" t="s">
        <v>17</v>
      </c>
      <c r="S27" s="771">
        <f>F27</f>
        <v>100</v>
      </c>
      <c r="T27" s="770" t="s">
        <v>17</v>
      </c>
      <c r="U27" s="771">
        <f>H27</f>
        <v>100</v>
      </c>
      <c r="V27" s="770" t="s">
        <v>17</v>
      </c>
      <c r="W27" s="771">
        <f>J27</f>
        <v>100</v>
      </c>
      <c r="X27" s="772"/>
      <c r="Y27" s="3204"/>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204"/>
      <c r="Q28" s="1797"/>
      <c r="R28" s="770"/>
      <c r="S28" s="771"/>
      <c r="T28" s="770"/>
      <c r="U28" s="771"/>
      <c r="V28" s="770"/>
      <c r="W28" s="771"/>
      <c r="X28" s="772"/>
      <c r="Y28" s="3204"/>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7"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204"/>
      <c r="Q30" s="1797"/>
      <c r="R30" s="770"/>
      <c r="S30" s="771"/>
      <c r="T30" s="770"/>
      <c r="U30" s="771"/>
      <c r="V30" s="770"/>
      <c r="W30" s="771"/>
      <c r="X30" s="772"/>
      <c r="Y30" s="320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4"/>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2" t="str">
        <f t="shared" si="8"/>
        <v>毗邻道路的类型与等级</v>
      </c>
      <c r="R32" s="774" t="s">
        <v>17</v>
      </c>
      <c r="S32" s="775">
        <f t="shared" si="10"/>
        <v>100</v>
      </c>
      <c r="T32" s="774" t="s">
        <v>17</v>
      </c>
      <c r="U32" s="775">
        <f t="shared" si="11"/>
        <v>100</v>
      </c>
      <c r="V32" s="774" t="s">
        <v>17</v>
      </c>
      <c r="W32" s="775">
        <f t="shared" si="12"/>
        <v>100</v>
      </c>
      <c r="X32" s="1815"/>
      <c r="Y32" s="320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204"/>
      <c r="Q33" s="1812"/>
      <c r="R33" s="774"/>
      <c r="S33" s="775"/>
      <c r="T33" s="774"/>
      <c r="U33" s="775"/>
      <c r="V33" s="774"/>
      <c r="W33" s="775"/>
      <c r="X33" s="1815"/>
      <c r="Y33" s="320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2" t="str">
        <f t="shared" si="8"/>
        <v>土地级别</v>
      </c>
      <c r="R34" s="774" t="s">
        <v>17</v>
      </c>
      <c r="S34" s="775">
        <f t="shared" si="10"/>
        <v>100</v>
      </c>
      <c r="T34" s="774" t="s">
        <v>17</v>
      </c>
      <c r="U34" s="775">
        <f t="shared" si="11"/>
        <v>100</v>
      </c>
      <c r="V34" s="774" t="s">
        <v>17</v>
      </c>
      <c r="W34" s="775">
        <f t="shared" si="12"/>
        <v>100</v>
      </c>
      <c r="X34" s="1815"/>
      <c r="Y34" s="320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2">
        <f t="shared" si="8"/>
        <v>111</v>
      </c>
      <c r="R35" s="774" t="s">
        <v>17</v>
      </c>
      <c r="S35" s="775">
        <f t="shared" si="10"/>
        <v>100</v>
      </c>
      <c r="T35" s="774" t="s">
        <v>17</v>
      </c>
      <c r="U35" s="775">
        <f t="shared" si="11"/>
        <v>100</v>
      </c>
      <c r="V35" s="774" t="s">
        <v>17</v>
      </c>
      <c r="W35" s="775">
        <f t="shared" si="12"/>
        <v>100</v>
      </c>
      <c r="X35" s="1815"/>
      <c r="Y35" s="320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2553</v>
      </c>
      <c r="Q36" s="1812">
        <f t="shared" si="8"/>
        <v>111</v>
      </c>
      <c r="R36" s="774" t="s">
        <v>17</v>
      </c>
      <c r="S36" s="775">
        <f t="shared" si="10"/>
        <v>100</v>
      </c>
      <c r="T36" s="774" t="s">
        <v>17</v>
      </c>
      <c r="U36" s="775">
        <f t="shared" si="11"/>
        <v>100</v>
      </c>
      <c r="V36" s="774" t="s">
        <v>17</v>
      </c>
      <c r="W36" s="775">
        <f t="shared" si="12"/>
        <v>100</v>
      </c>
      <c r="X36" s="1815"/>
      <c r="Y36" s="3208"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2">
        <f t="shared" si="8"/>
        <v>111</v>
      </c>
      <c r="R37" s="777" t="s">
        <v>17</v>
      </c>
      <c r="S37" s="778">
        <f t="shared" si="10"/>
        <v>100</v>
      </c>
      <c r="T37" s="777" t="s">
        <v>17</v>
      </c>
      <c r="U37" s="778">
        <f t="shared" si="11"/>
        <v>100</v>
      </c>
      <c r="V37" s="777" t="s">
        <v>17</v>
      </c>
      <c r="W37" s="778">
        <f t="shared" si="12"/>
        <v>100</v>
      </c>
      <c r="X37" s="779"/>
      <c r="Y37" s="320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2" t="str">
        <f>B38</f>
        <v>宗地面积</v>
      </c>
      <c r="R38" s="774" t="s">
        <v>17</v>
      </c>
      <c r="S38" s="775" t="e">
        <f t="shared" si="10"/>
        <v>#N/A</v>
      </c>
      <c r="T38" s="774" t="s">
        <v>17</v>
      </c>
      <c r="U38" s="775" t="e">
        <f t="shared" si="11"/>
        <v>#N/A</v>
      </c>
      <c r="V38" s="774" t="s">
        <v>17</v>
      </c>
      <c r="W38" s="775" t="e">
        <f t="shared" si="12"/>
        <v>#N/A</v>
      </c>
      <c r="X38" s="1815"/>
      <c r="Y38" s="3208"/>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8"/>
      <c r="Q39" s="1812" t="str">
        <f t="shared" ref="Q39:Q45" si="14">B39</f>
        <v>宗地形状</v>
      </c>
      <c r="R39" s="774" t="s">
        <v>17</v>
      </c>
      <c r="S39" s="775">
        <f t="shared" si="10"/>
        <v>100</v>
      </c>
      <c r="T39" s="774" t="s">
        <v>17</v>
      </c>
      <c r="U39" s="775">
        <f t="shared" si="11"/>
        <v>100</v>
      </c>
      <c r="V39" s="774" t="s">
        <v>17</v>
      </c>
      <c r="W39" s="775">
        <f t="shared" si="12"/>
        <v>100</v>
      </c>
      <c r="X39" s="1815"/>
      <c r="Y39" s="3208"/>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8"/>
      <c r="Q40" s="1812" t="str">
        <f t="shared" si="14"/>
        <v>临街宽度及深度</v>
      </c>
      <c r="R40" s="774" t="s">
        <v>17</v>
      </c>
      <c r="S40" s="775">
        <f t="shared" si="10"/>
        <v>100</v>
      </c>
      <c r="T40" s="774" t="s">
        <v>17</v>
      </c>
      <c r="U40" s="775">
        <f t="shared" si="11"/>
        <v>100</v>
      </c>
      <c r="V40" s="774" t="s">
        <v>17</v>
      </c>
      <c r="W40" s="775">
        <f t="shared" si="12"/>
        <v>100</v>
      </c>
      <c r="X40" s="1815"/>
      <c r="Y40" s="3208"/>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08"/>
      <c r="Q41" s="1812"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8" t="s">
        <v>2553</v>
      </c>
      <c r="Q42" s="1812" t="str">
        <f t="shared" si="14"/>
        <v>工程地质条件</v>
      </c>
      <c r="R42" s="774" t="s">
        <v>17</v>
      </c>
      <c r="S42" s="775">
        <f t="shared" si="10"/>
        <v>100</v>
      </c>
      <c r="T42" s="774" t="s">
        <v>17</v>
      </c>
      <c r="U42" s="775">
        <f t="shared" si="11"/>
        <v>100</v>
      </c>
      <c r="V42" s="774" t="s">
        <v>17</v>
      </c>
      <c r="W42" s="775">
        <f t="shared" si="12"/>
        <v>100</v>
      </c>
      <c r="X42" s="1815"/>
      <c r="Y42" s="3208"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2">
        <f t="shared" si="14"/>
        <v>111</v>
      </c>
      <c r="R43" s="774" t="s">
        <v>17</v>
      </c>
      <c r="S43" s="775">
        <f t="shared" si="10"/>
        <v>100</v>
      </c>
      <c r="T43" s="774" t="s">
        <v>17</v>
      </c>
      <c r="U43" s="775">
        <f t="shared" si="11"/>
        <v>100</v>
      </c>
      <c r="V43" s="774" t="s">
        <v>17</v>
      </c>
      <c r="W43" s="775">
        <f t="shared" si="12"/>
        <v>100</v>
      </c>
      <c r="X43" s="1815"/>
      <c r="Y43" s="320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2">
        <f t="shared" si="14"/>
        <v>111</v>
      </c>
      <c r="R44" s="774" t="s">
        <v>17</v>
      </c>
      <c r="S44" s="775">
        <f t="shared" si="10"/>
        <v>100</v>
      </c>
      <c r="T44" s="774" t="s">
        <v>17</v>
      </c>
      <c r="U44" s="775">
        <f t="shared" si="11"/>
        <v>100</v>
      </c>
      <c r="V44" s="774" t="s">
        <v>17</v>
      </c>
      <c r="W44" s="775">
        <f t="shared" si="12"/>
        <v>100</v>
      </c>
      <c r="X44" s="1815"/>
      <c r="Y44" s="3208"/>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2">
        <f t="shared" si="14"/>
        <v>111</v>
      </c>
      <c r="R45" s="777" t="s">
        <v>17</v>
      </c>
      <c r="S45" s="778">
        <f t="shared" si="10"/>
        <v>100</v>
      </c>
      <c r="T45" s="777" t="s">
        <v>17</v>
      </c>
      <c r="U45" s="778">
        <f t="shared" si="11"/>
        <v>100</v>
      </c>
      <c r="V45" s="777" t="s">
        <v>17</v>
      </c>
      <c r="W45" s="778">
        <f t="shared" si="12"/>
        <v>100</v>
      </c>
      <c r="X45" s="779"/>
      <c r="Y45" s="3208"/>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201" t="str">
        <f>A46</f>
        <v>成交单价</v>
      </c>
      <c r="Q46" s="3201"/>
      <c r="R46" s="3196">
        <f>E46</f>
        <v>0</v>
      </c>
      <c r="S46" s="3196"/>
      <c r="T46" s="3196">
        <f>G46</f>
        <v>0</v>
      </c>
      <c r="U46" s="3196"/>
      <c r="V46" s="3196">
        <f>I46</f>
        <v>0</v>
      </c>
      <c r="W46" s="3196"/>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01" t="str">
        <f>A47</f>
        <v>比较价值（元/平方米）</v>
      </c>
      <c r="Q47" s="3201"/>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4" t="s">
        <v>2752</v>
      </c>
      <c r="H55" s="3255"/>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92.57</v>
      </c>
      <c r="F56" s="1106" t="e">
        <f t="shared" ref="F56:F65" si="15">ROUND(B56*E56/10000,0)</f>
        <v>#DIV/0!</v>
      </c>
      <c r="G56" s="3183"/>
      <c r="H56" s="320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92.57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257" t="s">
        <v>2785</v>
      </c>
      <c r="D6" s="3258"/>
      <c r="E6" s="3259" t="s">
        <v>2785</v>
      </c>
      <c r="F6" s="3260"/>
      <c r="G6" s="3257" t="s">
        <v>2785</v>
      </c>
      <c r="H6" s="3258"/>
      <c r="I6" s="3257" t="s">
        <v>2785</v>
      </c>
      <c r="J6" s="3258"/>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2" t="str">
        <f t="shared" ref="Q19:Q33" si="8">B19</f>
        <v>区域土地利用方向</v>
      </c>
      <c r="R19" s="774" t="s">
        <v>17</v>
      </c>
      <c r="S19" s="775">
        <f>F19</f>
        <v>100</v>
      </c>
      <c r="T19" s="774" t="s">
        <v>17</v>
      </c>
      <c r="U19" s="775">
        <f>H19</f>
        <v>100</v>
      </c>
      <c r="V19" s="774" t="s">
        <v>17</v>
      </c>
      <c r="W19" s="775">
        <f>J19</f>
        <v>100</v>
      </c>
      <c r="X19" s="1815"/>
      <c r="Y19" s="320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204"/>
      <c r="Q20" s="1812"/>
      <c r="R20" s="774"/>
      <c r="S20" s="775"/>
      <c r="T20" s="774"/>
      <c r="U20" s="775"/>
      <c r="V20" s="774"/>
      <c r="W20" s="775"/>
      <c r="X20" s="1815"/>
      <c r="Y20" s="3204"/>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2" t="str">
        <f t="shared" si="8"/>
        <v>环境状况</v>
      </c>
      <c r="R21" s="774" t="s">
        <v>17</v>
      </c>
      <c r="S21" s="775">
        <f>F21</f>
        <v>100</v>
      </c>
      <c r="T21" s="774" t="s">
        <v>17</v>
      </c>
      <c r="U21" s="775">
        <f>H21</f>
        <v>100</v>
      </c>
      <c r="V21" s="774" t="s">
        <v>17</v>
      </c>
      <c r="W21" s="775">
        <f>J21</f>
        <v>100</v>
      </c>
      <c r="X21" s="1815"/>
      <c r="Y21" s="320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7" t="str">
        <f t="shared" si="8"/>
        <v>公共配套设施</v>
      </c>
      <c r="R23" s="770" t="s">
        <v>17</v>
      </c>
      <c r="S23" s="771">
        <f>F23</f>
        <v>100</v>
      </c>
      <c r="T23" s="770" t="s">
        <v>17</v>
      </c>
      <c r="U23" s="771">
        <f>H23</f>
        <v>100</v>
      </c>
      <c r="V23" s="770" t="s">
        <v>17</v>
      </c>
      <c r="W23" s="771">
        <f>J23</f>
        <v>100</v>
      </c>
      <c r="X23" s="772"/>
      <c r="Y23" s="3204"/>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204"/>
      <c r="Q24" s="1797"/>
      <c r="R24" s="770"/>
      <c r="S24" s="771"/>
      <c r="T24" s="770"/>
      <c r="U24" s="771"/>
      <c r="V24" s="770"/>
      <c r="W24" s="771"/>
      <c r="X24" s="772"/>
      <c r="Y24" s="3204"/>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7"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204"/>
      <c r="Q26" s="1797"/>
      <c r="R26" s="770"/>
      <c r="S26" s="771"/>
      <c r="T26" s="770"/>
      <c r="U26" s="771"/>
      <c r="V26" s="770"/>
      <c r="W26" s="771"/>
      <c r="X26" s="772"/>
      <c r="Y26" s="320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4"/>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2" t="str">
        <f t="shared" si="8"/>
        <v>毗邻道路的类型与等级</v>
      </c>
      <c r="R28" s="774" t="s">
        <v>17</v>
      </c>
      <c r="S28" s="775">
        <f t="shared" si="10"/>
        <v>100</v>
      </c>
      <c r="T28" s="774" t="s">
        <v>17</v>
      </c>
      <c r="U28" s="775">
        <f t="shared" si="11"/>
        <v>100</v>
      </c>
      <c r="V28" s="774" t="s">
        <v>17</v>
      </c>
      <c r="W28" s="775">
        <f t="shared" si="12"/>
        <v>100</v>
      </c>
      <c r="X28" s="1815"/>
      <c r="Y28" s="320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204"/>
      <c r="Q29" s="1812"/>
      <c r="R29" s="774"/>
      <c r="S29" s="775"/>
      <c r="T29" s="774"/>
      <c r="U29" s="775"/>
      <c r="V29" s="774"/>
      <c r="W29" s="775"/>
      <c r="X29" s="1815"/>
      <c r="Y29" s="3204"/>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2" t="str">
        <f t="shared" si="8"/>
        <v>土地级别</v>
      </c>
      <c r="R30" s="774" t="s">
        <v>17</v>
      </c>
      <c r="S30" s="775">
        <f t="shared" si="10"/>
        <v>100</v>
      </c>
      <c r="T30" s="774" t="s">
        <v>17</v>
      </c>
      <c r="U30" s="775">
        <f t="shared" si="11"/>
        <v>100</v>
      </c>
      <c r="V30" s="774" t="s">
        <v>17</v>
      </c>
      <c r="W30" s="775">
        <f t="shared" si="12"/>
        <v>100</v>
      </c>
      <c r="X30" s="1815"/>
      <c r="Y30" s="320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2">
        <f t="shared" si="8"/>
        <v>111</v>
      </c>
      <c r="R31" s="774" t="s">
        <v>17</v>
      </c>
      <c r="S31" s="775">
        <f t="shared" si="10"/>
        <v>100</v>
      </c>
      <c r="T31" s="774" t="s">
        <v>17</v>
      </c>
      <c r="U31" s="775">
        <f t="shared" si="11"/>
        <v>100</v>
      </c>
      <c r="V31" s="774" t="s">
        <v>17</v>
      </c>
      <c r="W31" s="775">
        <f t="shared" si="12"/>
        <v>100</v>
      </c>
      <c r="X31" s="1815"/>
      <c r="Y31" s="320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2553</v>
      </c>
      <c r="Q32" s="1812">
        <f t="shared" si="8"/>
        <v>111</v>
      </c>
      <c r="R32" s="774" t="s">
        <v>17</v>
      </c>
      <c r="S32" s="775">
        <f t="shared" si="10"/>
        <v>100</v>
      </c>
      <c r="T32" s="774" t="s">
        <v>17</v>
      </c>
      <c r="U32" s="775">
        <f t="shared" si="11"/>
        <v>100</v>
      </c>
      <c r="V32" s="774" t="s">
        <v>17</v>
      </c>
      <c r="W32" s="775">
        <f t="shared" si="12"/>
        <v>100</v>
      </c>
      <c r="X32" s="1815"/>
      <c r="Y32" s="3208"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2">
        <f t="shared" si="8"/>
        <v>111</v>
      </c>
      <c r="R33" s="777" t="s">
        <v>17</v>
      </c>
      <c r="S33" s="778">
        <f t="shared" si="10"/>
        <v>100</v>
      </c>
      <c r="T33" s="777" t="s">
        <v>17</v>
      </c>
      <c r="U33" s="778">
        <f t="shared" si="11"/>
        <v>100</v>
      </c>
      <c r="V33" s="777" t="s">
        <v>17</v>
      </c>
      <c r="W33" s="778">
        <f t="shared" si="12"/>
        <v>100</v>
      </c>
      <c r="X33" s="779"/>
      <c r="Y33" s="320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2" t="str">
        <f>B34</f>
        <v>宗地面积</v>
      </c>
      <c r="R34" s="774" t="s">
        <v>17</v>
      </c>
      <c r="S34" s="775" t="e">
        <f t="shared" si="10"/>
        <v>#N/A</v>
      </c>
      <c r="T34" s="774" t="s">
        <v>17</v>
      </c>
      <c r="U34" s="775" t="e">
        <f t="shared" si="11"/>
        <v>#N/A</v>
      </c>
      <c r="V34" s="774" t="s">
        <v>17</v>
      </c>
      <c r="W34" s="775" t="e">
        <f t="shared" si="12"/>
        <v>#N/A</v>
      </c>
      <c r="X34" s="1815"/>
      <c r="Y34" s="3208"/>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8"/>
      <c r="Q35" s="1812" t="str">
        <f t="shared" ref="Q35:Q40" si="14">B35</f>
        <v>宗地形状</v>
      </c>
      <c r="R35" s="774" t="s">
        <v>17</v>
      </c>
      <c r="S35" s="775">
        <f t="shared" si="10"/>
        <v>100</v>
      </c>
      <c r="T35" s="774" t="s">
        <v>17</v>
      </c>
      <c r="U35" s="775">
        <f t="shared" si="11"/>
        <v>100</v>
      </c>
      <c r="V35" s="774" t="s">
        <v>17</v>
      </c>
      <c r="W35" s="775">
        <f t="shared" si="12"/>
        <v>100</v>
      </c>
      <c r="X35" s="1815"/>
      <c r="Y35" s="3208"/>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08"/>
      <c r="Q36" s="1812"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8" t="s">
        <v>2553</v>
      </c>
      <c r="Q37" s="1812" t="str">
        <f t="shared" si="14"/>
        <v>工程地质条件</v>
      </c>
      <c r="R37" s="774" t="s">
        <v>17</v>
      </c>
      <c r="S37" s="775">
        <f t="shared" si="10"/>
        <v>100</v>
      </c>
      <c r="T37" s="774" t="s">
        <v>17</v>
      </c>
      <c r="U37" s="775">
        <f t="shared" si="11"/>
        <v>100</v>
      </c>
      <c r="V37" s="774" t="s">
        <v>17</v>
      </c>
      <c r="W37" s="775">
        <f t="shared" si="12"/>
        <v>100</v>
      </c>
      <c r="X37" s="1815"/>
      <c r="Y37" s="3208"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2">
        <f t="shared" si="14"/>
        <v>111</v>
      </c>
      <c r="R38" s="774" t="s">
        <v>17</v>
      </c>
      <c r="S38" s="775">
        <f t="shared" si="10"/>
        <v>100</v>
      </c>
      <c r="T38" s="774" t="s">
        <v>17</v>
      </c>
      <c r="U38" s="775">
        <f t="shared" si="11"/>
        <v>100</v>
      </c>
      <c r="V38" s="774" t="s">
        <v>17</v>
      </c>
      <c r="W38" s="775">
        <f t="shared" si="12"/>
        <v>100</v>
      </c>
      <c r="X38" s="1815"/>
      <c r="Y38" s="320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2">
        <f t="shared" si="14"/>
        <v>111</v>
      </c>
      <c r="R39" s="774" t="s">
        <v>17</v>
      </c>
      <c r="S39" s="775">
        <f t="shared" si="10"/>
        <v>100</v>
      </c>
      <c r="T39" s="774" t="s">
        <v>17</v>
      </c>
      <c r="U39" s="775">
        <f t="shared" si="11"/>
        <v>100</v>
      </c>
      <c r="V39" s="774" t="s">
        <v>17</v>
      </c>
      <c r="W39" s="775">
        <f t="shared" si="12"/>
        <v>100</v>
      </c>
      <c r="X39" s="1815"/>
      <c r="Y39" s="3208"/>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2">
        <f t="shared" si="14"/>
        <v>111</v>
      </c>
      <c r="R40" s="777" t="s">
        <v>17</v>
      </c>
      <c r="S40" s="778">
        <f t="shared" si="10"/>
        <v>100</v>
      </c>
      <c r="T40" s="777" t="s">
        <v>17</v>
      </c>
      <c r="U40" s="778">
        <f t="shared" si="11"/>
        <v>100</v>
      </c>
      <c r="V40" s="777" t="s">
        <v>17</v>
      </c>
      <c r="W40" s="778">
        <f t="shared" si="12"/>
        <v>100</v>
      </c>
      <c r="X40" s="779"/>
      <c r="Y40" s="3208"/>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4" t="s">
        <v>2752</v>
      </c>
      <c r="H50" s="3255"/>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92.57</v>
      </c>
      <c r="F51" s="691" t="e">
        <f t="shared" ref="F51:F60" si="15">ROUND(B51*E51/10000,0)</f>
        <v>#DIV/0!</v>
      </c>
      <c r="G51" s="3183"/>
      <c r="H51" s="320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5"/>
      <c r="B4" s="3276"/>
      <c r="C4" s="3276"/>
      <c r="D4" s="3277"/>
      <c r="E4" s="3277"/>
      <c r="F4" s="3277"/>
      <c r="G4" s="3277"/>
      <c r="H4" s="3277"/>
      <c r="I4" s="3277"/>
      <c r="J4" s="3278"/>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1"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2"/>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2" t="s">
        <v>2828</v>
      </c>
      <c r="X8" s="3273"/>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2"/>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4"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4"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1"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4"/>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7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9"/>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9"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1"/>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63" t="s">
        <v>2962</v>
      </c>
      <c r="B90" s="3263"/>
      <c r="C90" s="3263"/>
      <c r="D90" s="3263"/>
      <c r="E90" s="3263"/>
      <c r="F90" s="3263"/>
      <c r="G90" s="3263"/>
      <c r="H90" s="3263"/>
      <c r="I90" s="3263"/>
      <c r="J90" s="3263"/>
      <c r="K90" s="2890"/>
      <c r="L90" s="2890"/>
      <c r="M90" s="2890"/>
      <c r="N90" s="2890"/>
    </row>
    <row r="91" spans="1:37">
      <c r="A91" s="3265" t="s">
        <v>2963</v>
      </c>
      <c r="B91" s="3265" t="s">
        <v>2964</v>
      </c>
      <c r="C91" s="2844" t="s">
        <v>2965</v>
      </c>
      <c r="D91" s="2845"/>
      <c r="E91" s="2845"/>
      <c r="F91" s="2845"/>
      <c r="G91" s="2845"/>
      <c r="H91" s="2845"/>
      <c r="I91" s="2845"/>
      <c r="J91" s="2891"/>
      <c r="K91" s="2892"/>
      <c r="L91" s="2892"/>
      <c r="M91" s="2892"/>
      <c r="N91" s="2892"/>
    </row>
    <row r="92" spans="1:37">
      <c r="A92" s="3265"/>
      <c r="B92" s="3265"/>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66"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7"/>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7"/>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7"/>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7"/>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7"/>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7"/>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7"/>
      <c r="B108" s="3094"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09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64" t="s">
        <v>2970</v>
      </c>
      <c r="B110" s="3264"/>
      <c r="C110" s="3264"/>
      <c r="D110" s="3264"/>
      <c r="E110" s="3264"/>
      <c r="F110" s="3264"/>
      <c r="G110" s="3264"/>
      <c r="H110" s="3264"/>
      <c r="I110" s="3264"/>
      <c r="J110" s="3264"/>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3" t="s">
        <v>1151</v>
      </c>
      <c r="H1" s="3283"/>
      <c r="I1" s="3283"/>
      <c r="J1" s="3283"/>
      <c r="K1" s="3283"/>
      <c r="L1" s="3283"/>
      <c r="N1" s="3283" t="s">
        <v>1152</v>
      </c>
      <c r="O1" s="3283"/>
      <c r="P1" s="3283"/>
      <c r="Q1" s="3283"/>
      <c r="R1" s="1449"/>
      <c r="S1" s="3283" t="s">
        <v>1153</v>
      </c>
      <c r="T1" s="3283"/>
      <c r="U1" s="3283"/>
      <c r="V1" s="3283"/>
      <c r="X1" s="3282" t="s">
        <v>1154</v>
      </c>
      <c r="Y1" s="3283"/>
      <c r="Z1" s="3283"/>
      <c r="AA1" s="3283"/>
      <c r="AB1" s="3283"/>
      <c r="AD1" s="3282" t="s">
        <v>1155</v>
      </c>
      <c r="AE1" s="3283"/>
      <c r="AF1" s="3283"/>
      <c r="AG1" s="3283"/>
      <c r="AH1" s="328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3" t="s">
        <v>2996</v>
      </c>
      <c r="D1" s="3294"/>
      <c r="E1" s="3294"/>
      <c r="F1" s="3294"/>
      <c r="G1" s="3294"/>
      <c r="H1" s="3294"/>
      <c r="I1" s="3294"/>
      <c r="J1" s="3294"/>
      <c r="K1" s="3294"/>
      <c r="L1" s="3294"/>
      <c r="M1" s="3294"/>
      <c r="N1" s="3294"/>
      <c r="O1" s="3294"/>
      <c r="P1" s="3294"/>
      <c r="Q1" s="3294"/>
      <c r="R1" s="3294"/>
      <c r="S1" s="3295"/>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304</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32840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92.57</v>
      </c>
      <c r="C22" s="3075" t="s">
        <v>33</v>
      </c>
      <c r="D22" s="3076"/>
      <c r="E22" s="3076"/>
      <c r="F22" s="3076"/>
      <c r="G22" s="3076"/>
      <c r="H22" s="3076"/>
      <c r="I22" s="3076"/>
      <c r="J22" s="3076"/>
      <c r="K22" s="3076"/>
      <c r="L22" s="3076"/>
      <c r="M22" s="3076"/>
      <c r="N22" s="3076"/>
      <c r="O22" s="3076"/>
      <c r="P22" s="3076"/>
      <c r="Q22" s="3292"/>
      <c r="R22" s="716">
        <f ca="1">ROUND(S22*10000/B22,0)</f>
        <v>32840</v>
      </c>
      <c r="S22" s="24">
        <f ca="1">SUM(S24:S10000)</f>
        <v>304</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92.57</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32852</v>
      </c>
      <c r="S24" s="719">
        <f t="shared" ref="S24:S54" ca="1" si="11">ROUND(R24*B24/10000,0)</f>
        <v>304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33181</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33512</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33512</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33181</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33512</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33844</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33844</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33844</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33844</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33844</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33512</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33512</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1630</v>
      </c>
      <c r="C4" s="2978"/>
      <c r="D4" s="2978"/>
      <c r="E4" s="1963"/>
    </row>
    <row r="5" spans="1:5" ht="16.5" thickTop="1">
      <c r="A5" s="1961"/>
      <c r="B5" s="2976" t="s">
        <v>1622</v>
      </c>
      <c r="C5" s="1964" t="s">
        <v>1623</v>
      </c>
      <c r="D5" s="1043">
        <f ca="1">结果表!H101</f>
        <v>304</v>
      </c>
      <c r="E5" s="1961"/>
    </row>
    <row r="6" spans="1:5" ht="15.75">
      <c r="A6" s="1961"/>
      <c r="B6" s="2976"/>
      <c r="C6" s="1964" t="s">
        <v>1624</v>
      </c>
      <c r="D6" s="1043" t="str">
        <f ca="1">NUMBERSTRING(INT(D5*10000),2)&amp;"元整"</f>
        <v>叁佰零肆万元整</v>
      </c>
      <c r="E6" s="1961"/>
    </row>
    <row r="7" spans="1:5" ht="15.75">
      <c r="A7" s="1961"/>
      <c r="B7" s="2981"/>
      <c r="C7" s="1965" t="s">
        <v>1625</v>
      </c>
      <c r="D7" s="1044">
        <f ca="1">结果表!H102</f>
        <v>32840</v>
      </c>
      <c r="E7" s="1961"/>
    </row>
    <row r="8" spans="1:5" ht="15.75">
      <c r="A8" s="1961"/>
      <c r="B8" s="2982" t="str">
        <f>结果表!E103</f>
        <v>2.估价师知悉的法定优先受偿款</v>
      </c>
      <c r="C8" s="1966" t="s">
        <v>1626</v>
      </c>
      <c r="D8" s="1044">
        <f>结果表!H103</f>
        <v>0</v>
      </c>
      <c r="E8" s="1961"/>
    </row>
    <row r="9" spans="1:5" ht="15.75">
      <c r="A9" s="1961"/>
      <c r="B9" s="298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5" t="str">
        <f>结果表!E107</f>
        <v>3.房地产抵押价值</v>
      </c>
      <c r="C13" s="1969" t="s">
        <v>1623</v>
      </c>
      <c r="D13" s="1046">
        <f ca="1">结果表!H107</f>
        <v>304</v>
      </c>
      <c r="E13" s="1961"/>
    </row>
    <row r="14" spans="1:5" ht="15.75">
      <c r="A14" s="1961"/>
      <c r="B14" s="2976"/>
      <c r="C14" s="1964" t="s">
        <v>1624</v>
      </c>
      <c r="D14" s="1043" t="str">
        <f ca="1">NUMBERSTRING(INT(D13*10000),2)&amp;"元整"</f>
        <v>叁佰零肆万元整</v>
      </c>
      <c r="E14" s="1961"/>
    </row>
    <row r="15" spans="1:5" ht="15">
      <c r="A15" s="1961"/>
      <c r="B15" s="2981"/>
      <c r="C15" s="1965" t="s">
        <v>1634</v>
      </c>
      <c r="D15" s="1055">
        <f ca="1">结果表!H108</f>
        <v>32840</v>
      </c>
      <c r="E15" s="1961"/>
    </row>
    <row r="16" spans="1:5" ht="15">
      <c r="A16" s="1961"/>
      <c r="B16" s="2982" t="str">
        <f>结果表!E109</f>
        <v>——</v>
      </c>
      <c r="C16" s="1969" t="s">
        <v>1635</v>
      </c>
      <c r="D16" s="1970" t="str">
        <f>结果表!H109</f>
        <v>——</v>
      </c>
      <c r="E16" s="1961"/>
    </row>
    <row r="17" spans="1:5" ht="15.75">
      <c r="A17" s="1961"/>
      <c r="B17" s="2983"/>
      <c r="C17" s="1964" t="s">
        <v>1636</v>
      </c>
      <c r="D17" s="1043" t="e">
        <f>NUMBERSTRING(INT(D16*10000),2)&amp;"元整"</f>
        <v>#VALUE!</v>
      </c>
      <c r="E17" s="1961"/>
    </row>
    <row r="18" spans="1:5" ht="15">
      <c r="A18" s="1961"/>
      <c r="B18" s="2984"/>
      <c r="C18" s="1965" t="s">
        <v>1625</v>
      </c>
      <c r="D18" s="1055" t="str">
        <f>结果表!H110</f>
        <v>——</v>
      </c>
      <c r="E18" s="1961"/>
    </row>
    <row r="19" spans="1:5" ht="15.75">
      <c r="A19" s="1961"/>
      <c r="B19" s="2975" t="str">
        <f>结果表!E111</f>
        <v>——</v>
      </c>
      <c r="C19" s="1969" t="s">
        <v>1623</v>
      </c>
      <c r="D19" s="1044" t="str">
        <f>结果表!H111</f>
        <v>——</v>
      </c>
      <c r="E19" s="1961"/>
    </row>
    <row r="20" spans="1:5" ht="15.75">
      <c r="A20" s="1961"/>
      <c r="B20" s="2976"/>
      <c r="C20" s="1964" t="s">
        <v>1636</v>
      </c>
      <c r="D20" s="1043" t="e">
        <f>NUMBERSTRING(INT(D19*10000),2)&amp;"元整"</f>
        <v>#VALUE!</v>
      </c>
      <c r="E20" s="1961"/>
    </row>
    <row r="21" spans="1:5" ht="15.75" thickBot="1">
      <c r="A21" s="1961"/>
      <c r="B21" s="297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28937</v>
      </c>
      <c r="C2" s="2" t="s">
        <v>133</v>
      </c>
      <c r="D2" s="243"/>
      <c r="E2" s="243"/>
      <c r="F2" s="243"/>
      <c r="G2" s="243"/>
    </row>
    <row r="3" spans="1:7" s="244" customFormat="1" ht="18" customHeight="1" thickBot="1">
      <c r="A3" s="247" t="s">
        <v>85</v>
      </c>
      <c r="B3" s="248">
        <f ca="1">ROUND(B2*10000/'数据-汇总表'!E3,0)</f>
        <v>3125959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92.57</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92.57</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2014</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92.57</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5.0000000000000001E-4</v>
      </c>
      <c r="D44" s="282"/>
      <c r="E44" s="282"/>
      <c r="F44" s="283"/>
      <c r="G44" s="3162"/>
    </row>
    <row r="45" spans="1:7" s="258" customFormat="1" ht="13.5" customHeight="1">
      <c r="A45" s="951" t="s">
        <v>786</v>
      </c>
      <c r="B45" s="288" t="s">
        <v>112</v>
      </c>
      <c r="C45" s="289">
        <f>C46</f>
        <v>6</v>
      </c>
      <c r="D45" s="279">
        <f>C47</f>
        <v>2E-3</v>
      </c>
      <c r="E45" s="280" t="s">
        <v>129</v>
      </c>
      <c r="F45" s="290"/>
      <c r="G45" s="291" t="s">
        <v>1072</v>
      </c>
    </row>
    <row r="46" spans="1:7" s="258" customFormat="1" ht="13.5" customHeight="1">
      <c r="A46" s="954" t="s">
        <v>794</v>
      </c>
      <c r="B46" s="292" t="s">
        <v>1065</v>
      </c>
      <c r="C46" s="293">
        <f>ROUND((C33+C39)*F27,0)</f>
        <v>6</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39</v>
      </c>
      <c r="D51" s="276"/>
      <c r="E51" s="276"/>
      <c r="F51" s="308"/>
      <c r="G51" s="278" t="s">
        <v>64</v>
      </c>
    </row>
    <row r="52" spans="1:7" s="252" customFormat="1" ht="16.5" thickBot="1">
      <c r="A52" s="309" t="s">
        <v>65</v>
      </c>
      <c r="B52" s="310"/>
      <c r="C52" s="311">
        <f ca="1">C31+C51</f>
        <v>28937</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K56" sqref="K5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3131</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92.57</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2960"/>
      <c r="Y4" s="3173" t="s">
        <v>2529</v>
      </c>
      <c r="Z4" s="3174"/>
      <c r="AA4" s="3168" t="s">
        <v>2525</v>
      </c>
      <c r="AB4" s="3168" t="s">
        <v>2526</v>
      </c>
      <c r="AC4" s="3168" t="s">
        <v>2527</v>
      </c>
    </row>
    <row r="5" spans="1:29" ht="15">
      <c r="A5" s="404"/>
      <c r="B5" s="405"/>
      <c r="C5" s="3177" t="s">
        <v>3100</v>
      </c>
      <c r="D5" s="3178"/>
      <c r="E5" s="3177" t="s">
        <v>3100</v>
      </c>
      <c r="F5" s="3178"/>
      <c r="G5" s="3177" t="s">
        <v>3100</v>
      </c>
      <c r="H5" s="3178"/>
      <c r="I5" s="3177" t="s">
        <v>3100</v>
      </c>
      <c r="J5" s="3178"/>
      <c r="K5" s="2598"/>
      <c r="L5" s="1133"/>
      <c r="M5" s="1134"/>
      <c r="N5" s="1134"/>
      <c r="O5" s="1134"/>
      <c r="P5" s="3190"/>
      <c r="Q5" s="3191"/>
      <c r="R5" s="3175"/>
      <c r="S5" s="3176"/>
      <c r="T5" s="3175"/>
      <c r="U5" s="3176"/>
      <c r="V5" s="3196"/>
      <c r="W5" s="3196"/>
      <c r="X5" s="2960"/>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2960"/>
      <c r="Y6" s="3194"/>
      <c r="Z6" s="3195"/>
      <c r="AA6" s="3170"/>
      <c r="AB6" s="3170"/>
      <c r="AC6" s="3170"/>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171" t="s">
        <v>2537</v>
      </c>
      <c r="Q7" s="3197"/>
      <c r="R7" s="770" t="s">
        <v>23</v>
      </c>
      <c r="S7" s="771">
        <f t="shared" ref="S7:S15" si="0">F7</f>
        <v>100</v>
      </c>
      <c r="T7" s="770" t="s">
        <v>23</v>
      </c>
      <c r="U7" s="771">
        <f t="shared" ref="U7:U15" si="1">H7</f>
        <v>100</v>
      </c>
      <c r="V7" s="770" t="s">
        <v>23</v>
      </c>
      <c r="W7" s="771">
        <f t="shared" ref="W7:W15" si="2">J7</f>
        <v>100</v>
      </c>
      <c r="X7" s="772"/>
      <c r="Y7" s="3171" t="s">
        <v>2537</v>
      </c>
      <c r="Z7" s="3172"/>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2955" t="str">
        <f t="shared" ref="Q9:Q15" si="6">B9</f>
        <v>用途</v>
      </c>
      <c r="R9" s="770" t="s">
        <v>17</v>
      </c>
      <c r="S9" s="771">
        <f t="shared" si="0"/>
        <v>100</v>
      </c>
      <c r="T9" s="770" t="s">
        <v>17</v>
      </c>
      <c r="U9" s="771">
        <f t="shared" si="1"/>
        <v>100</v>
      </c>
      <c r="V9" s="770" t="s">
        <v>17</v>
      </c>
      <c r="W9" s="771">
        <f t="shared" si="2"/>
        <v>100</v>
      </c>
      <c r="X9" s="772"/>
      <c r="Y9" s="3040"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2955" t="str">
        <f t="shared" si="6"/>
        <v>土地使用年限（年）</v>
      </c>
      <c r="R10" s="770" t="s">
        <v>17</v>
      </c>
      <c r="S10" s="771">
        <f t="shared" si="0"/>
        <v>100</v>
      </c>
      <c r="T10" s="770" t="s">
        <v>17</v>
      </c>
      <c r="U10" s="771">
        <f t="shared" si="1"/>
        <v>100</v>
      </c>
      <c r="V10" s="770" t="s">
        <v>17</v>
      </c>
      <c r="W10" s="771">
        <f t="shared" si="2"/>
        <v>100</v>
      </c>
      <c r="X10" s="772"/>
      <c r="Y10" s="3040"/>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2955" t="str">
        <f t="shared" si="6"/>
        <v>容积率</v>
      </c>
      <c r="R11" s="770" t="s">
        <v>21</v>
      </c>
      <c r="S11" s="771">
        <f t="shared" si="0"/>
        <v>100</v>
      </c>
      <c r="T11" s="770" t="s">
        <v>21</v>
      </c>
      <c r="U11" s="771">
        <f t="shared" si="1"/>
        <v>100</v>
      </c>
      <c r="V11" s="770" t="s">
        <v>21</v>
      </c>
      <c r="W11" s="771">
        <f t="shared" si="2"/>
        <v>100</v>
      </c>
      <c r="X11" s="772"/>
      <c r="Y11" s="3040"/>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2955">
        <f t="shared" si="6"/>
        <v>111</v>
      </c>
      <c r="R12" s="770" t="s">
        <v>21</v>
      </c>
      <c r="S12" s="771">
        <f t="shared" si="0"/>
        <v>100</v>
      </c>
      <c r="T12" s="770" t="s">
        <v>21</v>
      </c>
      <c r="U12" s="771">
        <f t="shared" si="1"/>
        <v>100</v>
      </c>
      <c r="V12" s="770" t="s">
        <v>21</v>
      </c>
      <c r="W12" s="771">
        <f t="shared" si="2"/>
        <v>100</v>
      </c>
      <c r="X12" s="772"/>
      <c r="Y12" s="3040"/>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2955">
        <f t="shared" si="6"/>
        <v>111</v>
      </c>
      <c r="R13" s="770" t="s">
        <v>21</v>
      </c>
      <c r="S13" s="771">
        <f t="shared" si="0"/>
        <v>100</v>
      </c>
      <c r="T13" s="770" t="s">
        <v>21</v>
      </c>
      <c r="U13" s="771">
        <f t="shared" si="1"/>
        <v>100</v>
      </c>
      <c r="V13" s="770" t="s">
        <v>21</v>
      </c>
      <c r="W13" s="771">
        <f t="shared" si="2"/>
        <v>100</v>
      </c>
      <c r="X13" s="772"/>
      <c r="Y13" s="3040"/>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2955">
        <f t="shared" si="6"/>
        <v>111</v>
      </c>
      <c r="R14" s="770" t="s">
        <v>21</v>
      </c>
      <c r="S14" s="771">
        <f t="shared" si="0"/>
        <v>100</v>
      </c>
      <c r="T14" s="770" t="s">
        <v>21</v>
      </c>
      <c r="U14" s="771">
        <f t="shared" si="1"/>
        <v>100</v>
      </c>
      <c r="V14" s="770" t="s">
        <v>21</v>
      </c>
      <c r="W14" s="771">
        <f t="shared" si="2"/>
        <v>100</v>
      </c>
      <c r="X14" s="772"/>
      <c r="Y14" s="3040"/>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2958" t="str">
        <f t="shared" si="6"/>
        <v>居住社区成熟度</v>
      </c>
      <c r="R15" s="774" t="s">
        <v>21</v>
      </c>
      <c r="S15" s="775">
        <f t="shared" si="0"/>
        <v>100</v>
      </c>
      <c r="T15" s="774" t="s">
        <v>21</v>
      </c>
      <c r="U15" s="775">
        <f t="shared" si="1"/>
        <v>100</v>
      </c>
      <c r="V15" s="774" t="s">
        <v>21</v>
      </c>
      <c r="W15" s="775">
        <f t="shared" si="2"/>
        <v>100</v>
      </c>
      <c r="X15" s="2960"/>
      <c r="Y15" s="3203"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2958"/>
      <c r="R16" s="774"/>
      <c r="S16" s="775"/>
      <c r="T16" s="774"/>
      <c r="U16" s="775"/>
      <c r="V16" s="774"/>
      <c r="W16" s="775"/>
      <c r="X16" s="2960"/>
      <c r="Y16" s="3204"/>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2958" t="str">
        <f>B17</f>
        <v>交通便捷度</v>
      </c>
      <c r="R17" s="774" t="s">
        <v>21</v>
      </c>
      <c r="S17" s="775">
        <f>F17</f>
        <v>100</v>
      </c>
      <c r="T17" s="774" t="s">
        <v>21</v>
      </c>
      <c r="U17" s="775">
        <f>H17</f>
        <v>100</v>
      </c>
      <c r="V17" s="774" t="s">
        <v>21</v>
      </c>
      <c r="W17" s="775">
        <f>J17</f>
        <v>100</v>
      </c>
      <c r="X17" s="2960"/>
      <c r="Y17" s="3204"/>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2958"/>
      <c r="R18" s="774"/>
      <c r="S18" s="775"/>
      <c r="T18" s="774"/>
      <c r="U18" s="775"/>
      <c r="V18" s="774"/>
      <c r="W18" s="775"/>
      <c r="X18" s="2960"/>
      <c r="Y18" s="3204"/>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2958" t="str">
        <f>B19</f>
        <v>公共配套设施</v>
      </c>
      <c r="R19" s="774" t="s">
        <v>21</v>
      </c>
      <c r="S19" s="775">
        <f>F19</f>
        <v>100</v>
      </c>
      <c r="T19" s="774" t="s">
        <v>21</v>
      </c>
      <c r="U19" s="775">
        <f>H19</f>
        <v>100</v>
      </c>
      <c r="V19" s="774" t="s">
        <v>21</v>
      </c>
      <c r="W19" s="775">
        <f>J19</f>
        <v>100</v>
      </c>
      <c r="X19" s="2960"/>
      <c r="Y19" s="3204"/>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2958"/>
      <c r="R20" s="774"/>
      <c r="S20" s="775"/>
      <c r="T20" s="774"/>
      <c r="U20" s="775"/>
      <c r="V20" s="774"/>
      <c r="W20" s="775"/>
      <c r="X20" s="2960"/>
      <c r="Y20" s="3204"/>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2958" t="str">
        <f>B21</f>
        <v>基础设施水平</v>
      </c>
      <c r="R21" s="774" t="s">
        <v>17</v>
      </c>
      <c r="S21" s="775">
        <f>F21</f>
        <v>100</v>
      </c>
      <c r="T21" s="774" t="s">
        <v>17</v>
      </c>
      <c r="U21" s="775">
        <f>H21</f>
        <v>100</v>
      </c>
      <c r="V21" s="774" t="s">
        <v>17</v>
      </c>
      <c r="W21" s="775">
        <f>J21</f>
        <v>100</v>
      </c>
      <c r="X21" s="2960"/>
      <c r="Y21" s="3204"/>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2958"/>
      <c r="R22" s="774"/>
      <c r="S22" s="775"/>
      <c r="T22" s="774"/>
      <c r="U22" s="775"/>
      <c r="V22" s="774"/>
      <c r="W22" s="775"/>
      <c r="X22" s="2960"/>
      <c r="Y22" s="3204"/>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2958" t="str">
        <f>B23</f>
        <v>自然及人文环境</v>
      </c>
      <c r="R23" s="774" t="s">
        <v>21</v>
      </c>
      <c r="S23" s="775">
        <f>F23</f>
        <v>100</v>
      </c>
      <c r="T23" s="774" t="s">
        <v>21</v>
      </c>
      <c r="U23" s="775">
        <f>H23</f>
        <v>100</v>
      </c>
      <c r="V23" s="774" t="s">
        <v>21</v>
      </c>
      <c r="W23" s="775">
        <f>J23</f>
        <v>100</v>
      </c>
      <c r="X23" s="2960"/>
      <c r="Y23" s="3204"/>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2958"/>
      <c r="R24" s="774"/>
      <c r="S24" s="775"/>
      <c r="T24" s="774"/>
      <c r="U24" s="775"/>
      <c r="V24" s="774"/>
      <c r="W24" s="775"/>
      <c r="X24" s="2960"/>
      <c r="Y24" s="3204"/>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204"/>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3114</v>
      </c>
      <c r="D26" s="435">
        <v>100</v>
      </c>
      <c r="E26" s="2962" t="s">
        <v>3114</v>
      </c>
      <c r="F26" s="435">
        <f>SUMIF(88:88,E26,89:89)-SUMIF(88:88,C26,89:89)+100</f>
        <v>100</v>
      </c>
      <c r="G26" s="2962" t="s">
        <v>3086</v>
      </c>
      <c r="H26" s="435">
        <f>SUMIF(88:88,G26,89:89)-SUMIF(88:88,C26,89:89)+100</f>
        <v>102</v>
      </c>
      <c r="I26" s="2962" t="s">
        <v>3114</v>
      </c>
      <c r="J26" s="435">
        <f>SUMIF(88:88,I26,89:89)-SUMIF(88:88,C26,89:89)+100</f>
        <v>100</v>
      </c>
      <c r="K26" s="426">
        <v>2</v>
      </c>
      <c r="L26" s="1143"/>
      <c r="M26" s="1134"/>
      <c r="N26" s="1134"/>
      <c r="O26" s="1134"/>
      <c r="P26" s="3211"/>
      <c r="Q26" s="2958" t="str">
        <f t="shared" si="11"/>
        <v>朝向</v>
      </c>
      <c r="R26" s="774" t="s">
        <v>21</v>
      </c>
      <c r="S26" s="775">
        <f t="shared" si="12"/>
        <v>100</v>
      </c>
      <c r="T26" s="774" t="s">
        <v>21</v>
      </c>
      <c r="U26" s="775">
        <f t="shared" si="13"/>
        <v>102</v>
      </c>
      <c r="V26" s="774" t="s">
        <v>21</v>
      </c>
      <c r="W26" s="775">
        <f t="shared" si="14"/>
        <v>100</v>
      </c>
      <c r="X26" s="2960"/>
      <c r="Y26" s="3204"/>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211"/>
      <c r="Q27" s="2955" t="str">
        <f t="shared" si="11"/>
        <v>楼层</v>
      </c>
      <c r="R27" s="770" t="s">
        <v>21</v>
      </c>
      <c r="S27" s="771">
        <f t="shared" si="12"/>
        <v>100</v>
      </c>
      <c r="T27" s="770" t="s">
        <v>21</v>
      </c>
      <c r="U27" s="771">
        <f t="shared" si="13"/>
        <v>101</v>
      </c>
      <c r="V27" s="770" t="s">
        <v>21</v>
      </c>
      <c r="W27" s="771">
        <f t="shared" si="14"/>
        <v>100</v>
      </c>
      <c r="X27" s="772"/>
      <c r="Y27" s="3204"/>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2958">
        <f t="shared" si="11"/>
        <v>111</v>
      </c>
      <c r="R28" s="774" t="s">
        <v>21</v>
      </c>
      <c r="S28" s="775">
        <f t="shared" si="12"/>
        <v>100</v>
      </c>
      <c r="T28" s="774" t="s">
        <v>21</v>
      </c>
      <c r="U28" s="775">
        <f t="shared" si="13"/>
        <v>100</v>
      </c>
      <c r="V28" s="774" t="s">
        <v>21</v>
      </c>
      <c r="W28" s="775">
        <f t="shared" si="14"/>
        <v>100</v>
      </c>
      <c r="X28" s="2960"/>
      <c r="Y28" s="3204"/>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2958">
        <f t="shared" si="11"/>
        <v>111</v>
      </c>
      <c r="R29" s="774" t="s">
        <v>21</v>
      </c>
      <c r="S29" s="775">
        <f t="shared" si="12"/>
        <v>100</v>
      </c>
      <c r="T29" s="774" t="s">
        <v>21</v>
      </c>
      <c r="U29" s="775">
        <f t="shared" si="13"/>
        <v>100</v>
      </c>
      <c r="V29" s="774" t="s">
        <v>21</v>
      </c>
      <c r="W29" s="775">
        <f t="shared" si="14"/>
        <v>100</v>
      </c>
      <c r="X29" s="2960"/>
      <c r="Y29" s="3204"/>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2958">
        <f t="shared" si="11"/>
        <v>111</v>
      </c>
      <c r="R30" s="774" t="s">
        <v>21</v>
      </c>
      <c r="S30" s="775">
        <f t="shared" si="12"/>
        <v>100</v>
      </c>
      <c r="T30" s="774" t="s">
        <v>21</v>
      </c>
      <c r="U30" s="775">
        <f t="shared" si="13"/>
        <v>100</v>
      </c>
      <c r="V30" s="774" t="s">
        <v>21</v>
      </c>
      <c r="W30" s="775">
        <f t="shared" si="14"/>
        <v>100</v>
      </c>
      <c r="X30" s="2960"/>
      <c r="Y30" s="3204"/>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2958">
        <f t="shared" si="11"/>
        <v>111</v>
      </c>
      <c r="R31" s="774" t="s">
        <v>21</v>
      </c>
      <c r="S31" s="775">
        <f t="shared" si="12"/>
        <v>100</v>
      </c>
      <c r="T31" s="774" t="s">
        <v>21</v>
      </c>
      <c r="U31" s="775">
        <f t="shared" si="13"/>
        <v>100</v>
      </c>
      <c r="V31" s="774" t="s">
        <v>21</v>
      </c>
      <c r="W31" s="775">
        <f t="shared" si="14"/>
        <v>100</v>
      </c>
      <c r="X31" s="2960"/>
      <c r="Y31" s="3204"/>
      <c r="Z31" s="2961">
        <f t="shared" si="18"/>
        <v>111</v>
      </c>
      <c r="AA31" s="2959">
        <f t="shared" si="15"/>
        <v>1</v>
      </c>
      <c r="AB31" s="2959">
        <f t="shared" si="16"/>
        <v>1</v>
      </c>
      <c r="AC31" s="2959">
        <f t="shared" si="17"/>
        <v>1</v>
      </c>
    </row>
    <row r="32" spans="1:29" ht="15">
      <c r="A32" s="440" t="s">
        <v>2551</v>
      </c>
      <c r="B32" s="71" t="s">
        <v>2552</v>
      </c>
      <c r="C32" s="2617" t="s">
        <v>3121</v>
      </c>
      <c r="D32" s="467">
        <v>100</v>
      </c>
      <c r="E32" s="2617" t="s">
        <v>3121</v>
      </c>
      <c r="F32" s="461">
        <f>SUMIF(100:100,E32,101:101)-SUMIF(100:100,C32,101:101)+100</f>
        <v>100</v>
      </c>
      <c r="G32" s="2617" t="s">
        <v>3121</v>
      </c>
      <c r="H32" s="467">
        <f>SUMIF(100:100,G32,101:101)-SUMIF(100:100,C32,101:101)+100</f>
        <v>100</v>
      </c>
      <c r="I32" s="2617" t="s">
        <v>3121</v>
      </c>
      <c r="J32" s="435">
        <f>SUMIF(100:100,I32,101:101)-SUMIF(100:100,C32,101:101)+100</f>
        <v>100</v>
      </c>
      <c r="K32" s="426">
        <v>2</v>
      </c>
      <c r="L32" s="1143"/>
      <c r="M32" s="1134"/>
      <c r="N32" s="1134"/>
      <c r="O32" s="1134"/>
      <c r="P32" s="3205" t="s">
        <v>2553</v>
      </c>
      <c r="Q32" s="2958" t="str">
        <f t="shared" si="11"/>
        <v>建筑类型</v>
      </c>
      <c r="R32" s="774" t="s">
        <v>21</v>
      </c>
      <c r="S32" s="775">
        <f t="shared" si="12"/>
        <v>100</v>
      </c>
      <c r="T32" s="774" t="s">
        <v>21</v>
      </c>
      <c r="U32" s="775">
        <f t="shared" si="13"/>
        <v>100</v>
      </c>
      <c r="V32" s="774" t="s">
        <v>21</v>
      </c>
      <c r="W32" s="775">
        <f t="shared" si="14"/>
        <v>100</v>
      </c>
      <c r="X32" s="2960"/>
      <c r="Y32" s="3208"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92.57</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3124</v>
      </c>
      <c r="D34" s="435">
        <v>100</v>
      </c>
      <c r="E34" s="2618" t="s">
        <v>3124</v>
      </c>
      <c r="F34" s="461">
        <f>SUMIF(105:105,E34,106:106)-SUMIF(105:105,C34,106:106)+100</f>
        <v>100</v>
      </c>
      <c r="G34" s="2618" t="s">
        <v>3124</v>
      </c>
      <c r="H34" s="435">
        <f>SUMIF(105:105,G34,106:106)-SUMIF(105:105,C34,106:106)+100</f>
        <v>100</v>
      </c>
      <c r="I34" s="2618" t="s">
        <v>3124</v>
      </c>
      <c r="J34" s="435">
        <f>SUMIF(105:105,I34,106:106)-SUMIF(105:105,C34,106:106)+100</f>
        <v>100</v>
      </c>
      <c r="K34" s="426">
        <v>2</v>
      </c>
      <c r="L34" s="1143"/>
      <c r="M34" s="1134"/>
      <c r="N34" s="1134"/>
      <c r="O34" s="1134"/>
      <c r="P34" s="3206"/>
      <c r="Q34" s="2958" t="str">
        <f t="shared" si="11"/>
        <v>建筑结构</v>
      </c>
      <c r="R34" s="774" t="s">
        <v>21</v>
      </c>
      <c r="S34" s="775">
        <f t="shared" si="12"/>
        <v>100</v>
      </c>
      <c r="T34" s="774" t="s">
        <v>21</v>
      </c>
      <c r="U34" s="775">
        <f t="shared" si="13"/>
        <v>100</v>
      </c>
      <c r="V34" s="774" t="s">
        <v>21</v>
      </c>
      <c r="W34" s="775">
        <f t="shared" si="14"/>
        <v>100</v>
      </c>
      <c r="X34" s="2960"/>
      <c r="Y34" s="3208"/>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2958" t="str">
        <f t="shared" si="11"/>
        <v>建筑品质</v>
      </c>
      <c r="R35" s="774" t="s">
        <v>21</v>
      </c>
      <c r="S35" s="775">
        <f t="shared" si="12"/>
        <v>100</v>
      </c>
      <c r="T35" s="774" t="s">
        <v>21</v>
      </c>
      <c r="U35" s="775">
        <f t="shared" si="13"/>
        <v>100</v>
      </c>
      <c r="V35" s="774" t="s">
        <v>21</v>
      </c>
      <c r="W35" s="775">
        <f t="shared" si="14"/>
        <v>100</v>
      </c>
      <c r="X35" s="2960"/>
      <c r="Y35" s="3208"/>
      <c r="Z35" s="2961" t="str">
        <f t="shared" si="18"/>
        <v>建筑品质</v>
      </c>
      <c r="AA35" s="2959">
        <f t="shared" si="15"/>
        <v>1</v>
      </c>
      <c r="AB35" s="2959">
        <f t="shared" si="16"/>
        <v>1</v>
      </c>
      <c r="AC35" s="2959">
        <f t="shared" si="17"/>
        <v>1</v>
      </c>
    </row>
    <row r="36" spans="1:29" ht="15">
      <c r="A36" s="472"/>
      <c r="B36" s="2957" t="s">
        <v>2557</v>
      </c>
      <c r="C36" s="2613" t="s">
        <v>3126</v>
      </c>
      <c r="D36" s="435">
        <v>100</v>
      </c>
      <c r="E36" s="2613" t="s">
        <v>3126</v>
      </c>
      <c r="F36" s="461">
        <f>SUMIF(109:109,E36,110:110)-SUMIF(109:109,C36,110:110)+100</f>
        <v>100</v>
      </c>
      <c r="G36" s="2613" t="s">
        <v>3126</v>
      </c>
      <c r="H36" s="435">
        <f>SUMIF(109:109,G36,110:110)-SUMIF(109:109,C36,110:110)+100</f>
        <v>100</v>
      </c>
      <c r="I36" s="2613" t="s">
        <v>3126</v>
      </c>
      <c r="J36" s="435">
        <f>SUMIF(109:109,I36,110:110)-SUMIF(109:109,C36,110:110)+100</f>
        <v>100</v>
      </c>
      <c r="K36" s="426">
        <v>2</v>
      </c>
      <c r="L36" s="1143"/>
      <c r="M36" s="1134"/>
      <c r="N36" s="1134"/>
      <c r="O36" s="1134"/>
      <c r="P36" s="3206"/>
      <c r="Q36" s="2958" t="str">
        <f t="shared" si="11"/>
        <v>公共部分装修</v>
      </c>
      <c r="R36" s="774" t="s">
        <v>21</v>
      </c>
      <c r="S36" s="775">
        <f t="shared" si="12"/>
        <v>100</v>
      </c>
      <c r="T36" s="774" t="s">
        <v>21</v>
      </c>
      <c r="U36" s="775">
        <f t="shared" si="13"/>
        <v>100</v>
      </c>
      <c r="V36" s="774" t="s">
        <v>21</v>
      </c>
      <c r="W36" s="775">
        <f t="shared" si="14"/>
        <v>100</v>
      </c>
      <c r="X36" s="2960"/>
      <c r="Y36" s="3208"/>
      <c r="Z36" s="2961" t="str">
        <f t="shared" si="18"/>
        <v>公共部分装修</v>
      </c>
      <c r="AA36" s="2959">
        <f t="shared" si="15"/>
        <v>1</v>
      </c>
      <c r="AB36" s="2959">
        <f t="shared" si="16"/>
        <v>1</v>
      </c>
      <c r="AC36" s="2959">
        <f t="shared" si="17"/>
        <v>1</v>
      </c>
    </row>
    <row r="37" spans="1:29" s="117" customFormat="1" ht="15">
      <c r="A37" s="473"/>
      <c r="B37" s="2957" t="s">
        <v>2558</v>
      </c>
      <c r="C37" s="474">
        <f>'数据-取费表'!N6</f>
        <v>0.9</v>
      </c>
      <c r="D37" s="136">
        <v>100</v>
      </c>
      <c r="E37" s="474">
        <f>C37</f>
        <v>0.9</v>
      </c>
      <c r="F37" s="425">
        <f>LOOKUP(E37,112:112,113:113)-LOOKUP(C37,112:112,113:113)+100</f>
        <v>100</v>
      </c>
      <c r="G37" s="476">
        <f>C37</f>
        <v>0.9</v>
      </c>
      <c r="H37" s="136">
        <f>LOOKUP(G37,112:112,113:113)-LOOKUP(C37,112:112,113:113)+100</f>
        <v>100</v>
      </c>
      <c r="I37" s="475">
        <f>C37</f>
        <v>0.9</v>
      </c>
      <c r="J37" s="136">
        <f>LOOKUP(I37,112:112,113:113)-LOOKUP(C37,112:112,113:113)+100</f>
        <v>100</v>
      </c>
      <c r="K37" s="426">
        <v>1</v>
      </c>
      <c r="L37" s="1135"/>
      <c r="M37" s="1136"/>
      <c r="N37" s="1136"/>
      <c r="O37" s="1136"/>
      <c r="P37" s="3206"/>
      <c r="Q37" s="2955" t="str">
        <f t="shared" si="11"/>
        <v>成新度</v>
      </c>
      <c r="R37" s="770" t="s">
        <v>21</v>
      </c>
      <c r="S37" s="771">
        <f t="shared" si="12"/>
        <v>100</v>
      </c>
      <c r="T37" s="770" t="s">
        <v>21</v>
      </c>
      <c r="U37" s="771">
        <f t="shared" si="13"/>
        <v>100</v>
      </c>
      <c r="V37" s="770" t="s">
        <v>21</v>
      </c>
      <c r="W37" s="771">
        <f t="shared" si="14"/>
        <v>100</v>
      </c>
      <c r="X37" s="772"/>
      <c r="Y37" s="3208"/>
      <c r="Z37" s="2956" t="str">
        <f t="shared" si="18"/>
        <v>成新度</v>
      </c>
      <c r="AA37" s="773">
        <f t="shared" si="15"/>
        <v>1</v>
      </c>
      <c r="AB37" s="773">
        <f t="shared" si="16"/>
        <v>1</v>
      </c>
      <c r="AC37" s="773">
        <f t="shared" si="17"/>
        <v>1</v>
      </c>
    </row>
    <row r="38" spans="1:29" ht="15">
      <c r="A38" s="472"/>
      <c r="B38" s="2957" t="s">
        <v>2559</v>
      </c>
      <c r="C38" s="2613" t="s">
        <v>3128</v>
      </c>
      <c r="D38" s="435">
        <v>100</v>
      </c>
      <c r="E38" s="2613" t="s">
        <v>3128</v>
      </c>
      <c r="F38" s="461">
        <f>SUMIF(114:114,E38,115:115)-SUMIF(114:114,C38,115:115)+100</f>
        <v>100</v>
      </c>
      <c r="G38" s="2613" t="s">
        <v>3128</v>
      </c>
      <c r="H38" s="435">
        <f>SUMIF(114:114,G38,115:115)-SUMIF(114:114,C38,115:115)+100</f>
        <v>100</v>
      </c>
      <c r="I38" s="2613" t="s">
        <v>3128</v>
      </c>
      <c r="J38" s="435">
        <f>SUMIF(114:114,I38,115:115)-SUMIF(114:114,C38,115:115)+100</f>
        <v>100</v>
      </c>
      <c r="K38" s="426">
        <v>2</v>
      </c>
      <c r="L38" s="1143"/>
      <c r="M38" s="1134"/>
      <c r="N38" s="1134"/>
      <c r="O38" s="1134"/>
      <c r="P38" s="3206" t="s">
        <v>2553</v>
      </c>
      <c r="Q38" s="2958" t="str">
        <f t="shared" si="11"/>
        <v>物业管理</v>
      </c>
      <c r="R38" s="774" t="s">
        <v>21</v>
      </c>
      <c r="S38" s="775">
        <f t="shared" si="12"/>
        <v>100</v>
      </c>
      <c r="T38" s="774" t="s">
        <v>21</v>
      </c>
      <c r="U38" s="775">
        <f t="shared" si="13"/>
        <v>100</v>
      </c>
      <c r="V38" s="774" t="s">
        <v>21</v>
      </c>
      <c r="W38" s="775">
        <f t="shared" si="14"/>
        <v>100</v>
      </c>
      <c r="X38" s="2960"/>
      <c r="Y38" s="3208"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2958" t="str">
        <f t="shared" si="11"/>
        <v>市政基础设施</v>
      </c>
      <c r="R39" s="774" t="s">
        <v>21</v>
      </c>
      <c r="S39" s="775">
        <f t="shared" si="12"/>
        <v>100</v>
      </c>
      <c r="T39" s="774" t="s">
        <v>21</v>
      </c>
      <c r="U39" s="775">
        <f t="shared" si="13"/>
        <v>100</v>
      </c>
      <c r="V39" s="774" t="s">
        <v>21</v>
      </c>
      <c r="W39" s="775">
        <f t="shared" si="14"/>
        <v>100</v>
      </c>
      <c r="X39" s="2960"/>
      <c r="Y39" s="3208"/>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2958" t="str">
        <f t="shared" si="11"/>
        <v>房型</v>
      </c>
      <c r="R40" s="774" t="s">
        <v>21</v>
      </c>
      <c r="S40" s="775">
        <f t="shared" si="12"/>
        <v>100</v>
      </c>
      <c r="T40" s="774" t="s">
        <v>21</v>
      </c>
      <c r="U40" s="775">
        <f t="shared" si="13"/>
        <v>100</v>
      </c>
      <c r="V40" s="774" t="s">
        <v>21</v>
      </c>
      <c r="W40" s="775">
        <f t="shared" si="14"/>
        <v>100</v>
      </c>
      <c r="X40" s="2960"/>
      <c r="Y40" s="3208"/>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3137</v>
      </c>
      <c r="F42" s="461">
        <f>SUMIF(122:122,E42,123:123)-SUMIF(122:122,C42,123:123)+100</f>
        <v>96</v>
      </c>
      <c r="G42" s="2970" t="s">
        <v>3126</v>
      </c>
      <c r="H42" s="435">
        <f>SUMIF(122:122,G42,123:123)-SUMIF(122:122,C42,123:123)+100</f>
        <v>98</v>
      </c>
      <c r="I42" s="2970" t="s">
        <v>3071</v>
      </c>
      <c r="J42" s="435">
        <f>SUMIF(122:122,I42,123:123)-SUMIF(122:122,C42,123:123)+100</f>
        <v>100</v>
      </c>
      <c r="K42" s="426">
        <v>2</v>
      </c>
      <c r="L42" s="1143"/>
      <c r="M42" s="1134"/>
      <c r="N42" s="1134"/>
      <c r="O42" s="1134"/>
      <c r="P42" s="3206"/>
      <c r="Q42" s="2958" t="str">
        <f t="shared" si="11"/>
        <v>内部装修</v>
      </c>
      <c r="R42" s="774" t="s">
        <v>21</v>
      </c>
      <c r="S42" s="775">
        <f t="shared" si="12"/>
        <v>96</v>
      </c>
      <c r="T42" s="774" t="s">
        <v>21</v>
      </c>
      <c r="U42" s="775">
        <f t="shared" si="13"/>
        <v>98</v>
      </c>
      <c r="V42" s="774" t="s">
        <v>21</v>
      </c>
      <c r="W42" s="775">
        <f t="shared" si="14"/>
        <v>100</v>
      </c>
      <c r="X42" s="2960"/>
      <c r="Y42" s="3208"/>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2958" t="str">
        <f t="shared" si="11"/>
        <v>内部装修维护情况</v>
      </c>
      <c r="R43" s="774" t="s">
        <v>21</v>
      </c>
      <c r="S43" s="775">
        <f t="shared" si="12"/>
        <v>100</v>
      </c>
      <c r="T43" s="774" t="s">
        <v>21</v>
      </c>
      <c r="U43" s="775">
        <f t="shared" si="13"/>
        <v>100</v>
      </c>
      <c r="V43" s="774" t="s">
        <v>21</v>
      </c>
      <c r="W43" s="775">
        <f t="shared" si="14"/>
        <v>100</v>
      </c>
      <c r="X43" s="2960"/>
      <c r="Y43" s="3208"/>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2955">
        <f t="shared" si="11"/>
        <v>111</v>
      </c>
      <c r="R44" s="770" t="s">
        <v>21</v>
      </c>
      <c r="S44" s="771">
        <f t="shared" si="12"/>
        <v>100</v>
      </c>
      <c r="T44" s="770" t="s">
        <v>21</v>
      </c>
      <c r="U44" s="771">
        <f t="shared" si="13"/>
        <v>100</v>
      </c>
      <c r="V44" s="770" t="s">
        <v>21</v>
      </c>
      <c r="W44" s="771">
        <f t="shared" si="14"/>
        <v>100</v>
      </c>
      <c r="X44" s="772"/>
      <c r="Y44" s="3208"/>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2958">
        <f t="shared" si="11"/>
        <v>111</v>
      </c>
      <c r="R45" s="774" t="s">
        <v>21</v>
      </c>
      <c r="S45" s="775">
        <f t="shared" si="12"/>
        <v>100</v>
      </c>
      <c r="T45" s="774" t="s">
        <v>21</v>
      </c>
      <c r="U45" s="775">
        <f t="shared" si="13"/>
        <v>100</v>
      </c>
      <c r="V45" s="774" t="s">
        <v>21</v>
      </c>
      <c r="W45" s="775">
        <f t="shared" si="14"/>
        <v>100</v>
      </c>
      <c r="X45" s="2960"/>
      <c r="Y45" s="3208"/>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2958">
        <f t="shared" si="11"/>
        <v>111</v>
      </c>
      <c r="R46" s="774" t="s">
        <v>20</v>
      </c>
      <c r="S46" s="775">
        <f t="shared" si="12"/>
        <v>100</v>
      </c>
      <c r="T46" s="774" t="s">
        <v>20</v>
      </c>
      <c r="U46" s="775">
        <f t="shared" si="13"/>
        <v>100</v>
      </c>
      <c r="V46" s="774" t="s">
        <v>20</v>
      </c>
      <c r="W46" s="775">
        <f t="shared" si="14"/>
        <v>100</v>
      </c>
      <c r="X46" s="2960"/>
      <c r="Y46" s="3209"/>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201" t="str">
        <f>A47</f>
        <v>成交单价（元/平方米）</v>
      </c>
      <c r="Q47" s="3201"/>
      <c r="R47" s="3202">
        <f>E47</f>
        <v>6300</v>
      </c>
      <c r="S47" s="3202"/>
      <c r="T47" s="3202">
        <f>G47</f>
        <v>5800</v>
      </c>
      <c r="U47" s="3202"/>
      <c r="V47" s="3202">
        <f>I47</f>
        <v>6800</v>
      </c>
      <c r="W47" s="3202"/>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201" t="str">
        <f>A48</f>
        <v>比较价值（元/平方米）</v>
      </c>
      <c r="Q48" s="3201"/>
      <c r="R48" s="3202">
        <f>IF(F1="售价",ROUND(PRODUCT(R47,AA7:AA46),0),ROUND(PRODUCT(R47,AA7:AA46),1))</f>
        <v>6497.5</v>
      </c>
      <c r="S48" s="3202"/>
      <c r="T48" s="3202">
        <f>IF(F1="售价",ROUND(PRODUCT(T47,AB7:AB46),0),ROUND(PRODUCT(T47,AB7:AB46),1))</f>
        <v>5688</v>
      </c>
      <c r="U48" s="3202"/>
      <c r="V48" s="3202">
        <f>IF(F1="售价",ROUND(PRODUCT(V47,AC7:AC46),0),ROUND(PRODUCT(V47,AC7:AC46),1))</f>
        <v>6732.7</v>
      </c>
      <c r="W48" s="3202"/>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6306.1</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3116</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3122</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3127</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3129</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3111</v>
      </c>
      <c r="F139" s="2969" t="s">
        <v>3112</v>
      </c>
      <c r="G139" s="2969" t="s">
        <v>3117</v>
      </c>
      <c r="H139" s="2969" t="s">
        <v>3123</v>
      </c>
      <c r="I139" s="2969" t="s">
        <v>3130</v>
      </c>
    </row>
    <row r="140" spans="5:9">
      <c r="E140" s="2968">
        <v>43226</v>
      </c>
      <c r="F140" s="2969" t="s">
        <v>3113</v>
      </c>
      <c r="G140" s="2969" t="s">
        <v>3119</v>
      </c>
      <c r="H140">
        <v>72</v>
      </c>
      <c r="I140">
        <v>55278</v>
      </c>
    </row>
    <row r="141" spans="5:9">
      <c r="E141" s="2968">
        <v>43210</v>
      </c>
      <c r="F141" s="2969" t="s">
        <v>3115</v>
      </c>
      <c r="G141" s="2969" t="s">
        <v>3119</v>
      </c>
      <c r="H141">
        <v>72.22</v>
      </c>
      <c r="I141">
        <v>56771</v>
      </c>
    </row>
    <row r="142" spans="5:9">
      <c r="E142" s="2968">
        <v>43199</v>
      </c>
      <c r="F142" s="2969" t="s">
        <v>3115</v>
      </c>
      <c r="G142" s="2969" t="s">
        <v>3118</v>
      </c>
      <c r="H142">
        <v>70.67</v>
      </c>
      <c r="I142">
        <v>58017</v>
      </c>
    </row>
    <row r="178" spans="5:9">
      <c r="E178" s="2969" t="s">
        <v>3111</v>
      </c>
      <c r="F178" s="2969" t="s">
        <v>3112</v>
      </c>
      <c r="G178" s="2969" t="s">
        <v>3117</v>
      </c>
      <c r="H178" s="2969" t="s">
        <v>3123</v>
      </c>
      <c r="I178" s="2969" t="s">
        <v>3130</v>
      </c>
    </row>
    <row r="179" spans="5:9">
      <c r="E179" s="2968">
        <v>43226</v>
      </c>
      <c r="F179" s="2969" t="s">
        <v>3132</v>
      </c>
      <c r="G179" s="2969" t="s">
        <v>3135</v>
      </c>
      <c r="H179">
        <v>72</v>
      </c>
      <c r="I179">
        <v>6300</v>
      </c>
    </row>
    <row r="180" spans="5:9">
      <c r="E180" s="2968">
        <v>43226</v>
      </c>
      <c r="F180" s="2969" t="s">
        <v>3133</v>
      </c>
      <c r="G180" s="2969" t="s">
        <v>3136</v>
      </c>
      <c r="H180">
        <v>80</v>
      </c>
      <c r="I180">
        <v>5800</v>
      </c>
    </row>
    <row r="181" spans="5:9">
      <c r="E181" s="2968">
        <v>43226</v>
      </c>
      <c r="F181" s="2969" t="s">
        <v>3134</v>
      </c>
      <c r="G181" s="2969" t="s">
        <v>3135</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1638</v>
      </c>
      <c r="E3" s="1047" t="s">
        <v>1644</v>
      </c>
      <c r="F3" s="1047" t="s">
        <v>1638</v>
      </c>
      <c r="G3" s="1047" t="s">
        <v>1639</v>
      </c>
      <c r="H3" s="1047" t="s">
        <v>1638</v>
      </c>
      <c r="I3" s="1047" t="s">
        <v>1639</v>
      </c>
    </row>
    <row r="4" spans="1:9" ht="45">
      <c r="A4" s="1975" t="str">
        <f>项目基本情况!S2</f>
        <v>北京市朝阳区建国路29号兴隆家园38号楼4门102号住宅用房房地产</v>
      </c>
      <c r="B4" s="1047">
        <f>项目基本情况!C17</f>
        <v>92.57</v>
      </c>
      <c r="C4" s="1047">
        <f>项目基本情况!C18</f>
        <v>0</v>
      </c>
      <c r="D4" s="1047" t="e">
        <f ca="1">结果表!D118</f>
        <v>#REF!</v>
      </c>
      <c r="E4" s="1047" t="e">
        <f ca="1">结果表!E118</f>
        <v>#REF!</v>
      </c>
      <c r="F4" s="1047" t="e">
        <f ca="1">结果表!F118</f>
        <v>#REF!</v>
      </c>
      <c r="G4" s="1047" t="e">
        <f ca="1">结果表!G118</f>
        <v>#REF!</v>
      </c>
      <c r="H4" s="1047">
        <f ca="1">结果表!H118</f>
        <v>304</v>
      </c>
      <c r="I4" s="1047">
        <f ca="1">结果表!I118</f>
        <v>32840</v>
      </c>
    </row>
    <row r="5" spans="1:9" ht="30" customHeight="1">
      <c r="A5" s="2987" t="s">
        <v>1640</v>
      </c>
      <c r="B5" s="2987"/>
      <c r="C5" s="2987"/>
      <c r="D5" s="2988" t="e">
        <f ca="1">结果表!D119</f>
        <v>#REF!</v>
      </c>
      <c r="E5" s="2988"/>
      <c r="F5" s="2988" t="e">
        <f ca="1">结果表!F119</f>
        <v>#REF!</v>
      </c>
      <c r="G5" s="2988"/>
      <c r="H5" s="2988" t="str">
        <f ca="1">结果表!H119</f>
        <v>叁佰零肆万元整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75">
      <c r="A8" s="2989" t="str">
        <f>结果表!A122</f>
        <v>房地产抵押价值</v>
      </c>
      <c r="B8" s="2989"/>
      <c r="C8" s="2989"/>
      <c r="D8" s="2989">
        <f ca="1">结果表!D122</f>
        <v>304</v>
      </c>
      <c r="E8" s="2989"/>
      <c r="F8" s="2989"/>
      <c r="G8" s="2989"/>
      <c r="H8" s="2989"/>
      <c r="I8" s="2989"/>
    </row>
    <row r="9" spans="1:9" ht="15">
      <c r="A9" s="2987" t="s">
        <v>1640</v>
      </c>
      <c r="B9" s="2987"/>
      <c r="C9" s="2987"/>
      <c r="D9" s="2988" t="str">
        <f ca="1">结果表!D123</f>
        <v>叁佰零肆万元整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1640</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1640</v>
      </c>
      <c r="B13" s="2993"/>
      <c r="C13" s="2993"/>
      <c r="D13" s="2994" t="e">
        <f>结果表!D127</f>
        <v>#VALUE!</v>
      </c>
      <c r="E13" s="2994"/>
      <c r="F13" s="2994"/>
      <c r="G13" s="2994"/>
      <c r="H13" s="2994"/>
      <c r="I13" s="2994"/>
    </row>
    <row r="14" spans="1:9" ht="15" thickTop="1">
      <c r="A14" s="2995" t="s">
        <v>1645</v>
      </c>
      <c r="B14" s="2995"/>
      <c r="C14" s="2995"/>
      <c r="D14" s="2995"/>
      <c r="E14" s="2995"/>
      <c r="F14" s="2995"/>
      <c r="G14" s="2995"/>
      <c r="H14" s="2995"/>
      <c r="I14" s="299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1662</v>
      </c>
      <c r="B1" s="2996"/>
      <c r="C1" s="2996"/>
      <c r="D1" s="2996"/>
    </row>
    <row r="2" spans="1:4" ht="18">
      <c r="A2" s="2997" t="s">
        <v>1646</v>
      </c>
      <c r="B2" s="2997"/>
      <c r="C2" s="2997"/>
      <c r="D2" s="2997"/>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97" t="s">
        <v>1652</v>
      </c>
      <c r="B6" s="2997"/>
      <c r="C6" s="2997"/>
      <c r="D6" s="299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8"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（1）根据估价对象《房屋所有权证》原件、，截至价值时点，估价对象抵押权未见登记。</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0" t="s">
        <v>1669</v>
      </c>
      <c r="B15" s="3005" t="s">
        <v>136</v>
      </c>
      <c r="C15" s="3006"/>
    </row>
    <row r="16" spans="1:7" ht="13.5">
      <c r="A16" s="3011"/>
      <c r="B16" s="3005" t="s">
        <v>69</v>
      </c>
      <c r="C16" s="3006"/>
    </row>
    <row r="17" spans="1:3" ht="13.5">
      <c r="A17" s="3011"/>
      <c r="B17" s="3008" t="s">
        <v>1670</v>
      </c>
      <c r="C17" s="2002" t="s">
        <v>1669</v>
      </c>
    </row>
    <row r="18" spans="1:3" ht="13.5">
      <c r="A18" s="3011"/>
      <c r="B18" s="3008"/>
      <c r="C18" s="2002" t="s">
        <v>1671</v>
      </c>
    </row>
    <row r="19" spans="1:3" ht="13.5">
      <c r="A19" s="3011"/>
      <c r="B19" s="3008"/>
      <c r="C19" s="2002" t="s">
        <v>1672</v>
      </c>
    </row>
    <row r="20" spans="1:3" ht="13.5">
      <c r="A20" s="3012"/>
      <c r="B20" s="3007" t="s">
        <v>1673</v>
      </c>
      <c r="C20" s="3006"/>
    </row>
    <row r="21" spans="1:3" ht="13.5">
      <c r="A21" s="2003" t="s">
        <v>1674</v>
      </c>
      <c r="B21" s="2004"/>
      <c r="C21" s="2005"/>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2" t="s">
        <v>1680</v>
      </c>
    </row>
    <row r="26" spans="1:3" ht="13.5">
      <c r="A26" s="3009"/>
      <c r="B26" s="3008"/>
      <c r="C26" s="2002" t="s">
        <v>1681</v>
      </c>
    </row>
    <row r="27" spans="1:3" ht="13.5">
      <c r="A27" s="3009"/>
      <c r="B27" s="3008"/>
      <c r="C27" s="2002" t="s">
        <v>1682</v>
      </c>
    </row>
    <row r="28" spans="1:3" ht="13.5">
      <c r="A28" s="3009"/>
      <c r="B28" s="3008"/>
      <c r="C28" s="2002" t="s">
        <v>1683</v>
      </c>
    </row>
    <row r="29" spans="1:3" ht="13.5">
      <c r="A29" s="3009"/>
      <c r="B29" s="3008"/>
      <c r="C29" s="2002" t="s">
        <v>1684</v>
      </c>
    </row>
    <row r="30" spans="1:3" ht="13.5">
      <c r="A30" s="3009"/>
      <c r="B30" s="3008"/>
      <c r="C30" s="2002" t="s">
        <v>1685</v>
      </c>
    </row>
    <row r="31" spans="1:3" ht="13.5">
      <c r="A31" s="3009"/>
      <c r="B31" s="3008"/>
      <c r="C31" s="2002" t="s">
        <v>1686</v>
      </c>
    </row>
    <row r="32" spans="1:3" ht="13.5">
      <c r="A32" s="3009"/>
      <c r="B32" s="3008"/>
      <c r="C32" s="2002" t="s">
        <v>1687</v>
      </c>
    </row>
    <row r="33" spans="1:3" ht="13.5">
      <c r="A33" s="3009"/>
      <c r="B33" s="300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2018-05-31T07:14:46Z</dcterms:modified>
</cp:coreProperties>
</file>